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55" windowHeight="3075" tabRatio="735" activeTab="0"/>
  </bookViews>
  <sheets>
    <sheet name="CoverPage" sheetId="1" r:id="rId1"/>
    <sheet name="Hardcoded Data" sheetId="2" r:id="rId2"/>
    <sheet name="Rates" sheetId="3" r:id="rId3"/>
    <sheet name="Cap Amount and Bank" sheetId="4" r:id="rId4"/>
    <sheet name="Cap Detail Page" sheetId="5" r:id="rId5"/>
    <sheet name="Cap Calc Page" sheetId="6" r:id="rId6"/>
    <sheet name="Address Change Election Boards" sheetId="7" r:id="rId7"/>
    <sheet name="Address Correction" sheetId="8" r:id="rId8"/>
    <sheet name="Bulk Parcel Return Service" sheetId="9" r:id="rId9"/>
    <sheet name="Bulk Parcel Acctg Fee" sheetId="10" r:id="rId10"/>
    <sheet name="Bulk Parcel Return Permits" sheetId="11" r:id="rId11"/>
    <sheet name="Business Reply Mail" sheetId="12" r:id="rId12"/>
    <sheet name="Certificates of Mailing" sheetId="13" r:id="rId13"/>
    <sheet name="Certified Mail" sheetId="14" r:id="rId14"/>
    <sheet name="COA Credit Card Authentication" sheetId="15" r:id="rId15"/>
    <sheet name="COD" sheetId="16" r:id="rId16"/>
    <sheet name="Confirm" sheetId="17" r:id="rId17"/>
    <sheet name="Correction of Mailing Lists" sheetId="18" r:id="rId18"/>
    <sheet name="Delivery Confirmation" sheetId="19" r:id="rId19"/>
    <sheet name="First Class Presort Permits" sheetId="20" r:id="rId20"/>
    <sheet name="Insurance" sheetId="21" r:id="rId21"/>
    <sheet name="Express Mail Insurance" sheetId="22" r:id="rId22"/>
    <sheet name="Media Mail Presort Per" sheetId="23" r:id="rId23"/>
    <sheet name="Merchandise Return" sheetId="24" r:id="rId24"/>
    <sheet name="Merchandise Return Acctg Fee" sheetId="25" r:id="rId25"/>
    <sheet name="Merchandise Return Permits" sheetId="26" r:id="rId26"/>
    <sheet name="Money Orders" sheetId="27" r:id="rId27"/>
    <sheet name="PAL" sheetId="28" r:id="rId28"/>
    <sheet name="Parcel Select Permits" sheetId="29" r:id="rId29"/>
    <sheet name="Per Mailing App" sheetId="30" r:id="rId30"/>
    <sheet name="Permit Imprint Per" sheetId="31" r:id="rId31"/>
    <sheet name="P.O. Boxes" sheetId="32" r:id="rId32"/>
    <sheet name="Parcel Return Service Permits" sheetId="33" r:id="rId33"/>
    <sheet name="Parcel Return Serv Accting Fee" sheetId="34" r:id="rId34"/>
    <sheet name="Premium Stamped Cards" sheetId="35" r:id="rId35"/>
    <sheet name="Premium Stamped Stationery" sheetId="36" r:id="rId36"/>
    <sheet name="Registered Mail" sheetId="37" r:id="rId37"/>
    <sheet name="Restricted Delivery" sheetId="38" r:id="rId38"/>
    <sheet name="Return Receipts" sheetId="39" r:id="rId39"/>
    <sheet name="Scheduled Pickup" sheetId="40" r:id="rId40"/>
    <sheet name="Shipper-Paid Forwarding" sheetId="41" r:id="rId41"/>
    <sheet name="Signature Confirmation" sheetId="42" r:id="rId42"/>
    <sheet name="Special Handling" sheetId="43" r:id="rId43"/>
    <sheet name="Stamped Cards" sheetId="44" r:id="rId44"/>
    <sheet name="Stamped Envelopes" sheetId="45" r:id="rId45"/>
    <sheet name="Std Bulk Permit" sheetId="46" r:id="rId46"/>
    <sheet name="Std Weighted Fee" sheetId="47" r:id="rId47"/>
    <sheet name="Zip Coding" sheetId="48" r:id="rId48"/>
  </sheets>
  <externalReferences>
    <externalReference r:id="rId51"/>
  </externalReferences>
  <definedNames>
    <definedName name="AcctMC">'Rates'!$F$7</definedName>
    <definedName name="AcctMP">'Rates'!$G$7</definedName>
    <definedName name="BY">'Hardcoded Data'!$C$5</definedName>
    <definedName name="con">'[1]WP-12 Fees and Hardcodes'!$F$96</definedName>
    <definedName name="dock">'Hardcoded Data'!$C$9</definedName>
    <definedName name="FY">'Hardcoded Data'!$C$4</definedName>
    <definedName name="lr">'Hardcoded Data'!$C$8</definedName>
    <definedName name="PD">'Hardcoded Data'!$C$6</definedName>
    <definedName name="PermC">'Rates'!$F$6</definedName>
    <definedName name="PermP">'Rates'!$G$6</definedName>
    <definedName name="post">'Hardcoded Data'!$C$12</definedName>
    <definedName name="_xlnm.Print_Area" localSheetId="6">'Address Change Election Boards'!$F$2:$L$19</definedName>
    <definedName name="_xlnm.Print_Area" localSheetId="7">'Address Correction'!$N$5:$T$68</definedName>
    <definedName name="_xlnm.Print_Area" localSheetId="9">'Bulk Parcel Acctg Fee'!$H$2:$N$16</definedName>
    <definedName name="_xlnm.Print_Area" localSheetId="10">'Bulk Parcel Return Permits'!$G$5:$M$20</definedName>
    <definedName name="_xlnm.Print_Area" localSheetId="8">'Bulk Parcel Return Service'!$H$4:$N$18</definedName>
    <definedName name="_xlnm.Print_Area" localSheetId="11">'Business Reply Mail'!$I$5:$O$53</definedName>
    <definedName name="_xlnm.Print_Area" localSheetId="5">'Cap Calc Page'!$A$1:$E$39</definedName>
    <definedName name="_xlnm.Print_Area" localSheetId="4">'Cap Detail Page'!$A$1:$E$226</definedName>
    <definedName name="_xlnm.Print_Area" localSheetId="12">'Certificates of Mailing'!$F$5:$L$52</definedName>
    <definedName name="_xlnm.Print_Area" localSheetId="13">'Certified Mail'!$G$5:$M$19</definedName>
    <definedName name="_xlnm.Print_Area" localSheetId="15">'COD'!$J$5:$P$46</definedName>
    <definedName name="_xlnm.Print_Area" localSheetId="16">'Confirm'!$J$5:$P$44</definedName>
    <definedName name="_xlnm.Print_Area" localSheetId="17">'Correction of Mailing Lists'!$I$5:$O$22</definedName>
    <definedName name="_xlnm.Print_Area" localSheetId="18">'Delivery Confirmation'!$G$5:$M$35</definedName>
    <definedName name="_xlnm.Print_Area" localSheetId="21">'Express Mail Insurance'!$H$2:$N$28</definedName>
    <definedName name="_xlnm.Print_Area" localSheetId="19">'First Class Presort Permits'!$F$5:$L$20</definedName>
    <definedName name="_xlnm.Print_Area" localSheetId="20">'Insurance'!$N$4:$T$88</definedName>
    <definedName name="_xlnm.Print_Area" localSheetId="22">'Media Mail Presort Per'!$F$4:$M$22</definedName>
    <definedName name="_xlnm.Print_Area" localSheetId="23">'Merchandise Return'!$F$4:$L$23</definedName>
    <definedName name="_xlnm.Print_Area" localSheetId="24">'Merchandise Return Acctg Fee'!$O$4:$U$25</definedName>
    <definedName name="_xlnm.Print_Area" localSheetId="25">'Merchandise Return Permits'!$P$4:$V$24</definedName>
    <definedName name="_xlnm.Print_Area" localSheetId="26">'Money Orders'!$G$4:$M$31</definedName>
    <definedName name="_xlnm.Print_Area" localSheetId="31">'P.O. Boxes'!$B$2:$I$99</definedName>
    <definedName name="_xlnm.Print_Area" localSheetId="27">'PAL'!$G$11:$N$36</definedName>
    <definedName name="_xlnm.Print_Area" localSheetId="33">'Parcel Return Serv Accting Fee'!$G$10:$M$27</definedName>
    <definedName name="_xlnm.Print_Area" localSheetId="32">'Parcel Return Service Permits'!$G$5:$M$17</definedName>
    <definedName name="_xlnm.Print_Area" localSheetId="28">'Parcel Select Permits'!$G$4:$M$17</definedName>
    <definedName name="_xlnm.Print_Area" localSheetId="29">'Per Mailing App'!$G$4:$M$28</definedName>
    <definedName name="_xlnm.Print_Area" localSheetId="30">'Permit Imprint Per'!$G$4:$N$18</definedName>
    <definedName name="_xlnm.Print_Area" localSheetId="2">'Rates'!$B$1:$G$263</definedName>
    <definedName name="_xlnm.Print_Area" localSheetId="36">'Registered Mail'!$L$4:$R$53</definedName>
    <definedName name="_xlnm.Print_Area" localSheetId="37">'Restricted Delivery'!$G$4:$M$21</definedName>
    <definedName name="_xlnm.Print_Area" localSheetId="38">'Return Receipts'!$F$4:$L$48</definedName>
    <definedName name="_xlnm.Print_Area" localSheetId="39">'Scheduled Pickup'!$F$4:$L$16</definedName>
    <definedName name="_xlnm.Print_Area" localSheetId="40">'Shipper-Paid Forwarding'!$F$4:$L$20</definedName>
    <definedName name="_xlnm.Print_Area" localSheetId="41">'Signature Confirmation'!$H$4:$N$39</definedName>
    <definedName name="_xlnm.Print_Area" localSheetId="42">'Special Handling'!$F$4:$L$49</definedName>
    <definedName name="_xlnm.Print_Area" localSheetId="43">'Stamped Cards'!$E$4:$K$17</definedName>
    <definedName name="_xlnm.Print_Area" localSheetId="44">'Stamped Envelopes'!$G$4:$M$54</definedName>
    <definedName name="_xlnm.Print_Area" localSheetId="45">'Std Bulk Permit'!$E$4:$K$22</definedName>
    <definedName name="_xlnm.Print_Area" localSheetId="46">'Std Weighted Fee'!$F$2:$L$24</definedName>
    <definedName name="_xlnm.Print_Area" localSheetId="47">'Zip Coding'!$G$3:$M$19</definedName>
    <definedName name="_xlnm.Print_Titles" localSheetId="5">'Cap Calc Page'!$1:$1</definedName>
    <definedName name="_xlnm.Print_Titles" localSheetId="4">'Cap Detail Page'!$1:$1</definedName>
    <definedName name="_xlnm.Print_Titles" localSheetId="2">'Rates'!$3:$4</definedName>
    <definedName name="Test">'Rates'!#REF!</definedName>
    <definedName name="TY">'Hardcoded Data'!$C$3</definedName>
    <definedName name="WN">'Hardcoded Data'!$C$7</definedName>
  </definedNames>
  <calcPr fullCalcOnLoad="1"/>
</workbook>
</file>

<file path=xl/sharedStrings.xml><?xml version="1.0" encoding="utf-8"?>
<sst xmlns="http://schemas.openxmlformats.org/spreadsheetml/2006/main" count="2868" uniqueCount="761">
  <si>
    <t>PO Boxes</t>
  </si>
  <si>
    <t>International</t>
  </si>
  <si>
    <t>Share of Total Revenue</t>
  </si>
  <si>
    <t>Average Fee Calculation</t>
  </si>
  <si>
    <t>K-11</t>
  </si>
  <si>
    <t>M-17</t>
  </si>
  <si>
    <t>Necessary Weighted Fees for Certain Fees, where volume has to be derived.</t>
  </si>
  <si>
    <t>Priority Mail</t>
  </si>
  <si>
    <t>Express Mail</t>
  </si>
  <si>
    <t>Collect on Delivery</t>
  </si>
  <si>
    <t>Total Cert. Mailing</t>
  </si>
  <si>
    <t>Total BPRS</t>
  </si>
  <si>
    <t>Total Confirm</t>
  </si>
  <si>
    <t>Grand Total Del Con</t>
  </si>
  <si>
    <t>Total MRS</t>
  </si>
  <si>
    <t>Total Money Orders</t>
  </si>
  <si>
    <t>Total Periodical Mailling Apps</t>
  </si>
  <si>
    <t>Total PRS</t>
  </si>
  <si>
    <t>Total Return Receipts</t>
  </si>
  <si>
    <t>Total Standard Bulk Permit</t>
  </si>
  <si>
    <t>Total Standard Weighted Fee</t>
  </si>
  <si>
    <t>MEDIA MAIL</t>
  </si>
  <si>
    <t>Parcel Post</t>
  </si>
  <si>
    <t>Parcel Airlift</t>
  </si>
  <si>
    <t>Parcel Select Permit Fee</t>
  </si>
  <si>
    <t>M-10</t>
  </si>
  <si>
    <t>Total Domestic Transactions:</t>
  </si>
  <si>
    <t>M-11</t>
  </si>
  <si>
    <t>K-13</t>
  </si>
  <si>
    <t>Business Reply Mail</t>
  </si>
  <si>
    <t>Certified Mail</t>
  </si>
  <si>
    <t>Delivery Confirmation</t>
  </si>
  <si>
    <t>Insurance</t>
  </si>
  <si>
    <t xml:space="preserve">  First-Class Mail</t>
  </si>
  <si>
    <t>Basic</t>
  </si>
  <si>
    <t>After Rates Revenue</t>
  </si>
  <si>
    <t xml:space="preserve">  Manual</t>
  </si>
  <si>
    <t xml:space="preserve">  Automated</t>
  </si>
  <si>
    <t>Total ACS</t>
  </si>
  <si>
    <t xml:space="preserve">  Priority Mail</t>
  </si>
  <si>
    <t xml:space="preserve">  Nonprofit</t>
  </si>
  <si>
    <t xml:space="preserve">  News Agent Registry</t>
  </si>
  <si>
    <t>Before rates Revenue</t>
  </si>
  <si>
    <t xml:space="preserve">  BPRS Fees</t>
  </si>
  <si>
    <t xml:space="preserve">  Account Maintenance</t>
  </si>
  <si>
    <t>Collect On Delivery</t>
  </si>
  <si>
    <t xml:space="preserve">  Additional IDs</t>
  </si>
  <si>
    <t xml:space="preserve">  Subscriptions</t>
  </si>
  <si>
    <t xml:space="preserve">  Additional Scans </t>
  </si>
  <si>
    <t>FCM Presort Permits</t>
  </si>
  <si>
    <t xml:space="preserve">    Under $50</t>
  </si>
  <si>
    <t xml:space="preserve">    All Other</t>
  </si>
  <si>
    <t xml:space="preserve">  Express Mail Insurance</t>
  </si>
  <si>
    <t>Media Mail Presort Permit</t>
  </si>
  <si>
    <t xml:space="preserve">  MRS Fees</t>
  </si>
  <si>
    <t xml:space="preserve">  Money Order Fees</t>
  </si>
  <si>
    <t xml:space="preserve">  Inquiry Fees</t>
  </si>
  <si>
    <t>Parcel Select Permits</t>
  </si>
  <si>
    <t>Periodical Mailling Applications</t>
  </si>
  <si>
    <t>Parcel Return Service</t>
  </si>
  <si>
    <t>Shipper-Paid Forwarding</t>
  </si>
  <si>
    <t>Return Receipts</t>
  </si>
  <si>
    <t>Signature Confirmation</t>
  </si>
  <si>
    <t>Stamped Cards</t>
  </si>
  <si>
    <t>Stamped Envelopes</t>
  </si>
  <si>
    <t>|</t>
  </si>
  <si>
    <t>Address Changes to Election Boards</t>
  </si>
  <si>
    <t>_</t>
  </si>
  <si>
    <t>PERMIT FEES</t>
  </si>
  <si>
    <t>ACCOUNTING FEES</t>
  </si>
  <si>
    <t>Per each aditional $100</t>
  </si>
  <si>
    <t>Each additional $1000</t>
  </si>
  <si>
    <t>INPUT DATA:</t>
  </si>
  <si>
    <t>ADDRESS CHANGES TO ELECTION BOARDS</t>
  </si>
  <si>
    <t>Revenue from Election Boards</t>
  </si>
  <si>
    <t>FROM OTHER INCOME Billing Determinant</t>
  </si>
  <si>
    <t>Revenue</t>
  </si>
  <si>
    <t>-</t>
  </si>
  <si>
    <t>(1)</t>
  </si>
  <si>
    <t>(4)</t>
  </si>
  <si>
    <t>(5)</t>
  </si>
  <si>
    <t>(6)</t>
  </si>
  <si>
    <t>(7)</t>
  </si>
  <si>
    <t>(8)</t>
  </si>
  <si>
    <t>Per Change of Address</t>
  </si>
  <si>
    <t>1/  Per Change of Address Form 3575.</t>
  </si>
  <si>
    <t>2/  Calculated by dividing revenue from the Revenue and Expense Summary, Account 43370, by fee.</t>
  </si>
  <si>
    <t>3/  Assumes no change in test year volume before and after rates.</t>
  </si>
  <si>
    <t>Address Correction</t>
  </si>
  <si>
    <t>Work Area for Rate Case</t>
  </si>
  <si>
    <t>ADDRESS CORRECTION</t>
  </si>
  <si>
    <t/>
  </si>
  <si>
    <t xml:space="preserve">                  L-1</t>
  </si>
  <si>
    <t xml:space="preserve">   TOTAL</t>
  </si>
  <si>
    <t>First Class</t>
  </si>
  <si>
    <t>Priority</t>
  </si>
  <si>
    <t xml:space="preserve"> (8)</t>
  </si>
  <si>
    <t>Manual</t>
  </si>
  <si>
    <t>First-Class</t>
  </si>
  <si>
    <t>Automated</t>
  </si>
  <si>
    <t>Periodicals</t>
  </si>
  <si>
    <t>First Class - Manual</t>
  </si>
  <si>
    <t>First Class - Automated</t>
  </si>
  <si>
    <t xml:space="preserve">    Total First Class</t>
  </si>
  <si>
    <t>Standard Mail</t>
  </si>
  <si>
    <t>Total</t>
  </si>
  <si>
    <t>Priority - Manual</t>
  </si>
  <si>
    <t xml:space="preserve">    Total Priority</t>
  </si>
  <si>
    <t>Periodicals - Manual</t>
  </si>
  <si>
    <t>Package Services</t>
  </si>
  <si>
    <t>$0-$500</t>
  </si>
  <si>
    <t xml:space="preserve">    Total Periodicals</t>
  </si>
  <si>
    <t xml:space="preserve">  Parcel Post</t>
  </si>
  <si>
    <t>Bulk Insurance</t>
  </si>
  <si>
    <t xml:space="preserve">    Total Standard Mail </t>
  </si>
  <si>
    <t xml:space="preserve">  Bound Printed Matter</t>
  </si>
  <si>
    <t xml:space="preserve">  Parcels - Manual</t>
  </si>
  <si>
    <t xml:space="preserve">  Library Rate</t>
  </si>
  <si>
    <t>Grand Total</t>
  </si>
  <si>
    <t xml:space="preserve">  BPM - Manual</t>
  </si>
  <si>
    <t>1/  Transactions are based on reported revenues.</t>
  </si>
  <si>
    <t xml:space="preserve">  Library - Manual</t>
  </si>
  <si>
    <t xml:space="preserve">    Total Package Services</t>
  </si>
  <si>
    <t>Summary</t>
  </si>
  <si>
    <t xml:space="preserve">   Manual</t>
  </si>
  <si>
    <t xml:space="preserve">   Automated</t>
  </si>
  <si>
    <t>Billing Determinants Final Table</t>
  </si>
  <si>
    <t>BULK PARCEL RETURN SERVICE</t>
  </si>
  <si>
    <t>BULK PARCEL RETURNS</t>
  </si>
  <si>
    <t>Permits</t>
  </si>
  <si>
    <t>1/  Based on revenues divided by the permit fee.</t>
  </si>
  <si>
    <t>N/A</t>
  </si>
  <si>
    <t>M-5</t>
  </si>
  <si>
    <t>PERMITS</t>
  </si>
  <si>
    <t>2/  Volume distribution based on merchandise return transactions.</t>
  </si>
  <si>
    <t>1/  Estimated from revenue divided by fee.</t>
  </si>
  <si>
    <t xml:space="preserve"> BUSINESS REPLY MAIL </t>
  </si>
  <si>
    <t>Mail Category</t>
  </si>
  <si>
    <t xml:space="preserve"> </t>
  </si>
  <si>
    <t>L-2</t>
  </si>
  <si>
    <t xml:space="preserve">            N/A</t>
  </si>
  <si>
    <t>PRIORITY</t>
  </si>
  <si>
    <t>Advance Account Pieces</t>
  </si>
  <si>
    <t xml:space="preserve">  as Percent of Total</t>
  </si>
  <si>
    <t>Weighted Price</t>
  </si>
  <si>
    <t>Domestic (up to $500)</t>
  </si>
  <si>
    <t>Domestic (over $500)</t>
  </si>
  <si>
    <t xml:space="preserve">    By Mail</t>
  </si>
  <si>
    <t xml:space="preserve">  At Time Of Mailing:</t>
  </si>
  <si>
    <t>Return Receipt for Merchandise</t>
  </si>
  <si>
    <t>Plain Stamped Envelopes</t>
  </si>
  <si>
    <t xml:space="preserve">  Size 6 3/4, each</t>
  </si>
  <si>
    <t xml:space="preserve">  Size 10, each</t>
  </si>
  <si>
    <t xml:space="preserve">  Size 6 3/4, Box of 500</t>
  </si>
  <si>
    <t xml:space="preserve">  Size 10, Box of 500</t>
  </si>
  <si>
    <t xml:space="preserve">  First 2 Notices</t>
  </si>
  <si>
    <t xml:space="preserve">  Additional Notices</t>
  </si>
  <si>
    <t>Non-profit</t>
  </si>
  <si>
    <t>Shipper Paid</t>
  </si>
  <si>
    <t xml:space="preserve">   Forwarding</t>
  </si>
  <si>
    <t>Personalized Stamped Envelopes</t>
  </si>
  <si>
    <t xml:space="preserve">  Size 6 3/4, Box of 50</t>
  </si>
  <si>
    <t xml:space="preserve">  Size 10, Box of 50</t>
  </si>
  <si>
    <t>First-Class Mail</t>
  </si>
  <si>
    <t xml:space="preserve">  Parcels Manual</t>
  </si>
  <si>
    <t xml:space="preserve">  Parcels Electronic</t>
  </si>
  <si>
    <t>Total First-Class Mail</t>
  </si>
  <si>
    <t>Total Priority Mail</t>
  </si>
  <si>
    <t>Standard Mail Electronic</t>
  </si>
  <si>
    <t xml:space="preserve">  Parcel Select Electronic</t>
  </si>
  <si>
    <t xml:space="preserve">  Other Package Services Manual</t>
  </si>
  <si>
    <t xml:space="preserve">  Other Package Services Electronic</t>
  </si>
  <si>
    <t>First Class Manual</t>
  </si>
  <si>
    <t>First Class Electronic</t>
  </si>
  <si>
    <t>Electronic</t>
  </si>
  <si>
    <t>Confirm</t>
  </si>
  <si>
    <t>Total Subscribers</t>
  </si>
  <si>
    <t>BRM</t>
  </si>
  <si>
    <r>
      <t xml:space="preserve">  Basic </t>
    </r>
    <r>
      <rPr>
        <vertAlign val="superscript"/>
        <sz val="12"/>
        <rFont val="Arial"/>
        <family val="2"/>
      </rPr>
      <t>1</t>
    </r>
  </si>
  <si>
    <t xml:space="preserve">    First-Class Mail </t>
  </si>
  <si>
    <t xml:space="preserve">    Priority Mail</t>
  </si>
  <si>
    <t xml:space="preserve">  High Volume </t>
  </si>
  <si>
    <r>
      <t xml:space="preserve">    First-Class Mail </t>
    </r>
    <r>
      <rPr>
        <vertAlign val="superscript"/>
        <sz val="12"/>
        <rFont val="Arial"/>
        <family val="2"/>
      </rPr>
      <t>2</t>
    </r>
  </si>
  <si>
    <t>Total BRM</t>
  </si>
  <si>
    <t>QBRM</t>
  </si>
  <si>
    <r>
      <t xml:space="preserve">    First-Class Mail </t>
    </r>
    <r>
      <rPr>
        <vertAlign val="superscript"/>
        <sz val="12"/>
        <rFont val="Arial"/>
        <family val="2"/>
      </rPr>
      <t>3</t>
    </r>
  </si>
  <si>
    <r>
      <t xml:space="preserve">    Priority Mail </t>
    </r>
    <r>
      <rPr>
        <vertAlign val="superscript"/>
        <sz val="12"/>
        <rFont val="Arial"/>
        <family val="2"/>
      </rPr>
      <t>4</t>
    </r>
  </si>
  <si>
    <t xml:space="preserve">  High Volume</t>
  </si>
  <si>
    <r>
      <t xml:space="preserve">    First-Class Mail </t>
    </r>
    <r>
      <rPr>
        <vertAlign val="superscript"/>
        <sz val="12"/>
        <rFont val="Arial"/>
        <family val="2"/>
      </rPr>
      <t>5</t>
    </r>
  </si>
  <si>
    <t>Total QBRM</t>
  </si>
  <si>
    <t>Bulk Weight Averaged</t>
  </si>
  <si>
    <t xml:space="preserve">    First Class Non-Letter Size</t>
  </si>
  <si>
    <t xml:space="preserve">    Priority Non-Letter Size</t>
  </si>
  <si>
    <t>Total Bulk Weight Averaged</t>
  </si>
  <si>
    <t>Total Per Piece Fees</t>
  </si>
  <si>
    <t>Permit and Account Maintenance Fees</t>
  </si>
  <si>
    <t xml:space="preserve">  Permits</t>
  </si>
  <si>
    <t xml:space="preserve">  Account Maintenance Fee</t>
  </si>
  <si>
    <t xml:space="preserve">  Quarterly Fee</t>
  </si>
  <si>
    <t xml:space="preserve">  Non-Letter Monthly Fee</t>
  </si>
  <si>
    <t>Periodicals Applications</t>
  </si>
  <si>
    <t>Standard Mail Bulk Permit Fee</t>
  </si>
  <si>
    <t>Account Maintenance Fee</t>
  </si>
  <si>
    <t>Mailing List Services</t>
  </si>
  <si>
    <t>Zip Coding of Mailing Lists</t>
  </si>
  <si>
    <t>Split Year Average Fee</t>
  </si>
  <si>
    <t xml:space="preserve"> Current</t>
  </si>
  <si>
    <t>Percent Change In Fee 4/</t>
  </si>
  <si>
    <t xml:space="preserve"> Fee ($) 1/</t>
  </si>
  <si>
    <t>Percent Change In Fee 1/</t>
  </si>
  <si>
    <t>Class Of Mail</t>
  </si>
  <si>
    <t>Transactions 1/</t>
  </si>
  <si>
    <t>Revenues ($)</t>
  </si>
  <si>
    <t>Total Package Services</t>
  </si>
  <si>
    <t>First Class - Electronic</t>
  </si>
  <si>
    <t>Priority - Electronic</t>
  </si>
  <si>
    <t>Periodicals - Electronic</t>
  </si>
  <si>
    <t>Standard Mail - Manual</t>
  </si>
  <si>
    <t>Standard Mail - Electronic</t>
  </si>
  <si>
    <t>Standard Mail - Automated</t>
  </si>
  <si>
    <t xml:space="preserve">  Parcels - Electronic</t>
  </si>
  <si>
    <t xml:space="preserve">  BPM - Electronic</t>
  </si>
  <si>
    <t xml:space="preserve">  Library - Electronic</t>
  </si>
  <si>
    <t xml:space="preserve">   Electronic</t>
  </si>
  <si>
    <t xml:space="preserve">  Media Mail - Manual</t>
  </si>
  <si>
    <t xml:space="preserve">  Media Mail - Electronic</t>
  </si>
  <si>
    <t>Bulk Parcel Return Service Account Maintenance Fee</t>
  </si>
  <si>
    <t>Bulk Parcel Return Service Account Maintenance Fee Revenue</t>
  </si>
  <si>
    <t>Bulk Parcel Return Service Accounts   1/</t>
  </si>
  <si>
    <t>1/  Based on revenues divided by the account maintenance fee.</t>
  </si>
  <si>
    <t>Bulk Parcel Return Service Revenue</t>
  </si>
  <si>
    <t>Bulk Parcel Return Service Permits   1/</t>
  </si>
  <si>
    <t>Bulk Parcel Return Service Account Maintenance Fees</t>
  </si>
  <si>
    <t>Percent Change In Fee 2/</t>
  </si>
  <si>
    <t xml:space="preserve"> Fee ($) </t>
  </si>
  <si>
    <t xml:space="preserve"> Fee ($)</t>
  </si>
  <si>
    <t>Mail Class</t>
  </si>
  <si>
    <t>Revenue ($)</t>
  </si>
  <si>
    <t>Summary Statistics</t>
  </si>
  <si>
    <t>Total Permit &amp; Accounting Fee Revenue</t>
  </si>
  <si>
    <t>Total Revenue</t>
  </si>
  <si>
    <r>
      <t>1</t>
    </r>
    <r>
      <rPr>
        <sz val="12"/>
        <rFont val="Arial"/>
        <family val="2"/>
      </rPr>
      <t xml:space="preserve"> In previous billing determinants this category was Non-Advance Account.</t>
    </r>
  </si>
  <si>
    <r>
      <t>2</t>
    </r>
    <r>
      <rPr>
        <sz val="12"/>
        <rFont val="Arial"/>
        <family val="2"/>
      </rPr>
      <t xml:space="preserve"> In previous billing determinants this item was First Class-Regular.</t>
    </r>
  </si>
  <si>
    <r>
      <t>3</t>
    </r>
    <r>
      <rPr>
        <sz val="12"/>
        <rFont val="Arial"/>
        <family val="2"/>
      </rPr>
      <t xml:space="preserve"> In previous billing determinants this item was First Class QBRM without Quarterly</t>
    </r>
  </si>
  <si>
    <t>Scheduled Pickup</t>
  </si>
  <si>
    <t>SCHEDULED PICKUP</t>
  </si>
  <si>
    <r>
      <t>4</t>
    </r>
    <r>
      <rPr>
        <sz val="12"/>
        <rFont val="Arial"/>
        <family val="2"/>
      </rPr>
      <t xml:space="preserve"> In previous billing determinants this item was Priority under the Advanced Account Heading.</t>
    </r>
  </si>
  <si>
    <r>
      <t>5</t>
    </r>
    <r>
      <rPr>
        <sz val="12"/>
        <rFont val="Arial"/>
        <family val="2"/>
      </rPr>
      <t xml:space="preserve"> In previous billing determinants this item was First Class QBRM with Quarterly</t>
    </r>
  </si>
  <si>
    <t>Total Permit &amp; Accounting Fee</t>
  </si>
  <si>
    <t xml:space="preserve">Total Per Piece </t>
  </si>
  <si>
    <t>Certificates Of Mailing</t>
  </si>
  <si>
    <t>Other Firm Mailing Book</t>
  </si>
  <si>
    <t xml:space="preserve">  Revenues ($)</t>
  </si>
  <si>
    <t>Total All Classes</t>
  </si>
  <si>
    <t xml:space="preserve">  Basic </t>
  </si>
  <si>
    <t xml:space="preserve">  Bulk: First 1,000 Pcs</t>
  </si>
  <si>
    <t xml:space="preserve">    Each Add'L. 1,000 Pcs</t>
  </si>
  <si>
    <t xml:space="preserve">Total </t>
  </si>
  <si>
    <t>Collect-On-Delivery</t>
  </si>
  <si>
    <t>Bulk COD</t>
  </si>
  <si>
    <t>Total COD</t>
  </si>
  <si>
    <t>Average Fee Increase</t>
  </si>
  <si>
    <t>Value:</t>
  </si>
  <si>
    <t xml:space="preserve"> Fee ($)  3/</t>
  </si>
  <si>
    <t>Total Less USPS</t>
  </si>
  <si>
    <t>Total Delivery Confirmation</t>
  </si>
  <si>
    <t>First-Class Mail Presort Permits</t>
  </si>
  <si>
    <t>First-Class Mail Presort Permit Revenue</t>
  </si>
  <si>
    <t>First-Class Mail Presort Permits    1/</t>
  </si>
  <si>
    <t>Insured Mail</t>
  </si>
  <si>
    <t>EXPRESS MAIL INSURANCE</t>
  </si>
  <si>
    <t>EXPRESS MAIL TRANSACTIONS</t>
  </si>
  <si>
    <t>Note:  Express Mail Insurance data is pulled from EMRS</t>
  </si>
  <si>
    <t>Express Mail Insurance</t>
  </si>
  <si>
    <t xml:space="preserve">  Revenue</t>
  </si>
  <si>
    <t>R2006-1 Structure</t>
  </si>
  <si>
    <t>Media Mail Presort Permits</t>
  </si>
  <si>
    <t>Media Mail Presort Permit Revenue</t>
  </si>
  <si>
    <t>Media Mail Presort Permits    1/</t>
  </si>
  <si>
    <t>Merchandise Return</t>
  </si>
  <si>
    <t>Information about permit revenue and account maintenance revenue can be found on pages M-7 and M-11.</t>
  </si>
  <si>
    <t>Merchandise Return Service</t>
  </si>
  <si>
    <t>Merchandise Return Account Maintenance Fee</t>
  </si>
  <si>
    <t>Merchandise Return Account Maintenance Fee Revenue</t>
  </si>
  <si>
    <t>Merchandise Return Accounts    1/</t>
  </si>
  <si>
    <t>Merchandise Return Service Account Maintenance Fee</t>
  </si>
  <si>
    <t>Merchandise Return Permit Revenue</t>
  </si>
  <si>
    <t>Merchandise Return Permits    1/</t>
  </si>
  <si>
    <t xml:space="preserve">  $0-$500</t>
  </si>
  <si>
    <t xml:space="preserve">  $500-$1000</t>
  </si>
  <si>
    <t>Pounds</t>
  </si>
  <si>
    <t>Parcel Airlift Mail (PAL)</t>
  </si>
  <si>
    <t>Parcel Select Permit Revenue</t>
  </si>
  <si>
    <t>Parcel Select Permits    1/</t>
  </si>
  <si>
    <t>Permit</t>
  </si>
  <si>
    <t>1/  Assumes no change in volume from the base year to the test year before rates and test year after rates.</t>
  </si>
  <si>
    <t>N-1-2-3-4</t>
  </si>
  <si>
    <t>Other Income</t>
  </si>
  <si>
    <t>N-1</t>
  </si>
  <si>
    <t>Furnishing Address Changes</t>
  </si>
  <si>
    <t>to Election Boards and</t>
  </si>
  <si>
    <t>Registration Commissions</t>
  </si>
  <si>
    <t>N-2</t>
  </si>
  <si>
    <t>Correction and ZIP Coding</t>
  </si>
  <si>
    <t>of Mailing Lists</t>
  </si>
  <si>
    <t>N-3</t>
  </si>
  <si>
    <t>Meter Setting Fee</t>
  </si>
  <si>
    <t>N-4</t>
  </si>
  <si>
    <t>Permit Imprint Fee</t>
  </si>
  <si>
    <t>1/  Assumes no change from the base year volume and no change from test year before rates to test year after rates.</t>
  </si>
  <si>
    <t>Permit Imprint Fee Volume</t>
  </si>
  <si>
    <t>Revenue / Fee</t>
  </si>
  <si>
    <t>M-15</t>
  </si>
  <si>
    <t>Parcel Return Service Permit Fee</t>
  </si>
  <si>
    <t>Parcel Return Service Permit Revenue</t>
  </si>
  <si>
    <t>Parcel Return Service Permits</t>
  </si>
  <si>
    <t>M-16</t>
  </si>
  <si>
    <t>Parcel Return Service Acount Maintenance Fee</t>
  </si>
  <si>
    <t>Parcel Return Service Acount Maintenance Fee Revenue</t>
  </si>
  <si>
    <t>Parcel Return Service Accounts</t>
  </si>
  <si>
    <t>Account Maintenance Fees</t>
  </si>
  <si>
    <t>L-6</t>
  </si>
  <si>
    <t>Declared Value:</t>
  </si>
  <si>
    <t xml:space="preserve">Revenues  </t>
  </si>
  <si>
    <t xml:space="preserve">  Bulk Registered</t>
  </si>
  <si>
    <t>Bulk Registered</t>
  </si>
  <si>
    <t>Handling Charges:</t>
  </si>
  <si>
    <t xml:space="preserve">  Fee per $1000 of Value</t>
  </si>
  <si>
    <t>Average Bulk Registered Charge</t>
  </si>
  <si>
    <t xml:space="preserve">  Number of Items with Handling Fee</t>
  </si>
  <si>
    <t>Handling Charges</t>
  </si>
  <si>
    <t>Bulk Registered Mail</t>
  </si>
  <si>
    <t>No Declared Value</t>
  </si>
  <si>
    <t>Declared Value ($):</t>
  </si>
  <si>
    <t>-----</t>
  </si>
  <si>
    <t>Total Certified Mail</t>
  </si>
  <si>
    <t>Total Insurance</t>
  </si>
  <si>
    <t>Total Registry</t>
  </si>
  <si>
    <t>Total Collect on Delivery</t>
  </si>
  <si>
    <t>Per 1,000 Addresses</t>
  </si>
  <si>
    <t>Shipper-Paid Forwarding Account Maintenance Fee</t>
  </si>
  <si>
    <t>Shipper-Paid Forwarding Account Maintenance Fee Revenue</t>
  </si>
  <si>
    <t>Shipper-Paid Forwarding Accounts   1/</t>
  </si>
  <si>
    <t xml:space="preserve">      Total First Class</t>
  </si>
  <si>
    <t xml:space="preserve">      Total Priority Mail</t>
  </si>
  <si>
    <t>Package Services  Manual</t>
  </si>
  <si>
    <t>Package Services  Electronic</t>
  </si>
  <si>
    <t xml:space="preserve">      Total Package Services</t>
  </si>
  <si>
    <t xml:space="preserve">      Sub Total</t>
  </si>
  <si>
    <t xml:space="preserve">              Grand Total</t>
  </si>
  <si>
    <t>First Class Mail</t>
  </si>
  <si>
    <t>Package Services:</t>
  </si>
  <si>
    <t>Total to Mail Classes</t>
  </si>
  <si>
    <t>K-10</t>
  </si>
  <si>
    <t>Total Personalized</t>
  </si>
  <si>
    <t xml:space="preserve">   Personalized</t>
  </si>
  <si>
    <t>Base Fee Group</t>
  </si>
  <si>
    <t>Size 1</t>
  </si>
  <si>
    <t>Size 2</t>
  </si>
  <si>
    <t>Size 3</t>
  </si>
  <si>
    <t>Size 4</t>
  </si>
  <si>
    <t>Size 5</t>
  </si>
  <si>
    <t>Reserve Number</t>
  </si>
  <si>
    <t>E</t>
  </si>
  <si>
    <t>Key Deposit</t>
  </si>
  <si>
    <t>Key Replacement Fee</t>
  </si>
  <si>
    <t>Lock Replacement Fee</t>
  </si>
  <si>
    <t>Size 1 In-Use</t>
  </si>
  <si>
    <t>Size 2 In-Use</t>
  </si>
  <si>
    <t>Size 3 In-Use</t>
  </si>
  <si>
    <t>Size 4 In-Use</t>
  </si>
  <si>
    <t>Size 5 In-Use</t>
  </si>
  <si>
    <t>Caller Service Volume</t>
  </si>
  <si>
    <t>Reserve Number Volume</t>
  </si>
  <si>
    <t>P.O. Boxes</t>
  </si>
  <si>
    <t>STANDARD MAIL WEIGHTED FEE</t>
  </si>
  <si>
    <t>BULK</t>
  </si>
  <si>
    <t>Average Bulk Insurance</t>
  </si>
  <si>
    <t>Average Existing Bulk COD Fee</t>
  </si>
  <si>
    <t>Estimated Bulk from Proposal</t>
  </si>
  <si>
    <t>Average Increase for known fees</t>
  </si>
  <si>
    <t>Average Increase known cells</t>
  </si>
  <si>
    <t>Average Increase Known Cells</t>
  </si>
  <si>
    <t xml:space="preserve">   Single Sales</t>
  </si>
  <si>
    <t xml:space="preserve">   Plain Box</t>
  </si>
  <si>
    <t>Total Plain Envelopes 2/</t>
  </si>
  <si>
    <t>Total Personalized Envelopes 2/</t>
  </si>
  <si>
    <t>Total Envelopes 2/</t>
  </si>
  <si>
    <t>2/  This denotes the number of individual envelopes or total dollar amount.</t>
  </si>
  <si>
    <t xml:space="preserve">  Size 6 3/4, Boxes of 500</t>
  </si>
  <si>
    <t xml:space="preserve">  Size 10, Boxes of 500</t>
  </si>
  <si>
    <t xml:space="preserve">  Size 6 3/4, Boxes of 50</t>
  </si>
  <si>
    <t xml:space="preserve">  Size 10, Boxes of 50</t>
  </si>
  <si>
    <t xml:space="preserve">1/  Based on revenues divided by the permit fee.  </t>
  </si>
  <si>
    <t xml:space="preserve">   Regular</t>
  </si>
  <si>
    <t xml:space="preserve">   Nonprofit</t>
  </si>
  <si>
    <t>Standard Mail Weighted Fee</t>
  </si>
  <si>
    <t xml:space="preserve">  FCM</t>
  </si>
  <si>
    <t xml:space="preserve">  Other</t>
  </si>
  <si>
    <t xml:space="preserve">    1st 2 Notices</t>
  </si>
  <si>
    <t xml:space="preserve">    Additional Notices</t>
  </si>
  <si>
    <t>n/a</t>
  </si>
  <si>
    <t>CORRECTION OF MAILING LISTS &amp; Sequencing of cards</t>
  </si>
  <si>
    <t xml:space="preserve">    Priority Mail </t>
  </si>
  <si>
    <t>Subscription</t>
  </si>
  <si>
    <t>Add'l Scans</t>
  </si>
  <si>
    <t>Platinum Subscription</t>
  </si>
  <si>
    <t>Additonal  IDs</t>
  </si>
  <si>
    <t>Annual</t>
  </si>
  <si>
    <t>Quarterly</t>
  </si>
  <si>
    <t>Merchandise Return Service Permits</t>
  </si>
  <si>
    <t xml:space="preserve">  100-200</t>
  </si>
  <si>
    <t xml:space="preserve">  200-500</t>
  </si>
  <si>
    <t>Per each additional $500 over $500, up to $5,000</t>
  </si>
  <si>
    <t>REGULAR INSURANCE</t>
  </si>
  <si>
    <t>Total Permits Paid</t>
  </si>
  <si>
    <t>Advance Acct Permits Paid</t>
  </si>
  <si>
    <t>Advance Account Revenue</t>
  </si>
  <si>
    <t>Non-Advance Acct Revenue</t>
  </si>
  <si>
    <t xml:space="preserve">  Total Revenue</t>
  </si>
  <si>
    <t xml:space="preserve">                      L-3</t>
  </si>
  <si>
    <t>Mail Class and Type of Certificate</t>
  </si>
  <si>
    <t xml:space="preserve">  Revenues</t>
  </si>
  <si>
    <t>Transactions</t>
  </si>
  <si>
    <t>FY 2004</t>
  </si>
  <si>
    <t xml:space="preserve">    Basic</t>
  </si>
  <si>
    <t>FIRST CLASS</t>
  </si>
  <si>
    <t xml:space="preserve">    Firm Mailing Book</t>
  </si>
  <si>
    <t xml:space="preserve">    Bulk:  First 1,000 pcs.</t>
  </si>
  <si>
    <t xml:space="preserve">      Each add'l 1,000 pcs.</t>
  </si>
  <si>
    <t xml:space="preserve">BASIC </t>
  </si>
  <si>
    <t>FIRM BOOK MAILING</t>
  </si>
  <si>
    <t xml:space="preserve">          Total</t>
  </si>
  <si>
    <t>BULK: First 1,000 pcs</t>
  </si>
  <si>
    <t xml:space="preserve"> Each add'l. 1,000 pcs</t>
  </si>
  <si>
    <t>PACKAGE SERVICES</t>
  </si>
  <si>
    <t>CERTIFIED MAIL</t>
  </si>
  <si>
    <t>K-1</t>
  </si>
  <si>
    <t xml:space="preserve">  Regular</t>
  </si>
  <si>
    <t>BASIC FEE</t>
  </si>
  <si>
    <t xml:space="preserve">  USPS</t>
  </si>
  <si>
    <t xml:space="preserve">  After Mailing</t>
  </si>
  <si>
    <t>RESTRICTED DELIVERY</t>
  </si>
  <si>
    <t>K-2</t>
  </si>
  <si>
    <t>Revenues from fees</t>
  </si>
  <si>
    <t>Registered COD:</t>
  </si>
  <si>
    <t xml:space="preserve">  Transactions</t>
  </si>
  <si>
    <t>ADDITIONAL SERVICES:</t>
  </si>
  <si>
    <t>Notice of Nondelivery:</t>
  </si>
  <si>
    <t xml:space="preserve">  REGISTERED C.O.D.</t>
  </si>
  <si>
    <t>Alteration of Charge, etc.:</t>
  </si>
  <si>
    <t xml:space="preserve">  ALTERATION OF C.O.D.</t>
  </si>
  <si>
    <t>Restricted Delivery</t>
  </si>
  <si>
    <t>Total Revenues</t>
  </si>
  <si>
    <t>Total Transactions</t>
  </si>
  <si>
    <t>Correction of Mailing Lists</t>
  </si>
  <si>
    <t>1. From Revenue and Expense Summary</t>
  </si>
  <si>
    <t>Revenue from Mailing Lists</t>
  </si>
  <si>
    <t>Revenue and Expense Summary</t>
  </si>
  <si>
    <t>FROM OTHER INCOME BD</t>
  </si>
  <si>
    <t>Per Address Submitted</t>
  </si>
  <si>
    <t>2. Percentage Factor from Special Study</t>
  </si>
  <si>
    <t>% Factor</t>
  </si>
  <si>
    <t>1/  Estimated to be 92.8% of Revenue and Expense Summary revenue, Account 43381 divided by the fee.</t>
  </si>
  <si>
    <t>3.  Percentage Factor Applied to Total Revenue</t>
  </si>
  <si>
    <t>2/  Assumes no change in test year volume before and after rates.</t>
  </si>
  <si>
    <t>3/  Per name or address submitted.</t>
  </si>
  <si>
    <t>Corr. of Mailing Lists Rev.</t>
  </si>
  <si>
    <t>K-12</t>
  </si>
  <si>
    <t>DELIVERY CONFIRMATION</t>
  </si>
  <si>
    <t>Fee</t>
  </si>
  <si>
    <t>PRIORITY MAIL MANUAL</t>
  </si>
  <si>
    <t>PRIORITY MAIL ELECTRONIC</t>
  </si>
  <si>
    <t>PACKAGE SERVICES  MANUAL</t>
  </si>
  <si>
    <t>FIRST CLASS L&amp;SP MANUAL</t>
  </si>
  <si>
    <t>FIRST CLASS L&amp;SP ELECTRONIC</t>
  </si>
  <si>
    <t>PACKAGE SERVICES  ELECTRONIC</t>
  </si>
  <si>
    <t>STANDARD MAIL ELECTRONIC</t>
  </si>
  <si>
    <t>PACKAGE SERVICES MANUAL</t>
  </si>
  <si>
    <t>PACKAGE SERVICES ELECTRONIC</t>
  </si>
  <si>
    <t xml:space="preserve">                                             </t>
  </si>
  <si>
    <t>M-6</t>
  </si>
  <si>
    <t xml:space="preserve">    Total Domestic</t>
  </si>
  <si>
    <t>1/  Calculated from Revenue and Expense Summary revenue, Component 360-027, Account 43339, divided by the fee.</t>
  </si>
  <si>
    <t>M-8</t>
  </si>
  <si>
    <t>$500-$1000</t>
  </si>
  <si>
    <t>1/  Calculated from Revenue and Expense Summary revenue, Component 360-027, Account 43336, divided by the fee.</t>
  </si>
  <si>
    <t>M-12</t>
  </si>
  <si>
    <t>K-3</t>
  </si>
  <si>
    <t>Page 1 of 2</t>
  </si>
  <si>
    <t>INSURANCE</t>
  </si>
  <si>
    <t>Value up to:</t>
  </si>
  <si>
    <t>Before Rates</t>
  </si>
  <si>
    <t>After Rates</t>
  </si>
  <si>
    <t xml:space="preserve">  Total</t>
  </si>
  <si>
    <t>Total Revenue:</t>
  </si>
  <si>
    <t>Page 2 of 2</t>
  </si>
  <si>
    <t xml:space="preserve"> RETURN RECEIPTS</t>
  </si>
  <si>
    <t>2/  Transactions from additional services not included in grand total.</t>
  </si>
  <si>
    <t xml:space="preserve">            L-4</t>
  </si>
  <si>
    <t>WORKPAPER INPUTS</t>
  </si>
  <si>
    <t xml:space="preserve">    TOTAL</t>
  </si>
  <si>
    <t>FROM MERCHANDISE RETURN WORKPAPER</t>
  </si>
  <si>
    <t>M-7</t>
  </si>
  <si>
    <t xml:space="preserve">1. Source is the Trial Balance. </t>
  </si>
  <si>
    <t xml:space="preserve">  Account Code #43333.</t>
  </si>
  <si>
    <t xml:space="preserve"> Revenues</t>
  </si>
  <si>
    <t>2/  Total revenue calculated by dividing the Revenue and Expense Summary revenue by the fee.  Distributions to mail class</t>
  </si>
  <si>
    <t xml:space="preserve">      based on distribution of merchandise return transactions.</t>
  </si>
  <si>
    <t>Domestic</t>
  </si>
  <si>
    <t xml:space="preserve">    FCM</t>
  </si>
  <si>
    <t xml:space="preserve">    Other</t>
  </si>
  <si>
    <t xml:space="preserve">    SM</t>
  </si>
  <si>
    <t>Permit and other Fees</t>
  </si>
  <si>
    <t>Total Permit etc fees</t>
  </si>
  <si>
    <t xml:space="preserve">  By Mail</t>
  </si>
  <si>
    <t xml:space="preserve">  Elecronic</t>
  </si>
  <si>
    <t>Total Sig Con</t>
  </si>
  <si>
    <t>Total Stamped Envelopes</t>
  </si>
  <si>
    <t>Total Special Services</t>
  </si>
  <si>
    <t>APO/FPO</t>
  </si>
  <si>
    <t>K-5</t>
  </si>
  <si>
    <t>FIRST CLASS ELECTRONIC</t>
  </si>
  <si>
    <t>Percentage Change</t>
  </si>
  <si>
    <t>Proposed Change</t>
  </si>
  <si>
    <t>Cap</t>
  </si>
  <si>
    <t>FIRST CLASS MANUAL</t>
  </si>
  <si>
    <t>MONEY ORDERS</t>
  </si>
  <si>
    <t>Revenues</t>
  </si>
  <si>
    <t>Volume</t>
  </si>
  <si>
    <t>Regular</t>
  </si>
  <si>
    <t>Average Fee For Pieces charged Additional Handling</t>
  </si>
  <si>
    <t>Handling Charge Revenue</t>
  </si>
  <si>
    <t>Number Handing Charges</t>
  </si>
  <si>
    <t>Avg. Handling Charge</t>
  </si>
  <si>
    <t>APO-FPO</t>
  </si>
  <si>
    <t>Inquiry Fee</t>
  </si>
  <si>
    <t>DOMESTIC</t>
  </si>
  <si>
    <t>Pieces</t>
  </si>
  <si>
    <t>Outstanding Money Orders</t>
  </si>
  <si>
    <t xml:space="preserve">  Total Money Order Revenue</t>
  </si>
  <si>
    <t>INQUIRY FEE</t>
  </si>
  <si>
    <t>MACRO TO BRING IN TEST YEAR VOLUMES FROM FORECASTS</t>
  </si>
  <si>
    <t>TYBR MACRO IS CALLED \B</t>
  </si>
  <si>
    <t>{goto}B215~/fccnMORD~TYBRFORE~</t>
  </si>
  <si>
    <t>TYAR MACRO IS CALLED \L</t>
  </si>
  <si>
    <t>{goto}C215~/fccnMORD~TYARFORE~</t>
  </si>
  <si>
    <t xml:space="preserve">     M-1</t>
  </si>
  <si>
    <t>PARCEL AIRLIFT</t>
  </si>
  <si>
    <t>2 lbs. or less</t>
  </si>
  <si>
    <t>WEIGHT</t>
  </si>
  <si>
    <t>2 lbs. to 3 lbs.</t>
  </si>
  <si>
    <t>3 lbs. to 4 lbs.</t>
  </si>
  <si>
    <t>Over 4 lbs.</t>
  </si>
  <si>
    <t>0 - 2</t>
  </si>
  <si>
    <t>2 - 3</t>
  </si>
  <si>
    <t>3 - 4</t>
  </si>
  <si>
    <t>Over 4</t>
  </si>
  <si>
    <t>M-2</t>
  </si>
  <si>
    <t>ORIGINAL ENTRY</t>
  </si>
  <si>
    <t xml:space="preserve">    Total from Fees</t>
  </si>
  <si>
    <t>RE-ENTRY</t>
  </si>
  <si>
    <t>ADDITIONAL ENTRY</t>
  </si>
  <si>
    <t>Original Entry</t>
  </si>
  <si>
    <t>Re-Entry</t>
  </si>
  <si>
    <t>NEWS AGENTS</t>
  </si>
  <si>
    <t>Additional Entry</t>
  </si>
  <si>
    <t>News Agent Registry</t>
  </si>
  <si>
    <t>M-9</t>
  </si>
  <si>
    <t xml:space="preserve">    (1)</t>
  </si>
  <si>
    <t>CALLER SERVICE</t>
  </si>
  <si>
    <t>RESERVE NUMBER</t>
  </si>
  <si>
    <t>REGISTRY MAIL</t>
  </si>
  <si>
    <t xml:space="preserve">         K-6</t>
  </si>
  <si>
    <t>USPS</t>
  </si>
  <si>
    <t>$  100</t>
  </si>
  <si>
    <t xml:space="preserve">  Domestic Fees</t>
  </si>
  <si>
    <t xml:space="preserve">  Handling Charges</t>
  </si>
  <si>
    <t>Summary Basic Transactions</t>
  </si>
  <si>
    <t xml:space="preserve">  Domestic</t>
  </si>
  <si>
    <t xml:space="preserve">  TOTAL</t>
  </si>
  <si>
    <t xml:space="preserve">    Total Without USPS</t>
  </si>
  <si>
    <t xml:space="preserve">    Total With USPS</t>
  </si>
  <si>
    <t>DOMESTIC UNINSURED</t>
  </si>
  <si>
    <t>K-7</t>
  </si>
  <si>
    <t xml:space="preserve">    (4)</t>
  </si>
  <si>
    <t xml:space="preserve">    (5)</t>
  </si>
  <si>
    <t xml:space="preserve">     (6)</t>
  </si>
  <si>
    <t>Registry</t>
  </si>
  <si>
    <t>COD</t>
  </si>
  <si>
    <t>K-8</t>
  </si>
  <si>
    <t>REQUESTED AT TIME OF MAILING</t>
  </si>
  <si>
    <t>ELECTRONIC</t>
  </si>
  <si>
    <t>MERCHANDISE</t>
  </si>
  <si>
    <t>REQUESTED AFTER MAILING</t>
  </si>
  <si>
    <t>Priority Mail Electronic</t>
  </si>
  <si>
    <t>Priority Mail Manual</t>
  </si>
  <si>
    <t>SPECIAL HANDLING</t>
  </si>
  <si>
    <t xml:space="preserve">                 M-3</t>
  </si>
  <si>
    <t xml:space="preserve">    10 lbs. and less</t>
  </si>
  <si>
    <t xml:space="preserve">    More than 10 lbs.</t>
  </si>
  <si>
    <t>A/C # 43381 AT 7.2 PERCENT</t>
  </si>
  <si>
    <t>AC #43381 AT 92.8 PERCENT</t>
  </si>
  <si>
    <t>PRIORITY MAIL</t>
  </si>
  <si>
    <t xml:space="preserve">  10 lbs. or less</t>
  </si>
  <si>
    <t xml:space="preserve">  More than 10 lbs.</t>
  </si>
  <si>
    <t xml:space="preserve"> PARCEL POST</t>
  </si>
  <si>
    <t>BOUND PRINTED MATTER</t>
  </si>
  <si>
    <t>SUMMARY</t>
  </si>
  <si>
    <t xml:space="preserve">  GRAND TOTAL:</t>
  </si>
  <si>
    <t>PARCEL SELECT ELECTRONIC</t>
  </si>
  <si>
    <t>STAMPED CARDS</t>
  </si>
  <si>
    <t xml:space="preserve"> STAMPED ENVELOPES</t>
  </si>
  <si>
    <t>Printed</t>
  </si>
  <si>
    <t>PRINTED:</t>
  </si>
  <si>
    <t>6 3/4</t>
  </si>
  <si>
    <t>10</t>
  </si>
  <si>
    <t>Nonprofit</t>
  </si>
  <si>
    <t>PLAIN:</t>
  </si>
  <si>
    <t>Total Plain</t>
  </si>
  <si>
    <t>Envelopes</t>
  </si>
  <si>
    <t>Plain Box Lots</t>
  </si>
  <si>
    <t>Single Sales</t>
  </si>
  <si>
    <t>Single Sale:</t>
  </si>
  <si>
    <t>2/  Base year billing determinant volume adjusted to match forecast volume.</t>
  </si>
  <si>
    <t>M-4</t>
  </si>
  <si>
    <t>Estimated Permits:</t>
  </si>
  <si>
    <t xml:space="preserve">    Regular</t>
  </si>
  <si>
    <t xml:space="preserve">    Nonprofit</t>
  </si>
  <si>
    <t xml:space="preserve">      Total  1/</t>
  </si>
  <si>
    <t>ZIP-CODING OF MAILING LISTS</t>
  </si>
  <si>
    <t>1. From Revenue &amp; Expense Summary</t>
  </si>
  <si>
    <t xml:space="preserve">  Account Code #43341</t>
  </si>
  <si>
    <t>SPLIT WITH BPRS &amp; SPF ACCT REVENUE</t>
  </si>
  <si>
    <t>3.  Percentage Factor Applied to Revenue</t>
  </si>
  <si>
    <t>% Revenue from ZIP Coding of Mail. Lists</t>
  </si>
  <si>
    <t>1/ Estimated to be 7.2% of Revenue and Expense Summary revenue from mailing lists divided by the fee.</t>
  </si>
  <si>
    <t>wn</t>
  </si>
  <si>
    <t xml:space="preserve">1/  Calculated by dividing the Revenue and Expense Summary revenue by the fee. </t>
  </si>
  <si>
    <t>Product</t>
  </si>
  <si>
    <t>Current</t>
  </si>
  <si>
    <t>CERTIFICATE OF MAILING</t>
  </si>
  <si>
    <t xml:space="preserve">  NOTICE OF NON-DELIVERY</t>
  </si>
  <si>
    <t xml:space="preserve">   </t>
  </si>
  <si>
    <t>PERIODICALS MAILING APPLICATIONS</t>
  </si>
  <si>
    <t>HANDLING CHARGES (per $1000)</t>
  </si>
  <si>
    <t>SIGNATURE CONFIRMATION</t>
  </si>
  <si>
    <t xml:space="preserve"> Regular, Window, Precancelled Regular, Precancelled Window</t>
  </si>
  <si>
    <t xml:space="preserve"> Household Regular, Household Window</t>
  </si>
  <si>
    <t>Service</t>
  </si>
  <si>
    <t>Bulk Parcel Return Service</t>
  </si>
  <si>
    <t>Bulk Parcel Return Service Permits</t>
  </si>
  <si>
    <t>Certificates of Mailing</t>
  </si>
  <si>
    <t xml:space="preserve">  Basic</t>
  </si>
  <si>
    <t xml:space="preserve">  Firm Book Mailing</t>
  </si>
  <si>
    <t>First-Class Presort Permits</t>
  </si>
  <si>
    <t>Merchandise Return Permits</t>
  </si>
  <si>
    <t>Money Orders</t>
  </si>
  <si>
    <t>Proposed</t>
  </si>
  <si>
    <t xml:space="preserve">  At Time Of Mailing</t>
  </si>
  <si>
    <t xml:space="preserve">Grand Total </t>
  </si>
  <si>
    <t>Green Card</t>
  </si>
  <si>
    <t xml:space="preserve">  Original Entry</t>
  </si>
  <si>
    <t xml:space="preserve">  Re-Entry</t>
  </si>
  <si>
    <t xml:space="preserve">  Additional Entry</t>
  </si>
  <si>
    <t xml:space="preserve">  Media Mail</t>
  </si>
  <si>
    <t>Registered Mail</t>
  </si>
  <si>
    <t xml:space="preserve">  Electronic</t>
  </si>
  <si>
    <t xml:space="preserve">  Merchandise</t>
  </si>
  <si>
    <t xml:space="preserve">  Priority Mail Electronic</t>
  </si>
  <si>
    <t xml:space="preserve">  Priority Mail Manual</t>
  </si>
  <si>
    <t>Special Handling</t>
  </si>
  <si>
    <t>K-14</t>
  </si>
  <si>
    <t>Silver</t>
  </si>
  <si>
    <t xml:space="preserve">  Additional Scans</t>
  </si>
  <si>
    <t>Gold</t>
  </si>
  <si>
    <t>Platinum</t>
  </si>
  <si>
    <t>Additional IDs</t>
  </si>
  <si>
    <t xml:space="preserve">  Quarter</t>
  </si>
  <si>
    <t xml:space="preserve">  Annual</t>
  </si>
  <si>
    <t>Average Handling Charge</t>
  </si>
  <si>
    <t>Address Correction Service</t>
  </si>
  <si>
    <t>Caller Service</t>
  </si>
  <si>
    <t>New</t>
  </si>
  <si>
    <t>Old Prices effective</t>
  </si>
  <si>
    <t>New Prices Effective</t>
  </si>
  <si>
    <t>R2005-1</t>
  </si>
  <si>
    <t>R2006-1</t>
  </si>
  <si>
    <t>Key Replacement</t>
  </si>
  <si>
    <t>Lock Replacement</t>
  </si>
  <si>
    <t>4/  Change from the current fee to the proposed fee, or (Column 5 - Column 4)/Column 4.</t>
  </si>
  <si>
    <t>1/  Change from the current fee to the proposed fee, or (Column 5 - Column 4)/Column 4.</t>
  </si>
  <si>
    <t>2/  Change from the current fee to the proposed fee, or (Column 5 - Column 4)/Column 4.</t>
  </si>
  <si>
    <t>1/  Change from the current fee to the proposed fee or (Column 5 - Column 4) / Column 4.</t>
  </si>
  <si>
    <t>Certificate of Mailing</t>
  </si>
  <si>
    <t>Post Office Boxes</t>
  </si>
  <si>
    <t xml:space="preserve">Signature Confirmation </t>
  </si>
  <si>
    <t>Standard Bulk Permit</t>
  </si>
  <si>
    <t>Standard Weighted Fee</t>
  </si>
  <si>
    <t>Title or Identification</t>
  </si>
  <si>
    <t>Fiscal Year 2008</t>
  </si>
  <si>
    <t>Price</t>
  </si>
  <si>
    <t>Fiscal Year 2008 (ACR Version)</t>
  </si>
  <si>
    <t>Fiscal Year 2008 (weighted)</t>
  </si>
  <si>
    <t>Full Service</t>
  </si>
  <si>
    <t>First Class - Full Service</t>
  </si>
  <si>
    <t>Periodicals - Full Service</t>
  </si>
  <si>
    <t xml:space="preserve">   Full Service</t>
  </si>
  <si>
    <t>Periodical Mailing Applications</t>
  </si>
  <si>
    <t xml:space="preserve">  BPM - Full Service</t>
  </si>
  <si>
    <t xml:space="preserve">  Full Service</t>
  </si>
  <si>
    <t>Address Change Service</t>
  </si>
  <si>
    <t>Fiscal Year 2008 (ACR version)</t>
  </si>
  <si>
    <t>Reserve Numbers</t>
  </si>
  <si>
    <t>.</t>
  </si>
  <si>
    <t>?-?</t>
  </si>
  <si>
    <t>Premium Stamped Cards</t>
  </si>
  <si>
    <t>Premium Stamped Stationery</t>
  </si>
  <si>
    <t>PREMIUM STAMPED CARDS</t>
  </si>
  <si>
    <t>PREMIUM STAMPED STATIONERY</t>
  </si>
  <si>
    <t>Premium Stamped Stationary</t>
  </si>
  <si>
    <t>Bronze</t>
  </si>
  <si>
    <r>
      <t xml:space="preserve">Confirm </t>
    </r>
    <r>
      <rPr>
        <sz val="14"/>
        <rFont val="Arial"/>
        <family val="2"/>
      </rPr>
      <t>(weighted)</t>
    </r>
  </si>
  <si>
    <t xml:space="preserve">  Mail Owner</t>
  </si>
  <si>
    <t xml:space="preserve">  Additonal Scans</t>
  </si>
  <si>
    <t>Mail Owner</t>
  </si>
  <si>
    <t>Other</t>
  </si>
  <si>
    <t xml:space="preserve">  First 2</t>
  </si>
  <si>
    <t xml:space="preserve">  Additional</t>
  </si>
  <si>
    <t>Standard Mail - Full Service</t>
  </si>
  <si>
    <t>February 2009</t>
  </si>
  <si>
    <t>Adoption Rates</t>
  </si>
  <si>
    <t>Bound Printed Matter</t>
  </si>
  <si>
    <t>Class/Sub Class</t>
  </si>
  <si>
    <t>Percentage</t>
  </si>
  <si>
    <t xml:space="preserve">  Mail Agent</t>
  </si>
  <si>
    <t>Current Prices</t>
  </si>
  <si>
    <t>New Prices</t>
  </si>
  <si>
    <t>Revenue Current Prices</t>
  </si>
  <si>
    <t>Revenue New Prices</t>
  </si>
  <si>
    <t>Percentage Change in Prices</t>
  </si>
  <si>
    <t>2/  Per thousand addresses.</t>
  </si>
  <si>
    <t>3/  Change from both the current fee to the proposed fee, or (Column 5 - Column 4)/Column 4.</t>
  </si>
  <si>
    <t xml:space="preserve"> Fee ($)  2/</t>
  </si>
  <si>
    <t>Percent Change In Fee 3/</t>
  </si>
  <si>
    <t xml:space="preserve">     L-5</t>
  </si>
  <si>
    <t>Bulk Parcel Return Service Volume</t>
  </si>
  <si>
    <t xml:space="preserve">Bulk Parcel Return Service Revenue </t>
  </si>
  <si>
    <t>Information about permit revenue and account maintenance revenue can be found on pages M-5 and M-10.</t>
  </si>
  <si>
    <t xml:space="preserve">                ----</t>
  </si>
  <si>
    <t>---</t>
  </si>
  <si>
    <t>Change of Address Credit Card Authentication</t>
  </si>
  <si>
    <t xml:space="preserve">    Electronic</t>
  </si>
  <si>
    <t>Unused Pricing Authority Available Following this Price Change</t>
  </si>
  <si>
    <t>Available Price Change Authority</t>
  </si>
  <si>
    <t>Special Services Price Change Authority</t>
  </si>
  <si>
    <t>CPI Percent Increase</t>
  </si>
  <si>
    <t>FY 2008 Price Change Unused Authority</t>
  </si>
  <si>
    <t>Price Change</t>
  </si>
  <si>
    <t>USPS-R2009-2/5</t>
  </si>
  <si>
    <t>Special Services Cap Compliance Worksheets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</si>
</sst>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%"/>
    <numFmt numFmtId="166" formatCode="_(* #,##0_);_(* \(#,##0\);_(* &quot;-&quot;??_);_(@_)"/>
    <numFmt numFmtId="167" formatCode="0.0000_)"/>
    <numFmt numFmtId="168" formatCode="0.000000_)"/>
    <numFmt numFmtId="169" formatCode="&quot;$&quot;#,##0.00"/>
    <numFmt numFmtId="170" formatCode="#,##0.000_);\(#,##0.000\)"/>
    <numFmt numFmtId="171" formatCode="dd\-mmm\-yy_)"/>
    <numFmt numFmtId="172" formatCode="hh:mm\ AM/PM_)"/>
    <numFmt numFmtId="173" formatCode="0_)"/>
    <numFmt numFmtId="174" formatCode="&quot;$&quot;#,##0"/>
    <numFmt numFmtId="175" formatCode="#,##0.0_);\(#,##0.0\)"/>
    <numFmt numFmtId="176" formatCode="&quot;$&quot;#,##0.0"/>
    <numFmt numFmtId="177" formatCode="_(&quot;$&quot;* #,##0_);_(&quot;$&quot;* \(#,##0\);_(&quot;$&quot;* &quot;-&quot;??_);_(@_)"/>
    <numFmt numFmtId="178" formatCode=";;;"/>
    <numFmt numFmtId="179" formatCode="dd\-mmm_)"/>
    <numFmt numFmtId="180" formatCode="_(* #,##0.000_);_(* \(#,##0.000\);_(* &quot;-&quot;??_);_(@_)"/>
    <numFmt numFmtId="181" formatCode="0.000%"/>
    <numFmt numFmtId="182" formatCode="0.0000%"/>
    <numFmt numFmtId="183" formatCode="0.00_);[Red]\(0.00\)"/>
    <numFmt numFmtId="184" formatCode="#,##0.0000_);[Red]\(#,##0.0000\)"/>
    <numFmt numFmtId="185" formatCode="_(&quot;$&quot;* #,##0.000_);_(&quot;$&quot;* \(#,##0.000\);_(&quot;$&quot;* &quot;-&quot;??_);_(@_)"/>
    <numFmt numFmtId="186" formatCode="0.00_);\(0.00\)"/>
    <numFmt numFmtId="187" formatCode="####"/>
    <numFmt numFmtId="188" formatCode="&quot;$&quot;#,#00.00"/>
    <numFmt numFmtId="189" formatCode="&quot;$&quot;0.00"/>
    <numFmt numFmtId="190" formatCode="_(&quot;$&quot;* #,##0.0000_);_(&quot;$&quot;* \(#,##0.0000\);_(&quot;$&quot;* &quot;-&quot;??_);_(@_)"/>
    <numFmt numFmtId="191" formatCode="0.00000%"/>
    <numFmt numFmtId="192" formatCode="_(* #,##0.0_);_(* \(#,##0.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fill"/>
    </xf>
    <xf numFmtId="37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15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/>
    </xf>
    <xf numFmtId="164" fontId="1" fillId="0" borderId="0" xfId="0" applyNumberFormat="1" applyFont="1" applyAlignment="1" applyProtection="1">
      <alignment horizontal="center"/>
      <protection/>
    </xf>
    <xf numFmtId="167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166" fontId="1" fillId="0" borderId="0" xfId="15" applyNumberFormat="1" applyFont="1" applyAlignment="1" applyProtection="1">
      <alignment/>
      <protection/>
    </xf>
    <xf numFmtId="166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68" fontId="1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9" fontId="1" fillId="0" borderId="0" xfId="2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fill"/>
    </xf>
    <xf numFmtId="39" fontId="1" fillId="0" borderId="0" xfId="0" applyNumberFormat="1" applyFont="1" applyAlignment="1" applyProtection="1">
      <alignment/>
      <protection/>
    </xf>
    <xf numFmtId="170" fontId="1" fillId="0" borderId="0" xfId="0" applyNumberFormat="1" applyFont="1" applyAlignment="1" applyProtection="1">
      <alignment/>
      <protection/>
    </xf>
    <xf numFmtId="171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 horizontal="fill"/>
    </xf>
    <xf numFmtId="0" fontId="1" fillId="0" borderId="1" xfId="0" applyFont="1" applyBorder="1" applyAlignment="1" quotePrefix="1">
      <alignment horizontal="fill"/>
    </xf>
    <xf numFmtId="5" fontId="1" fillId="0" borderId="0" xfId="0" applyNumberFormat="1" applyFont="1" applyAlignment="1">
      <alignment/>
    </xf>
    <xf numFmtId="7" fontId="1" fillId="0" borderId="0" xfId="0" applyNumberFormat="1" applyFont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fill"/>
      <protection/>
    </xf>
    <xf numFmtId="173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fill"/>
    </xf>
    <xf numFmtId="0" fontId="1" fillId="0" borderId="0" xfId="0" applyFont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7" fontId="1" fillId="0" borderId="0" xfId="0" applyNumberFormat="1" applyFont="1" applyBorder="1" applyAlignment="1" applyProtection="1">
      <alignment/>
      <protection/>
    </xf>
    <xf numFmtId="7" fontId="1" fillId="0" borderId="0" xfId="0" applyNumberFormat="1" applyFont="1" applyAlignment="1">
      <alignment/>
    </xf>
    <xf numFmtId="5" fontId="1" fillId="0" borderId="0" xfId="0" applyNumberFormat="1" applyFont="1" applyAlignment="1" applyProtection="1">
      <alignment horizontal="fill"/>
      <protection/>
    </xf>
    <xf numFmtId="0" fontId="1" fillId="0" borderId="0" xfId="0" applyFont="1" applyAlignment="1" quotePrefix="1">
      <alignment horizontal="fill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fill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center"/>
    </xf>
    <xf numFmtId="5" fontId="0" fillId="0" borderId="0" xfId="0" applyNumberFormat="1" applyFont="1" applyAlignment="1" applyProtection="1">
      <alignment/>
      <protection/>
    </xf>
    <xf numFmtId="10" fontId="0" fillId="0" borderId="0" xfId="0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/>
    </xf>
    <xf numFmtId="38" fontId="1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5" fontId="1" fillId="0" borderId="5" xfId="0" applyNumberFormat="1" applyFont="1" applyBorder="1" applyAlignment="1" applyProtection="1">
      <alignment/>
      <protection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9" fontId="1" fillId="0" borderId="0" xfId="0" applyNumberFormat="1" applyFont="1" applyBorder="1" applyAlignment="1" applyProtection="1">
      <alignment/>
      <protection/>
    </xf>
    <xf numFmtId="37" fontId="1" fillId="0" borderId="9" xfId="0" applyNumberFormat="1" applyFont="1" applyBorder="1" applyAlignment="1" applyProtection="1">
      <alignment/>
      <protection/>
    </xf>
    <xf numFmtId="0" fontId="1" fillId="0" borderId="7" xfId="0" applyFont="1" applyBorder="1" applyAlignment="1" quotePrefix="1">
      <alignment/>
    </xf>
    <xf numFmtId="176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Continuous"/>
    </xf>
    <xf numFmtId="38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37" fontId="1" fillId="0" borderId="0" xfId="0" applyNumberFormat="1" applyFont="1" applyBorder="1" applyAlignment="1" applyProtection="1">
      <alignment horizontal="fill"/>
      <protection/>
    </xf>
    <xf numFmtId="166" fontId="1" fillId="0" borderId="0" xfId="15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166" fontId="1" fillId="0" borderId="0" xfId="15" applyNumberFormat="1" applyFont="1" applyAlignment="1">
      <alignment horizontal="right"/>
    </xf>
    <xf numFmtId="177" fontId="1" fillId="0" borderId="0" xfId="17" applyNumberFormat="1" applyFont="1" applyAlignment="1">
      <alignment/>
    </xf>
    <xf numFmtId="0" fontId="1" fillId="0" borderId="0" xfId="0" applyFont="1" applyAlignment="1">
      <alignment horizontal="left"/>
    </xf>
    <xf numFmtId="178" fontId="1" fillId="0" borderId="0" xfId="0" applyNumberFormat="1" applyFont="1" applyAlignment="1" applyProtection="1">
      <alignment/>
      <protection/>
    </xf>
    <xf numFmtId="179" fontId="1" fillId="0" borderId="0" xfId="0" applyNumberFormat="1" applyFont="1" applyAlignment="1" applyProtection="1">
      <alignment/>
      <protection/>
    </xf>
    <xf numFmtId="0" fontId="1" fillId="0" borderId="0" xfId="0" applyFont="1" applyBorder="1" applyAlignment="1" quotePrefix="1">
      <alignment/>
    </xf>
    <xf numFmtId="10" fontId="1" fillId="0" borderId="0" xfId="21" applyNumberFormat="1" applyFont="1" applyAlignment="1">
      <alignment/>
    </xf>
    <xf numFmtId="0" fontId="1" fillId="0" borderId="0" xfId="0" applyFont="1" applyBorder="1" applyAlignment="1" quotePrefix="1">
      <alignment horizontal="center"/>
    </xf>
    <xf numFmtId="166" fontId="1" fillId="0" borderId="2" xfId="15" applyNumberFormat="1" applyFont="1" applyBorder="1" applyAlignment="1">
      <alignment/>
    </xf>
    <xf numFmtId="0" fontId="1" fillId="2" borderId="0" xfId="0" applyFont="1" applyFill="1" applyAlignment="1">
      <alignment/>
    </xf>
    <xf numFmtId="37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37" fontId="1" fillId="0" borderId="2" xfId="0" applyNumberFormat="1" applyFont="1" applyBorder="1" applyAlignment="1" applyProtection="1">
      <alignment/>
      <protection/>
    </xf>
    <xf numFmtId="15" fontId="0" fillId="0" borderId="0" xfId="0" applyNumberFormat="1" applyFont="1" applyAlignment="1">
      <alignment horizontal="left"/>
    </xf>
    <xf numFmtId="22" fontId="1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fill"/>
    </xf>
    <xf numFmtId="37" fontId="1" fillId="0" borderId="0" xfId="0" applyNumberFormat="1" applyFont="1" applyBorder="1" applyAlignment="1">
      <alignment/>
    </xf>
    <xf numFmtId="166" fontId="1" fillId="0" borderId="0" xfId="15" applyNumberFormat="1" applyFont="1" applyBorder="1" applyAlignment="1" applyProtection="1">
      <alignment/>
      <protection/>
    </xf>
    <xf numFmtId="14" fontId="1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Continuous"/>
    </xf>
    <xf numFmtId="37" fontId="1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37" fontId="1" fillId="0" borderId="0" xfId="0" applyNumberFormat="1" applyFont="1" applyFill="1" applyAlignment="1">
      <alignment/>
    </xf>
    <xf numFmtId="37" fontId="1" fillId="0" borderId="2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3" fontId="1" fillId="0" borderId="2" xfId="0" applyNumberFormat="1" applyFont="1" applyBorder="1" applyAlignment="1">
      <alignment/>
    </xf>
    <xf numFmtId="37" fontId="1" fillId="0" borderId="0" xfId="0" applyNumberFormat="1" applyFont="1" applyBorder="1" applyAlignment="1" applyProtection="1">
      <alignment horizontal="center"/>
      <protection/>
    </xf>
    <xf numFmtId="7" fontId="1" fillId="0" borderId="0" xfId="0" applyNumberFormat="1" applyFont="1" applyBorder="1" applyAlignment="1" applyProtection="1">
      <alignment horizontal="center"/>
      <protection/>
    </xf>
    <xf numFmtId="44" fontId="1" fillId="0" borderId="0" xfId="17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39" fontId="1" fillId="0" borderId="0" xfId="0" applyNumberFormat="1" applyFont="1" applyBorder="1" applyAlignment="1" applyProtection="1">
      <alignment horizontal="center"/>
      <protection/>
    </xf>
    <xf numFmtId="176" fontId="1" fillId="0" borderId="0" xfId="0" applyNumberFormat="1" applyFont="1" applyBorder="1" applyAlignment="1">
      <alignment horizontal="right"/>
    </xf>
    <xf numFmtId="6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right"/>
    </xf>
    <xf numFmtId="37" fontId="1" fillId="0" borderId="0" xfId="0" applyNumberFormat="1" applyFont="1" applyBorder="1" applyAlignment="1">
      <alignment horizontal="fill"/>
    </xf>
    <xf numFmtId="0" fontId="1" fillId="0" borderId="0" xfId="0" applyFont="1" applyAlignment="1" quotePrefix="1">
      <alignment horizontal="right"/>
    </xf>
    <xf numFmtId="7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7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fill"/>
    </xf>
    <xf numFmtId="5" fontId="1" fillId="0" borderId="0" xfId="0" applyNumberFormat="1" applyFont="1" applyFill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43" fontId="0" fillId="0" borderId="0" xfId="15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166" fontId="1" fillId="0" borderId="0" xfId="15" applyNumberFormat="1" applyFont="1" applyAlignment="1">
      <alignment horizontal="left"/>
    </xf>
    <xf numFmtId="177" fontId="1" fillId="0" borderId="0" xfId="17" applyNumberFormat="1" applyFont="1" applyAlignment="1" applyProtection="1">
      <alignment/>
      <protection/>
    </xf>
    <xf numFmtId="166" fontId="0" fillId="0" borderId="0" xfId="15" applyNumberFormat="1" applyAlignment="1">
      <alignment/>
    </xf>
    <xf numFmtId="49" fontId="0" fillId="0" borderId="0" xfId="0" applyNumberFormat="1" applyAlignment="1">
      <alignment horizontal="right"/>
    </xf>
    <xf numFmtId="43" fontId="0" fillId="0" borderId="0" xfId="15" applyAlignment="1">
      <alignment horizontal="center"/>
    </xf>
    <xf numFmtId="43" fontId="0" fillId="0" borderId="0" xfId="15" applyAlignment="1">
      <alignment horizontal="right"/>
    </xf>
    <xf numFmtId="43" fontId="0" fillId="0" borderId="0" xfId="15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44" fontId="0" fillId="0" borderId="0" xfId="17" applyAlignment="1">
      <alignment horizontal="right"/>
    </xf>
    <xf numFmtId="166" fontId="1" fillId="0" borderId="0" xfId="15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66" fontId="1" fillId="0" borderId="0" xfId="15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1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13" xfId="0" applyNumberFormat="1" applyFont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 quotePrefix="1">
      <alignment horizontal="center" wrapText="1"/>
    </xf>
    <xf numFmtId="0" fontId="0" fillId="0" borderId="17" xfId="0" applyFont="1" applyBorder="1" applyAlignment="1">
      <alignment horizontal="fill"/>
    </xf>
    <xf numFmtId="0" fontId="0" fillId="0" borderId="17" xfId="0" applyFont="1" applyBorder="1" applyAlignment="1">
      <alignment horizontal="center"/>
    </xf>
    <xf numFmtId="37" fontId="0" fillId="0" borderId="17" xfId="0" applyNumberFormat="1" applyFont="1" applyBorder="1" applyAlignment="1" applyProtection="1">
      <alignment/>
      <protection/>
    </xf>
    <xf numFmtId="0" fontId="0" fillId="0" borderId="19" xfId="0" applyFont="1" applyBorder="1" applyAlignment="1">
      <alignment horizontal="fill"/>
    </xf>
    <xf numFmtId="0" fontId="0" fillId="0" borderId="19" xfId="0" applyFont="1" applyBorder="1" applyAlignment="1">
      <alignment/>
    </xf>
    <xf numFmtId="37" fontId="0" fillId="0" borderId="19" xfId="0" applyNumberFormat="1" applyFont="1" applyBorder="1" applyAlignment="1" applyProtection="1">
      <alignment/>
      <protection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 quotePrefix="1">
      <alignment horizontal="fill"/>
    </xf>
    <xf numFmtId="5" fontId="1" fillId="0" borderId="0" xfId="0" applyNumberFormat="1" applyFont="1" applyBorder="1" applyAlignment="1">
      <alignment/>
    </xf>
    <xf numFmtId="37" fontId="1" fillId="0" borderId="2" xfId="0" applyNumberFormat="1" applyFont="1" applyBorder="1" applyAlignment="1" applyProtection="1">
      <alignment horizontal="center"/>
      <protection/>
    </xf>
    <xf numFmtId="166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21" xfId="0" applyFont="1" applyBorder="1" applyAlignment="1">
      <alignment horizontal="fill"/>
    </xf>
    <xf numFmtId="0" fontId="1" fillId="0" borderId="11" xfId="0" applyFont="1" applyBorder="1" applyAlignment="1">
      <alignment horizontal="fill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43" fontId="1" fillId="0" borderId="0" xfId="15" applyFont="1" applyBorder="1" applyAlignment="1" applyProtection="1">
      <alignment horizontal="right"/>
      <protection/>
    </xf>
    <xf numFmtId="10" fontId="1" fillId="0" borderId="13" xfId="0" applyNumberFormat="1" applyFont="1" applyBorder="1" applyAlignment="1" applyProtection="1">
      <alignment/>
      <protection/>
    </xf>
    <xf numFmtId="9" fontId="1" fillId="0" borderId="0" xfId="21" applyFont="1" applyBorder="1" applyAlignment="1" applyProtection="1">
      <alignment/>
      <protection/>
    </xf>
    <xf numFmtId="9" fontId="1" fillId="0" borderId="0" xfId="21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fill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0" xfId="15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10" fontId="1" fillId="0" borderId="13" xfId="0" applyNumberFormat="1" applyFont="1" applyBorder="1" applyAlignment="1" applyProtection="1">
      <alignment horizontal="center"/>
      <protection/>
    </xf>
    <xf numFmtId="165" fontId="1" fillId="0" borderId="13" xfId="0" applyNumberFormat="1" applyFont="1" applyBorder="1" applyAlignment="1" applyProtection="1">
      <alignment horizontal="center"/>
      <protection/>
    </xf>
    <xf numFmtId="165" fontId="1" fillId="0" borderId="13" xfId="0" applyNumberFormat="1" applyFont="1" applyBorder="1" applyAlignment="1">
      <alignment horizontal="center"/>
    </xf>
    <xf numFmtId="0" fontId="1" fillId="0" borderId="22" xfId="0" applyFont="1" applyBorder="1" applyAlignment="1">
      <alignment horizontal="fill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37" fontId="1" fillId="0" borderId="17" xfId="0" applyNumberFormat="1" applyFont="1" applyBorder="1" applyAlignment="1" applyProtection="1">
      <alignment/>
      <protection/>
    </xf>
    <xf numFmtId="37" fontId="1" fillId="0" borderId="17" xfId="0" applyNumberFormat="1" applyFont="1" applyBorder="1" applyAlignment="1" applyProtection="1">
      <alignment horizontal="center"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fill"/>
    </xf>
    <xf numFmtId="0" fontId="1" fillId="0" borderId="24" xfId="0" applyFont="1" applyBorder="1" applyAlignment="1">
      <alignment horizontal="fill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37" fontId="1" fillId="0" borderId="19" xfId="0" applyNumberFormat="1" applyFont="1" applyBorder="1" applyAlignment="1" applyProtection="1">
      <alignment/>
      <protection/>
    </xf>
    <xf numFmtId="37" fontId="1" fillId="0" borderId="25" xfId="0" applyNumberFormat="1" applyFont="1" applyBorder="1" applyAlignment="1" applyProtection="1">
      <alignment/>
      <protection/>
    </xf>
    <xf numFmtId="37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166" fontId="1" fillId="0" borderId="19" xfId="15" applyNumberFormat="1" applyFont="1" applyBorder="1" applyAlignment="1" applyProtection="1">
      <alignment/>
      <protection/>
    </xf>
    <xf numFmtId="166" fontId="1" fillId="0" borderId="17" xfId="15" applyNumberFormat="1" applyFont="1" applyBorder="1" applyAlignment="1" applyProtection="1">
      <alignment/>
      <protection/>
    </xf>
    <xf numFmtId="0" fontId="1" fillId="0" borderId="18" xfId="0" applyFont="1" applyBorder="1" applyAlignment="1">
      <alignment/>
    </xf>
    <xf numFmtId="3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37" fontId="1" fillId="0" borderId="15" xfId="0" applyNumberFormat="1" applyFont="1" applyBorder="1" applyAlignment="1" applyProtection="1">
      <alignment/>
      <protection/>
    </xf>
    <xf numFmtId="10" fontId="1" fillId="0" borderId="16" xfId="0" applyNumberFormat="1" applyFont="1" applyBorder="1" applyAlignment="1" applyProtection="1">
      <alignment/>
      <protection/>
    </xf>
    <xf numFmtId="0" fontId="1" fillId="0" borderId="10" xfId="0" applyFont="1" applyBorder="1" applyAlignment="1" quotePrefix="1">
      <alignment/>
    </xf>
    <xf numFmtId="37" fontId="1" fillId="0" borderId="18" xfId="0" applyNumberFormat="1" applyFont="1" applyBorder="1" applyAlignment="1" applyProtection="1">
      <alignment/>
      <protection/>
    </xf>
    <xf numFmtId="37" fontId="1" fillId="0" borderId="20" xfId="0" applyNumberFormat="1" applyFont="1" applyBorder="1" applyAlignment="1" applyProtection="1">
      <alignment/>
      <protection/>
    </xf>
    <xf numFmtId="49" fontId="1" fillId="0" borderId="19" xfId="0" applyNumberFormat="1" applyFont="1" applyBorder="1" applyAlignment="1">
      <alignment horizontal="center"/>
    </xf>
    <xf numFmtId="0" fontId="1" fillId="0" borderId="26" xfId="0" applyFont="1" applyBorder="1" applyAlignment="1">
      <alignment horizontal="fill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37" fontId="1" fillId="0" borderId="27" xfId="0" applyNumberFormat="1" applyFont="1" applyBorder="1" applyAlignment="1" applyProtection="1">
      <alignment/>
      <protection/>
    </xf>
    <xf numFmtId="37" fontId="1" fillId="0" borderId="28" xfId="0" applyNumberFormat="1" applyFont="1" applyBorder="1" applyAlignment="1" applyProtection="1">
      <alignment/>
      <protection/>
    </xf>
    <xf numFmtId="166" fontId="1" fillId="0" borderId="0" xfId="15" applyNumberFormat="1" applyFont="1" applyAlignment="1" applyProtection="1">
      <alignment/>
      <protection/>
    </xf>
    <xf numFmtId="44" fontId="1" fillId="0" borderId="0" xfId="17" applyFont="1" applyBorder="1" applyAlignment="1" applyProtection="1">
      <alignment/>
      <protection/>
    </xf>
    <xf numFmtId="37" fontId="1" fillId="0" borderId="21" xfId="0" applyNumberFormat="1" applyFont="1" applyBorder="1" applyAlignment="1" applyProtection="1">
      <alignment/>
      <protection/>
    </xf>
    <xf numFmtId="10" fontId="1" fillId="0" borderId="11" xfId="0" applyNumberFormat="1" applyFont="1" applyBorder="1" applyAlignment="1" applyProtection="1">
      <alignment/>
      <protection/>
    </xf>
    <xf numFmtId="0" fontId="1" fillId="0" borderId="0" xfId="0" applyFont="1" applyAlignment="1" quotePrefix="1">
      <alignment/>
    </xf>
    <xf numFmtId="37" fontId="1" fillId="0" borderId="0" xfId="0" applyNumberFormat="1" applyFont="1" applyBorder="1" applyAlignment="1">
      <alignment horizontal="center"/>
    </xf>
    <xf numFmtId="5" fontId="1" fillId="0" borderId="2" xfId="0" applyNumberFormat="1" applyFont="1" applyBorder="1" applyAlignment="1" applyProtection="1">
      <alignment/>
      <protection/>
    </xf>
    <xf numFmtId="37" fontId="1" fillId="0" borderId="2" xfId="0" applyNumberFormat="1" applyFont="1" applyFill="1" applyBorder="1" applyAlignment="1">
      <alignment/>
    </xf>
    <xf numFmtId="166" fontId="1" fillId="0" borderId="2" xfId="15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5" fontId="1" fillId="0" borderId="0" xfId="0" applyNumberFormat="1" applyFont="1" applyAlignment="1" applyProtection="1">
      <alignment horizontal="center"/>
      <protection/>
    </xf>
    <xf numFmtId="0" fontId="1" fillId="0" borderId="12" xfId="0" applyFont="1" applyBorder="1" applyAlignment="1">
      <alignment horizontal="fill"/>
    </xf>
    <xf numFmtId="185" fontId="1" fillId="0" borderId="0" xfId="17" applyNumberFormat="1" applyFont="1" applyBorder="1" applyAlignment="1">
      <alignment horizontal="right"/>
    </xf>
    <xf numFmtId="37" fontId="1" fillId="0" borderId="23" xfId="0" applyNumberFormat="1" applyFont="1" applyFill="1" applyBorder="1" applyAlignment="1">
      <alignment/>
    </xf>
    <xf numFmtId="37" fontId="1" fillId="0" borderId="17" xfId="0" applyNumberFormat="1" applyFont="1" applyBorder="1" applyAlignment="1">
      <alignment horizontal="right"/>
    </xf>
    <xf numFmtId="166" fontId="1" fillId="0" borderId="17" xfId="15" applyNumberFormat="1" applyFont="1" applyBorder="1" applyAlignment="1">
      <alignment/>
    </xf>
    <xf numFmtId="37" fontId="1" fillId="0" borderId="23" xfId="0" applyNumberFormat="1" applyFont="1" applyFill="1" applyBorder="1" applyAlignment="1">
      <alignment horizontal="right"/>
    </xf>
    <xf numFmtId="37" fontId="1" fillId="0" borderId="23" xfId="0" applyNumberFormat="1" applyFont="1" applyBorder="1" applyAlignment="1">
      <alignment/>
    </xf>
    <xf numFmtId="166" fontId="1" fillId="0" borderId="19" xfId="15" applyNumberFormat="1" applyFont="1" applyBorder="1" applyAlignment="1">
      <alignment/>
    </xf>
    <xf numFmtId="37" fontId="1" fillId="0" borderId="25" xfId="0" applyNumberFormat="1" applyFont="1" applyFill="1" applyBorder="1" applyAlignment="1">
      <alignment/>
    </xf>
    <xf numFmtId="37" fontId="1" fillId="0" borderId="19" xfId="0" applyNumberFormat="1" applyFont="1" applyBorder="1" applyAlignment="1">
      <alignment horizontal="right"/>
    </xf>
    <xf numFmtId="37" fontId="1" fillId="0" borderId="25" xfId="0" applyNumberFormat="1" applyFont="1" applyFill="1" applyBorder="1" applyAlignment="1">
      <alignment horizontal="right"/>
    </xf>
    <xf numFmtId="37" fontId="1" fillId="0" borderId="25" xfId="0" applyNumberFormat="1" applyFont="1" applyBorder="1" applyAlignment="1">
      <alignment/>
    </xf>
    <xf numFmtId="37" fontId="1" fillId="0" borderId="27" xfId="0" applyNumberFormat="1" applyFont="1" applyFill="1" applyBorder="1" applyAlignment="1">
      <alignment horizontal="right"/>
    </xf>
    <xf numFmtId="37" fontId="1" fillId="0" borderId="27" xfId="0" applyNumberFormat="1" applyFont="1" applyFill="1" applyBorder="1" applyAlignment="1">
      <alignment/>
    </xf>
    <xf numFmtId="37" fontId="1" fillId="0" borderId="27" xfId="15" applyNumberFormat="1" applyFont="1" applyBorder="1" applyAlignment="1">
      <alignment/>
    </xf>
    <xf numFmtId="37" fontId="1" fillId="0" borderId="29" xfId="0" applyNumberFormat="1" applyFont="1" applyFill="1" applyBorder="1" applyAlignment="1">
      <alignment/>
    </xf>
    <xf numFmtId="37" fontId="1" fillId="0" borderId="27" xfId="0" applyNumberFormat="1" applyFont="1" applyBorder="1" applyAlignment="1">
      <alignment/>
    </xf>
    <xf numFmtId="37" fontId="1" fillId="0" borderId="27" xfId="0" applyNumberFormat="1" applyFont="1" applyBorder="1" applyAlignment="1" applyProtection="1">
      <alignment/>
      <protection/>
    </xf>
    <xf numFmtId="0" fontId="1" fillId="0" borderId="27" xfId="0" applyFont="1" applyBorder="1" applyAlignment="1">
      <alignment/>
    </xf>
    <xf numFmtId="37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9" fontId="1" fillId="0" borderId="13" xfId="21" applyFont="1" applyBorder="1" applyAlignment="1" applyProtection="1">
      <alignment horizontal="center"/>
      <protection/>
    </xf>
    <xf numFmtId="0" fontId="0" fillId="0" borderId="26" xfId="0" applyFont="1" applyBorder="1" applyAlignment="1">
      <alignment horizontal="fill"/>
    </xf>
    <xf numFmtId="0" fontId="0" fillId="0" borderId="21" xfId="0" applyFont="1" applyBorder="1" applyAlignment="1">
      <alignment horizontal="fill"/>
    </xf>
    <xf numFmtId="0" fontId="0" fillId="0" borderId="24" xfId="0" applyFont="1" applyBorder="1" applyAlignment="1">
      <alignment horizontal="fill"/>
    </xf>
    <xf numFmtId="0" fontId="0" fillId="0" borderId="22" xfId="0" applyFont="1" applyBorder="1" applyAlignment="1">
      <alignment horizontal="fill"/>
    </xf>
    <xf numFmtId="0" fontId="0" fillId="0" borderId="11" xfId="0" applyFont="1" applyBorder="1" applyAlignment="1">
      <alignment horizontal="fill"/>
    </xf>
    <xf numFmtId="0" fontId="0" fillId="0" borderId="27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37" fontId="0" fillId="0" borderId="27" xfId="0" applyNumberFormat="1" applyFont="1" applyBorder="1" applyAlignment="1" applyProtection="1">
      <alignment/>
      <protection/>
    </xf>
    <xf numFmtId="2" fontId="0" fillId="0" borderId="0" xfId="15" applyNumberFormat="1" applyFont="1" applyBorder="1" applyAlignment="1" applyProtection="1">
      <alignment horizontal="center"/>
      <protection/>
    </xf>
    <xf numFmtId="165" fontId="0" fillId="0" borderId="13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>
      <alignment/>
    </xf>
    <xf numFmtId="10" fontId="0" fillId="0" borderId="16" xfId="0" applyNumberFormat="1" applyFont="1" applyBorder="1" applyAlignment="1" applyProtection="1">
      <alignment/>
      <protection/>
    </xf>
    <xf numFmtId="37" fontId="0" fillId="0" borderId="28" xfId="0" applyNumberFormat="1" applyFont="1" applyBorder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7" fontId="0" fillId="0" borderId="15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0" fontId="0" fillId="0" borderId="10" xfId="0" applyFont="1" applyBorder="1" applyAlignment="1" quotePrefix="1">
      <alignment/>
    </xf>
    <xf numFmtId="0" fontId="1" fillId="0" borderId="10" xfId="0" applyFont="1" applyBorder="1" applyAlignment="1">
      <alignment horizontal="fill"/>
    </xf>
    <xf numFmtId="0" fontId="1" fillId="0" borderId="30" xfId="0" applyFont="1" applyBorder="1" applyAlignment="1">
      <alignment/>
    </xf>
    <xf numFmtId="0" fontId="1" fillId="0" borderId="18" xfId="0" applyFont="1" applyBorder="1" applyAlignment="1" quotePrefix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4" fontId="1" fillId="0" borderId="0" xfId="17" applyFon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>
      <alignment horizontal="fill"/>
    </xf>
    <xf numFmtId="0" fontId="1" fillId="0" borderId="19" xfId="0" applyFont="1" applyBorder="1" applyAlignment="1">
      <alignment horizontal="fill"/>
    </xf>
    <xf numFmtId="0" fontId="1" fillId="0" borderId="15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fill"/>
    </xf>
    <xf numFmtId="37" fontId="1" fillId="0" borderId="19" xfId="0" applyNumberFormat="1" applyFont="1" applyBorder="1" applyAlignment="1" applyProtection="1">
      <alignment horizontal="center"/>
      <protection/>
    </xf>
    <xf numFmtId="9" fontId="1" fillId="0" borderId="18" xfId="21" applyFont="1" applyBorder="1" applyAlignment="1">
      <alignment/>
    </xf>
    <xf numFmtId="7" fontId="1" fillId="0" borderId="0" xfId="0" applyNumberFormat="1" applyFont="1" applyBorder="1" applyAlignment="1">
      <alignment/>
    </xf>
    <xf numFmtId="0" fontId="1" fillId="0" borderId="12" xfId="0" applyFont="1" applyBorder="1" applyAlignment="1" quotePrefix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14" xfId="0" applyFont="1" applyFill="1" applyBorder="1" applyAlignment="1" quotePrefix="1">
      <alignment/>
    </xf>
    <xf numFmtId="37" fontId="1" fillId="0" borderId="2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166" fontId="1" fillId="0" borderId="2" xfId="15" applyNumberFormat="1" applyFont="1" applyBorder="1" applyAlignment="1">
      <alignment horizontal="center"/>
    </xf>
    <xf numFmtId="0" fontId="0" fillId="0" borderId="19" xfId="0" applyBorder="1" applyAlignment="1">
      <alignment/>
    </xf>
    <xf numFmtId="173" fontId="1" fillId="0" borderId="0" xfId="0" applyNumberFormat="1" applyFont="1" applyBorder="1" applyAlignment="1" applyProtection="1">
      <alignment/>
      <protection/>
    </xf>
    <xf numFmtId="165" fontId="1" fillId="0" borderId="13" xfId="21" applyNumberFormat="1" applyFont="1" applyBorder="1" applyAlignment="1" applyProtection="1">
      <alignment horizontal="center"/>
      <protection/>
    </xf>
    <xf numFmtId="7" fontId="1" fillId="0" borderId="13" xfId="17" applyNumberFormat="1" applyFont="1" applyBorder="1" applyAlignment="1" applyProtection="1">
      <alignment horizontal="center"/>
      <protection/>
    </xf>
    <xf numFmtId="7" fontId="1" fillId="0" borderId="13" xfId="0" applyNumberFormat="1" applyFont="1" applyBorder="1" applyAlignment="1" applyProtection="1">
      <alignment horizontal="center"/>
      <protection/>
    </xf>
    <xf numFmtId="0" fontId="1" fillId="0" borderId="12" xfId="0" applyFont="1" applyFill="1" applyBorder="1" applyAlignment="1">
      <alignment/>
    </xf>
    <xf numFmtId="7" fontId="1" fillId="0" borderId="13" xfId="0" applyNumberFormat="1" applyFont="1" applyBorder="1" applyAlignment="1" applyProtection="1">
      <alignment/>
      <protection/>
    </xf>
    <xf numFmtId="5" fontId="1" fillId="0" borderId="0" xfId="17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3" fontId="1" fillId="0" borderId="17" xfId="0" applyNumberFormat="1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5" fontId="1" fillId="0" borderId="17" xfId="0" applyNumberFormat="1" applyFont="1" applyBorder="1" applyAlignment="1" applyProtection="1">
      <alignment/>
      <protection/>
    </xf>
    <xf numFmtId="7" fontId="1" fillId="0" borderId="17" xfId="17" applyNumberFormat="1" applyFont="1" applyBorder="1" applyAlignment="1" applyProtection="1">
      <alignment/>
      <protection/>
    </xf>
    <xf numFmtId="7" fontId="1" fillId="0" borderId="17" xfId="0" applyNumberFormat="1" applyFont="1" applyBorder="1" applyAlignment="1" applyProtection="1">
      <alignment/>
      <protection/>
    </xf>
    <xf numFmtId="5" fontId="1" fillId="0" borderId="23" xfId="0" applyNumberFormat="1" applyFont="1" applyBorder="1" applyAlignment="1" applyProtection="1">
      <alignment/>
      <protection/>
    </xf>
    <xf numFmtId="5" fontId="1" fillId="0" borderId="17" xfId="17" applyNumberFormat="1" applyFont="1" applyBorder="1" applyAlignment="1" applyProtection="1">
      <alignment/>
      <protection/>
    </xf>
    <xf numFmtId="173" fontId="1" fillId="0" borderId="19" xfId="0" applyNumberFormat="1" applyFont="1" applyBorder="1" applyAlignment="1" applyProtection="1">
      <alignment/>
      <protection/>
    </xf>
    <xf numFmtId="0" fontId="0" fillId="0" borderId="20" xfId="0" applyBorder="1" applyAlignment="1">
      <alignment/>
    </xf>
    <xf numFmtId="5" fontId="1" fillId="0" borderId="19" xfId="0" applyNumberFormat="1" applyFont="1" applyBorder="1" applyAlignment="1" applyProtection="1">
      <alignment/>
      <protection/>
    </xf>
    <xf numFmtId="7" fontId="1" fillId="0" borderId="19" xfId="17" applyNumberFormat="1" applyFont="1" applyBorder="1" applyAlignment="1" applyProtection="1">
      <alignment/>
      <protection/>
    </xf>
    <xf numFmtId="7" fontId="1" fillId="0" borderId="19" xfId="0" applyNumberFormat="1" applyFont="1" applyBorder="1" applyAlignment="1" applyProtection="1">
      <alignment/>
      <protection/>
    </xf>
    <xf numFmtId="5" fontId="1" fillId="0" borderId="25" xfId="0" applyNumberFormat="1" applyFont="1" applyBorder="1" applyAlignment="1" applyProtection="1">
      <alignment/>
      <protection/>
    </xf>
    <xf numFmtId="5" fontId="1" fillId="0" borderId="19" xfId="17" applyNumberFormat="1" applyFont="1" applyBorder="1" applyAlignment="1" applyProtection="1">
      <alignment/>
      <protection/>
    </xf>
    <xf numFmtId="173" fontId="1" fillId="0" borderId="27" xfId="0" applyNumberFormat="1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12" xfId="0" applyFont="1" applyFill="1" applyBorder="1" applyAlignment="1">
      <alignment horizontal="fill"/>
    </xf>
    <xf numFmtId="37" fontId="1" fillId="0" borderId="0" xfId="0" applyNumberFormat="1" applyFont="1" applyFill="1" applyBorder="1" applyAlignment="1" applyProtection="1">
      <alignment/>
      <protection/>
    </xf>
    <xf numFmtId="7" fontId="1" fillId="0" borderId="0" xfId="0" applyNumberFormat="1" applyFont="1" applyFill="1" applyBorder="1" applyAlignment="1" applyProtection="1">
      <alignment/>
      <protection/>
    </xf>
    <xf numFmtId="10" fontId="1" fillId="0" borderId="13" xfId="0" applyNumberFormat="1" applyFont="1" applyFill="1" applyBorder="1" applyAlignment="1" applyProtection="1">
      <alignment/>
      <protection/>
    </xf>
    <xf numFmtId="44" fontId="1" fillId="0" borderId="0" xfId="17" applyFont="1" applyFill="1" applyBorder="1" applyAlignment="1" applyProtection="1">
      <alignment/>
      <protection/>
    </xf>
    <xf numFmtId="10" fontId="1" fillId="0" borderId="0" xfId="0" applyNumberFormat="1" applyFont="1" applyAlignment="1">
      <alignment/>
    </xf>
    <xf numFmtId="44" fontId="1" fillId="0" borderId="0" xfId="17" applyFont="1" applyAlignment="1">
      <alignment/>
    </xf>
    <xf numFmtId="0" fontId="0" fillId="0" borderId="0" xfId="0" applyFont="1" applyAlignment="1" quotePrefix="1">
      <alignment/>
    </xf>
    <xf numFmtId="37" fontId="1" fillId="0" borderId="2" xfId="0" applyNumberFormat="1" applyFont="1" applyBorder="1" applyAlignment="1">
      <alignment horizontal="center"/>
    </xf>
    <xf numFmtId="0" fontId="1" fillId="0" borderId="21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43" fontId="1" fillId="0" borderId="0" xfId="15" applyNumberFormat="1" applyFont="1" applyBorder="1" applyAlignment="1">
      <alignment horizontal="right"/>
    </xf>
    <xf numFmtId="165" fontId="1" fillId="0" borderId="13" xfId="21" applyNumberFormat="1" applyFont="1" applyBorder="1" applyAlignment="1">
      <alignment horizontal="center"/>
    </xf>
    <xf numFmtId="43" fontId="1" fillId="0" borderId="0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0" fontId="1" fillId="0" borderId="14" xfId="0" applyFont="1" applyBorder="1" applyAlignment="1" quotePrefix="1">
      <alignment/>
    </xf>
    <xf numFmtId="0" fontId="1" fillId="0" borderId="22" xfId="0" applyFont="1" applyBorder="1" applyAlignment="1" quotePrefix="1">
      <alignment horizontal="center"/>
    </xf>
    <xf numFmtId="0" fontId="1" fillId="0" borderId="24" xfId="0" applyFont="1" applyBorder="1" applyAlignment="1" quotePrefix="1">
      <alignment horizontal="center"/>
    </xf>
    <xf numFmtId="37" fontId="1" fillId="0" borderId="19" xfId="0" applyNumberFormat="1" applyFont="1" applyFill="1" applyBorder="1" applyAlignment="1">
      <alignment/>
    </xf>
    <xf numFmtId="0" fontId="1" fillId="0" borderId="26" xfId="0" applyFont="1" applyBorder="1" applyAlignment="1" quotePrefix="1">
      <alignment horizontal="center"/>
    </xf>
    <xf numFmtId="37" fontId="1" fillId="0" borderId="27" xfId="0" applyNumberFormat="1" applyFont="1" applyBorder="1" applyAlignment="1">
      <alignment horizontal="right"/>
    </xf>
    <xf numFmtId="37" fontId="1" fillId="0" borderId="29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7" fontId="1" fillId="0" borderId="27" xfId="0" applyNumberFormat="1" applyFont="1" applyBorder="1" applyAlignment="1">
      <alignment horizontal="center"/>
    </xf>
    <xf numFmtId="37" fontId="1" fillId="0" borderId="31" xfId="0" applyNumberFormat="1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1" fillId="0" borderId="33" xfId="0" applyNumberFormat="1" applyFont="1" applyBorder="1" applyAlignment="1">
      <alignment horizontal="right"/>
    </xf>
    <xf numFmtId="164" fontId="1" fillId="0" borderId="0" xfId="0" applyNumberFormat="1" applyFont="1" applyBorder="1" applyAlignment="1" applyProtection="1">
      <alignment/>
      <protection/>
    </xf>
    <xf numFmtId="176" fontId="1" fillId="0" borderId="0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0" fontId="4" fillId="0" borderId="0" xfId="0" applyFont="1" applyAlignment="1" quotePrefix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1" fontId="1" fillId="0" borderId="12" xfId="0" applyNumberFormat="1" applyFont="1" applyBorder="1" applyAlignment="1" applyProtection="1">
      <alignment horizontal="center"/>
      <protection/>
    </xf>
    <xf numFmtId="41" fontId="1" fillId="0" borderId="12" xfId="0" applyNumberFormat="1" applyFont="1" applyBorder="1" applyAlignment="1">
      <alignment horizontal="center"/>
    </xf>
    <xf numFmtId="43" fontId="1" fillId="0" borderId="0" xfId="15" applyFont="1" applyBorder="1" applyAlignment="1" applyProtection="1">
      <alignment/>
      <protection/>
    </xf>
    <xf numFmtId="41" fontId="1" fillId="0" borderId="12" xfId="15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3" fontId="1" fillId="0" borderId="0" xfId="15" applyFont="1" applyBorder="1" applyAlignment="1">
      <alignment/>
    </xf>
    <xf numFmtId="37" fontId="1" fillId="0" borderId="21" xfId="0" applyNumberFormat="1" applyFont="1" applyFill="1" applyBorder="1" applyAlignment="1" applyProtection="1" quotePrefix="1">
      <alignment horizontal="fill"/>
      <protection/>
    </xf>
    <xf numFmtId="0" fontId="4" fillId="0" borderId="0" xfId="0" applyFont="1" applyAlignment="1">
      <alignment/>
    </xf>
    <xf numFmtId="0" fontId="4" fillId="0" borderId="15" xfId="0" applyFont="1" applyBorder="1" applyAlignment="1" quotePrefix="1">
      <alignment/>
    </xf>
    <xf numFmtId="0" fontId="1" fillId="0" borderId="14" xfId="0" applyFont="1" applyFill="1" applyBorder="1" applyAlignment="1">
      <alignment/>
    </xf>
    <xf numFmtId="41" fontId="1" fillId="0" borderId="12" xfId="0" applyNumberFormat="1" applyFont="1" applyBorder="1" applyAlignment="1">
      <alignment/>
    </xf>
    <xf numFmtId="164" fontId="1" fillId="0" borderId="15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37" fontId="1" fillId="0" borderId="34" xfId="0" applyNumberFormat="1" applyFont="1" applyBorder="1" applyAlignment="1" applyProtection="1">
      <alignment horizontal="fill"/>
      <protection/>
    </xf>
    <xf numFmtId="0" fontId="1" fillId="0" borderId="24" xfId="0" applyFont="1" applyBorder="1" applyAlignment="1">
      <alignment horizontal="center"/>
    </xf>
    <xf numFmtId="37" fontId="1" fillId="0" borderId="35" xfId="0" applyNumberFormat="1" applyFont="1" applyBorder="1" applyAlignment="1" applyProtection="1">
      <alignment horizontal="fill"/>
      <protection/>
    </xf>
    <xf numFmtId="0" fontId="1" fillId="0" borderId="26" xfId="0" applyFont="1" applyBorder="1" applyAlignment="1">
      <alignment horizontal="center"/>
    </xf>
    <xf numFmtId="37" fontId="1" fillId="0" borderId="36" xfId="0" applyNumberFormat="1" applyFont="1" applyBorder="1" applyAlignment="1" applyProtection="1">
      <alignment horizontal="fill"/>
      <protection/>
    </xf>
    <xf numFmtId="166" fontId="1" fillId="0" borderId="27" xfId="15" applyNumberFormat="1" applyFont="1" applyBorder="1" applyAlignment="1">
      <alignment/>
    </xf>
    <xf numFmtId="0" fontId="1" fillId="0" borderId="27" xfId="0" applyFont="1" applyBorder="1" applyAlignment="1">
      <alignment horizontal="fill"/>
    </xf>
    <xf numFmtId="9" fontId="1" fillId="0" borderId="13" xfId="21" applyFont="1" applyBorder="1" applyAlignment="1">
      <alignment/>
    </xf>
    <xf numFmtId="165" fontId="1" fillId="0" borderId="13" xfId="21" applyNumberFormat="1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37" fontId="1" fillId="0" borderId="17" xfId="0" applyNumberFormat="1" applyFont="1" applyFill="1" applyBorder="1" applyAlignment="1" applyProtection="1">
      <alignment/>
      <protection/>
    </xf>
    <xf numFmtId="37" fontId="1" fillId="0" borderId="19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37" fontId="1" fillId="0" borderId="27" xfId="0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>
      <alignment/>
    </xf>
    <xf numFmtId="41" fontId="1" fillId="0" borderId="12" xfId="0" applyNumberFormat="1" applyFont="1" applyBorder="1" applyAlignment="1">
      <alignment horizontal="left"/>
    </xf>
    <xf numFmtId="41" fontId="1" fillId="0" borderId="12" xfId="0" applyNumberFormat="1" applyFont="1" applyBorder="1" applyAlignment="1" applyProtection="1">
      <alignment horizontal="left"/>
      <protection/>
    </xf>
    <xf numFmtId="7" fontId="1" fillId="0" borderId="21" xfId="0" applyNumberFormat="1" applyFont="1" applyBorder="1" applyAlignment="1" applyProtection="1">
      <alignment/>
      <protection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6" fontId="1" fillId="0" borderId="17" xfId="15" applyNumberFormat="1" applyFont="1" applyBorder="1" applyAlignment="1">
      <alignment horizontal="right"/>
    </xf>
    <xf numFmtId="166" fontId="1" fillId="0" borderId="19" xfId="15" applyNumberFormat="1" applyFont="1" applyBorder="1" applyAlignment="1">
      <alignment horizontal="right"/>
    </xf>
    <xf numFmtId="37" fontId="1" fillId="0" borderId="17" xfId="0" applyNumberFormat="1" applyFont="1" applyBorder="1" applyAlignment="1" applyProtection="1">
      <alignment horizontal="right"/>
      <protection/>
    </xf>
    <xf numFmtId="0" fontId="1" fillId="0" borderId="17" xfId="15" applyNumberFormat="1" applyFont="1" applyBorder="1" applyAlignment="1">
      <alignment horizontal="right"/>
    </xf>
    <xf numFmtId="0" fontId="1" fillId="0" borderId="19" xfId="15" applyNumberFormat="1" applyFont="1" applyBorder="1" applyAlignment="1">
      <alignment horizontal="right"/>
    </xf>
    <xf numFmtId="0" fontId="1" fillId="0" borderId="17" xfId="0" applyNumberFormat="1" applyFont="1" applyBorder="1" applyAlignment="1" applyProtection="1">
      <alignment horizontal="right"/>
      <protection/>
    </xf>
    <xf numFmtId="0" fontId="1" fillId="0" borderId="19" xfId="0" applyNumberFormat="1" applyFont="1" applyBorder="1" applyAlignment="1" applyProtection="1">
      <alignment horizontal="right"/>
      <protection/>
    </xf>
    <xf numFmtId="0" fontId="1" fillId="0" borderId="17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2" fontId="1" fillId="0" borderId="0" xfId="15" applyNumberFormat="1" applyFont="1" applyBorder="1" applyAlignment="1">
      <alignment horizontal="center"/>
    </xf>
    <xf numFmtId="37" fontId="1" fillId="0" borderId="29" xfId="0" applyNumberFormat="1" applyFont="1" applyBorder="1" applyAlignment="1" applyProtection="1">
      <alignment/>
      <protection/>
    </xf>
    <xf numFmtId="177" fontId="1" fillId="0" borderId="0" xfId="0" applyNumberFormat="1" applyFont="1" applyAlignment="1" applyProtection="1">
      <alignment/>
      <protection/>
    </xf>
    <xf numFmtId="166" fontId="1" fillId="0" borderId="27" xfId="15" applyNumberFormat="1" applyFont="1" applyBorder="1" applyAlignment="1">
      <alignment horizontal="center"/>
    </xf>
    <xf numFmtId="1" fontId="1" fillId="0" borderId="0" xfId="15" applyNumberFormat="1" applyFont="1" applyBorder="1" applyAlignment="1">
      <alignment horizontal="center"/>
    </xf>
    <xf numFmtId="1" fontId="1" fillId="0" borderId="0" xfId="15" applyNumberFormat="1" applyFont="1" applyBorder="1" applyAlignment="1" applyProtection="1">
      <alignment horizontal="center"/>
      <protection/>
    </xf>
    <xf numFmtId="166" fontId="1" fillId="0" borderId="17" xfId="15" applyNumberFormat="1" applyFont="1" applyBorder="1" applyAlignment="1" applyProtection="1">
      <alignment horizontal="right"/>
      <protection/>
    </xf>
    <xf numFmtId="166" fontId="1" fillId="0" borderId="19" xfId="15" applyNumberFormat="1" applyFont="1" applyBorder="1" applyAlignment="1" applyProtection="1">
      <alignment horizontal="right"/>
      <protection/>
    </xf>
    <xf numFmtId="9" fontId="1" fillId="0" borderId="13" xfId="21" applyFont="1" applyBorder="1" applyAlignment="1">
      <alignment horizontal="center"/>
    </xf>
    <xf numFmtId="166" fontId="1" fillId="0" borderId="21" xfId="15" applyNumberFormat="1" applyFont="1" applyBorder="1" applyAlignment="1">
      <alignment/>
    </xf>
    <xf numFmtId="44" fontId="1" fillId="0" borderId="21" xfId="17" applyFont="1" applyBorder="1" applyAlignment="1">
      <alignment/>
    </xf>
    <xf numFmtId="8" fontId="1" fillId="0" borderId="0" xfId="0" applyNumberFormat="1" applyFont="1" applyBorder="1" applyAlignment="1">
      <alignment/>
    </xf>
    <xf numFmtId="177" fontId="1" fillId="0" borderId="2" xfId="17" applyNumberFormat="1" applyFont="1" applyBorder="1" applyAlignment="1">
      <alignment/>
    </xf>
    <xf numFmtId="7" fontId="1" fillId="0" borderId="12" xfId="0" applyNumberFormat="1" applyFont="1" applyBorder="1" applyAlignment="1" applyProtection="1">
      <alignment/>
      <protection/>
    </xf>
    <xf numFmtId="44" fontId="1" fillId="0" borderId="0" xfId="17" applyFont="1" applyBorder="1" applyAlignment="1" applyProtection="1">
      <alignment horizontal="right"/>
      <protection/>
    </xf>
    <xf numFmtId="0" fontId="0" fillId="0" borderId="21" xfId="0" applyBorder="1" applyAlignment="1">
      <alignment/>
    </xf>
    <xf numFmtId="168" fontId="1" fillId="0" borderId="18" xfId="0" applyNumberFormat="1" applyFont="1" applyBorder="1" applyAlignment="1" applyProtection="1">
      <alignment/>
      <protection/>
    </xf>
    <xf numFmtId="37" fontId="1" fillId="0" borderId="19" xfId="0" applyNumberFormat="1" applyFont="1" applyBorder="1" applyAlignment="1" applyProtection="1">
      <alignment horizontal="fill"/>
      <protection/>
    </xf>
    <xf numFmtId="37" fontId="1" fillId="0" borderId="29" xfId="0" applyNumberFormat="1" applyFont="1" applyBorder="1" applyAlignment="1">
      <alignment/>
    </xf>
    <xf numFmtId="0" fontId="1" fillId="0" borderId="25" xfId="0" applyFont="1" applyBorder="1" applyAlignment="1">
      <alignment horizontal="fill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7" fontId="1" fillId="0" borderId="0" xfId="17" applyNumberFormat="1" applyFont="1" applyBorder="1" applyAlignment="1" applyProtection="1">
      <alignment horizontal="right"/>
      <protection/>
    </xf>
    <xf numFmtId="10" fontId="1" fillId="0" borderId="13" xfId="21" applyNumberFormat="1" applyFont="1" applyBorder="1" applyAlignment="1">
      <alignment/>
    </xf>
    <xf numFmtId="0" fontId="1" fillId="0" borderId="34" xfId="0" applyFont="1" applyBorder="1" applyAlignment="1">
      <alignment horizontal="fill"/>
    </xf>
    <xf numFmtId="0" fontId="1" fillId="0" borderId="35" xfId="0" applyFont="1" applyBorder="1" applyAlignment="1">
      <alignment horizontal="fill"/>
    </xf>
    <xf numFmtId="0" fontId="1" fillId="0" borderId="36" xfId="0" applyFont="1" applyBorder="1" applyAlignment="1">
      <alignment horizontal="fill"/>
    </xf>
    <xf numFmtId="0" fontId="1" fillId="0" borderId="28" xfId="0" applyFont="1" applyBorder="1" applyAlignment="1">
      <alignment horizontal="fill"/>
    </xf>
    <xf numFmtId="43" fontId="1" fillId="0" borderId="15" xfId="15" applyFont="1" applyBorder="1" applyAlignment="1" applyProtection="1">
      <alignment horizontal="right"/>
      <protection/>
    </xf>
    <xf numFmtId="166" fontId="1" fillId="0" borderId="20" xfId="15" applyNumberFormat="1" applyFont="1" applyBorder="1" applyAlignment="1" applyProtection="1">
      <alignment horizontal="right"/>
      <protection/>
    </xf>
    <xf numFmtId="10" fontId="1" fillId="0" borderId="16" xfId="21" applyNumberFormat="1" applyFont="1" applyBorder="1" applyAlignment="1">
      <alignment/>
    </xf>
    <xf numFmtId="6" fontId="1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37" fontId="1" fillId="0" borderId="26" xfId="0" applyNumberFormat="1" applyFont="1" applyBorder="1" applyAlignment="1" applyProtection="1">
      <alignment horizontal="center"/>
      <protection/>
    </xf>
    <xf numFmtId="37" fontId="1" fillId="0" borderId="24" xfId="0" applyNumberFormat="1" applyFont="1" applyBorder="1" applyAlignment="1" applyProtection="1">
      <alignment horizontal="center"/>
      <protection/>
    </xf>
    <xf numFmtId="7" fontId="1" fillId="0" borderId="21" xfId="17" applyNumberFormat="1" applyFont="1" applyBorder="1" applyAlignment="1" applyProtection="1">
      <alignment horizontal="center"/>
      <protection/>
    </xf>
    <xf numFmtId="37" fontId="1" fillId="0" borderId="22" xfId="0" applyNumberFormat="1" applyFont="1" applyBorder="1" applyAlignment="1" applyProtection="1">
      <alignment horizontal="center"/>
      <protection/>
    </xf>
    <xf numFmtId="9" fontId="1" fillId="0" borderId="11" xfId="21" applyFont="1" applyBorder="1" applyAlignment="1">
      <alignment horizontal="center"/>
    </xf>
    <xf numFmtId="164" fontId="1" fillId="0" borderId="21" xfId="0" applyNumberFormat="1" applyFont="1" applyBorder="1" applyAlignment="1" applyProtection="1">
      <alignment/>
      <protection/>
    </xf>
    <xf numFmtId="10" fontId="1" fillId="0" borderId="13" xfId="21" applyNumberFormat="1" applyFont="1" applyBorder="1" applyAlignment="1">
      <alignment horizontal="center"/>
    </xf>
    <xf numFmtId="177" fontId="1" fillId="0" borderId="0" xfId="17" applyNumberFormat="1" applyFont="1" applyAlignment="1">
      <alignment/>
    </xf>
    <xf numFmtId="37" fontId="1" fillId="0" borderId="0" xfId="0" applyNumberFormat="1" applyFont="1" applyFill="1" applyAlignment="1" applyProtection="1">
      <alignment horizontal="fill"/>
      <protection/>
    </xf>
    <xf numFmtId="37" fontId="1" fillId="0" borderId="21" xfId="0" applyNumberFormat="1" applyFont="1" applyBorder="1" applyAlignment="1">
      <alignment/>
    </xf>
    <xf numFmtId="181" fontId="1" fillId="0" borderId="15" xfId="21" applyNumberFormat="1" applyFont="1" applyBorder="1" applyAlignment="1">
      <alignment/>
    </xf>
    <xf numFmtId="37" fontId="1" fillId="0" borderId="12" xfId="0" applyNumberFormat="1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/>
      <protection/>
    </xf>
    <xf numFmtId="166" fontId="1" fillId="0" borderId="0" xfId="15" applyNumberFormat="1" applyFont="1" applyFill="1" applyAlignment="1" applyProtection="1">
      <alignment horizontal="center"/>
      <protection/>
    </xf>
    <xf numFmtId="166" fontId="1" fillId="0" borderId="2" xfId="15" applyNumberFormat="1" applyFont="1" applyBorder="1" applyAlignment="1" quotePrefix="1">
      <alignment horizontal="center"/>
    </xf>
    <xf numFmtId="183" fontId="1" fillId="0" borderId="0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7" fontId="1" fillId="0" borderId="17" xfId="0" applyNumberFormat="1" applyFont="1" applyFill="1" applyBorder="1" applyAlignment="1">
      <alignment/>
    </xf>
    <xf numFmtId="37" fontId="1" fillId="0" borderId="27" xfId="0" applyNumberFormat="1" applyFont="1" applyFill="1" applyBorder="1" applyAlignment="1">
      <alignment/>
    </xf>
    <xf numFmtId="37" fontId="1" fillId="0" borderId="29" xfId="0" applyNumberFormat="1" applyFont="1" applyFill="1" applyBorder="1" applyAlignment="1">
      <alignment/>
    </xf>
    <xf numFmtId="37" fontId="1" fillId="0" borderId="27" xfId="0" applyNumberFormat="1" applyFont="1" applyBorder="1" applyAlignment="1" applyProtection="1">
      <alignment horizontal="right"/>
      <protection/>
    </xf>
    <xf numFmtId="43" fontId="1" fillId="0" borderId="0" xfId="15" applyFont="1" applyBorder="1" applyAlignment="1">
      <alignment horizontal="right"/>
    </xf>
    <xf numFmtId="166" fontId="1" fillId="0" borderId="21" xfId="0" applyNumberFormat="1" applyFont="1" applyBorder="1" applyAlignment="1">
      <alignment horizontal="fill"/>
    </xf>
    <xf numFmtId="166" fontId="1" fillId="0" borderId="21" xfId="15" applyNumberFormat="1" applyFont="1" applyBorder="1" applyAlignment="1" applyProtection="1">
      <alignment/>
      <protection/>
    </xf>
    <xf numFmtId="10" fontId="1" fillId="0" borderId="11" xfId="0" applyNumberFormat="1" applyFont="1" applyBorder="1" applyAlignment="1">
      <alignment/>
    </xf>
    <xf numFmtId="10" fontId="1" fillId="0" borderId="16" xfId="0" applyNumberFormat="1" applyFont="1" applyBorder="1" applyAlignment="1">
      <alignment/>
    </xf>
    <xf numFmtId="178" fontId="1" fillId="0" borderId="0" xfId="0" applyNumberFormat="1" applyFont="1" applyBorder="1" applyAlignment="1" applyProtection="1">
      <alignment/>
      <protection/>
    </xf>
    <xf numFmtId="175" fontId="1" fillId="0" borderId="0" xfId="0" applyNumberFormat="1" applyFont="1" applyBorder="1" applyAlignment="1" applyProtection="1">
      <alignment/>
      <protection/>
    </xf>
    <xf numFmtId="37" fontId="1" fillId="0" borderId="2" xfId="0" applyNumberFormat="1" applyFont="1" applyBorder="1" applyAlignment="1" applyProtection="1" quotePrefix="1">
      <alignment horizontal="right"/>
      <protection/>
    </xf>
    <xf numFmtId="37" fontId="1" fillId="0" borderId="13" xfId="0" applyNumberFormat="1" applyFont="1" applyBorder="1" applyAlignment="1" applyProtection="1">
      <alignment/>
      <protection/>
    </xf>
    <xf numFmtId="7" fontId="1" fillId="0" borderId="17" xfId="0" applyNumberFormat="1" applyFont="1" applyBorder="1" applyAlignment="1" applyProtection="1" quotePrefix="1">
      <alignment/>
      <protection/>
    </xf>
    <xf numFmtId="175" fontId="1" fillId="0" borderId="28" xfId="0" applyNumberFormat="1" applyFont="1" applyBorder="1" applyAlignment="1" applyProtection="1">
      <alignment/>
      <protection/>
    </xf>
    <xf numFmtId="0" fontId="1" fillId="0" borderId="39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37" fontId="1" fillId="0" borderId="0" xfId="0" applyNumberFormat="1" applyFont="1" applyAlignment="1">
      <alignment/>
    </xf>
    <xf numFmtId="166" fontId="1" fillId="0" borderId="0" xfId="15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12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6" fontId="1" fillId="0" borderId="0" xfId="0" applyNumberFormat="1" applyFont="1" applyBorder="1" applyAlignment="1" applyProtection="1">
      <alignment/>
      <protection/>
    </xf>
    <xf numFmtId="0" fontId="1" fillId="0" borderId="12" xfId="0" applyFont="1" applyBorder="1" applyAlignment="1">
      <alignment/>
    </xf>
    <xf numFmtId="169" fontId="1" fillId="0" borderId="13" xfId="0" applyNumberFormat="1" applyFont="1" applyBorder="1" applyAlignment="1">
      <alignment/>
    </xf>
    <xf numFmtId="7" fontId="1" fillId="0" borderId="0" xfId="15" applyNumberFormat="1" applyFont="1" applyBorder="1" applyAlignment="1">
      <alignment/>
    </xf>
    <xf numFmtId="169" fontId="1" fillId="0" borderId="13" xfId="0" applyNumberFormat="1" applyFont="1" applyBorder="1" applyAlignment="1" applyProtection="1">
      <alignment/>
      <protection/>
    </xf>
    <xf numFmtId="3" fontId="1" fillId="0" borderId="15" xfId="0" applyNumberFormat="1" applyFont="1" applyBorder="1" applyAlignment="1">
      <alignment/>
    </xf>
    <xf numFmtId="169" fontId="1" fillId="0" borderId="16" xfId="0" applyNumberFormat="1" applyFont="1" applyBorder="1" applyAlignment="1">
      <alignment/>
    </xf>
    <xf numFmtId="0" fontId="1" fillId="0" borderId="17" xfId="0" applyFont="1" applyBorder="1" applyAlignment="1" quotePrefix="1">
      <alignment/>
    </xf>
    <xf numFmtId="9" fontId="1" fillId="0" borderId="17" xfId="21" applyFont="1" applyBorder="1" applyAlignment="1">
      <alignment/>
    </xf>
    <xf numFmtId="166" fontId="1" fillId="0" borderId="17" xfId="0" applyNumberFormat="1" applyFont="1" applyBorder="1" applyAlignment="1" applyProtection="1">
      <alignment/>
      <protection/>
    </xf>
    <xf numFmtId="169" fontId="1" fillId="0" borderId="17" xfId="0" applyNumberFormat="1" applyFont="1" applyBorder="1" applyAlignment="1">
      <alignment/>
    </xf>
    <xf numFmtId="169" fontId="1" fillId="0" borderId="17" xfId="0" applyNumberFormat="1" applyFont="1" applyBorder="1" applyAlignment="1" applyProtection="1">
      <alignment/>
      <protection/>
    </xf>
    <xf numFmtId="169" fontId="1" fillId="0" borderId="18" xfId="0" applyNumberFormat="1" applyFont="1" applyBorder="1" applyAlignment="1">
      <alignment/>
    </xf>
    <xf numFmtId="166" fontId="1" fillId="0" borderId="19" xfId="0" applyNumberFormat="1" applyFont="1" applyBorder="1" applyAlignment="1" applyProtection="1">
      <alignment/>
      <protection/>
    </xf>
    <xf numFmtId="169" fontId="1" fillId="0" borderId="19" xfId="0" applyNumberFormat="1" applyFont="1" applyBorder="1" applyAlignment="1">
      <alignment/>
    </xf>
    <xf numFmtId="169" fontId="1" fillId="0" borderId="20" xfId="0" applyNumberFormat="1" applyFont="1" applyBorder="1" applyAlignment="1">
      <alignment/>
    </xf>
    <xf numFmtId="166" fontId="1" fillId="0" borderId="23" xfId="0" applyNumberFormat="1" applyFont="1" applyBorder="1" applyAlignment="1" applyProtection="1">
      <alignment/>
      <protection/>
    </xf>
    <xf numFmtId="166" fontId="1" fillId="0" borderId="25" xfId="0" applyNumberFormat="1" applyFont="1" applyBorder="1" applyAlignment="1" applyProtection="1">
      <alignment/>
      <protection/>
    </xf>
    <xf numFmtId="37" fontId="1" fillId="0" borderId="27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166" fontId="1" fillId="0" borderId="17" xfId="0" applyNumberFormat="1" applyFont="1" applyBorder="1" applyAlignment="1" applyProtection="1">
      <alignment horizontal="center"/>
      <protection/>
    </xf>
    <xf numFmtId="166" fontId="1" fillId="0" borderId="19" xfId="0" applyNumberFormat="1" applyFont="1" applyBorder="1" applyAlignment="1" applyProtection="1">
      <alignment horizontal="center"/>
      <protection/>
    </xf>
    <xf numFmtId="169" fontId="1" fillId="0" borderId="13" xfId="0" applyNumberFormat="1" applyFont="1" applyBorder="1" applyAlignment="1" applyProtection="1">
      <alignment horizontal="center"/>
      <protection/>
    </xf>
    <xf numFmtId="10" fontId="1" fillId="0" borderId="13" xfId="21" applyNumberFormat="1" applyFont="1" applyBorder="1" applyAlignment="1" applyProtection="1">
      <alignment horizontal="center"/>
      <protection/>
    </xf>
    <xf numFmtId="166" fontId="1" fillId="0" borderId="23" xfId="15" applyNumberFormat="1" applyFont="1" applyBorder="1" applyAlignment="1">
      <alignment/>
    </xf>
    <xf numFmtId="166" fontId="1" fillId="0" borderId="25" xfId="15" applyNumberFormat="1" applyFont="1" applyBorder="1" applyAlignment="1">
      <alignment/>
    </xf>
    <xf numFmtId="9" fontId="1" fillId="0" borderId="19" xfId="0" applyNumberFormat="1" applyFont="1" applyBorder="1" applyAlignment="1" applyProtection="1">
      <alignment/>
      <protection/>
    </xf>
    <xf numFmtId="166" fontId="1" fillId="0" borderId="29" xfId="15" applyNumberFormat="1" applyFont="1" applyBorder="1" applyAlignment="1">
      <alignment/>
    </xf>
    <xf numFmtId="0" fontId="0" fillId="0" borderId="11" xfId="0" applyBorder="1" applyAlignment="1">
      <alignment/>
    </xf>
    <xf numFmtId="44" fontId="1" fillId="0" borderId="0" xfId="15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4" fontId="0" fillId="0" borderId="0" xfId="17" applyFill="1" applyAlignment="1">
      <alignment horizontal="right"/>
    </xf>
    <xf numFmtId="43" fontId="0" fillId="0" borderId="0" xfId="15" applyFill="1" applyAlignment="1">
      <alignment horizontal="center"/>
    </xf>
    <xf numFmtId="10" fontId="0" fillId="0" borderId="0" xfId="21" applyNumberFormat="1" applyFill="1" applyAlignment="1">
      <alignment/>
    </xf>
    <xf numFmtId="0" fontId="0" fillId="0" borderId="0" xfId="0" applyFont="1" applyFill="1" applyAlignment="1">
      <alignment horizontal="left"/>
    </xf>
    <xf numFmtId="44" fontId="0" fillId="0" borderId="0" xfId="17" applyFont="1" applyFill="1" applyAlignment="1" applyProtection="1">
      <alignment horizontal="right"/>
      <protection/>
    </xf>
    <xf numFmtId="0" fontId="0" fillId="0" borderId="0" xfId="0" applyFill="1" applyAlignment="1">
      <alignment horizontal="left"/>
    </xf>
    <xf numFmtId="44" fontId="0" fillId="0" borderId="0" xfId="17" applyFont="1" applyFill="1" applyAlignment="1">
      <alignment horizontal="right"/>
    </xf>
    <xf numFmtId="43" fontId="0" fillId="0" borderId="0" xfId="15" applyFill="1" applyAlignment="1">
      <alignment/>
    </xf>
    <xf numFmtId="41" fontId="0" fillId="0" borderId="0" xfId="0" applyNumberFormat="1" applyFont="1" applyFill="1" applyAlignment="1">
      <alignment/>
    </xf>
    <xf numFmtId="44" fontId="0" fillId="0" borderId="0" xfId="17" applyFont="1" applyFill="1" applyAlignment="1">
      <alignment horizontal="right"/>
    </xf>
    <xf numFmtId="43" fontId="0" fillId="0" borderId="0" xfId="15" applyFont="1" applyFill="1" applyAlignment="1">
      <alignment horizontal="left"/>
    </xf>
    <xf numFmtId="5" fontId="0" fillId="0" borderId="0" xfId="0" applyNumberFormat="1" applyFont="1" applyFill="1" applyAlignment="1" applyProtection="1">
      <alignment horizontal="right"/>
      <protection/>
    </xf>
    <xf numFmtId="43" fontId="0" fillId="0" borderId="0" xfId="15" applyFont="1" applyFill="1" applyAlignment="1">
      <alignment/>
    </xf>
    <xf numFmtId="43" fontId="0" fillId="0" borderId="0" xfId="15" applyFill="1" applyAlignment="1">
      <alignment horizontal="right"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left"/>
      <protection/>
    </xf>
    <xf numFmtId="44" fontId="1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37" fontId="1" fillId="0" borderId="29" xfId="0" applyNumberFormat="1" applyFont="1" applyFill="1" applyBorder="1" applyAlignment="1" applyProtection="1">
      <alignment/>
      <protection/>
    </xf>
    <xf numFmtId="37" fontId="1" fillId="0" borderId="25" xfId="0" applyNumberFormat="1" applyFont="1" applyFill="1" applyBorder="1" applyAlignment="1" applyProtection="1">
      <alignment/>
      <protection/>
    </xf>
    <xf numFmtId="37" fontId="1" fillId="0" borderId="23" xfId="0" applyNumberFormat="1" applyFont="1" applyFill="1" applyBorder="1" applyAlignment="1" applyProtection="1">
      <alignment/>
      <protection/>
    </xf>
    <xf numFmtId="165" fontId="0" fillId="0" borderId="0" xfId="21" applyNumberFormat="1" applyAlignment="1">
      <alignment/>
    </xf>
    <xf numFmtId="165" fontId="1" fillId="0" borderId="0" xfId="21" applyNumberFormat="1" applyFont="1" applyAlignment="1">
      <alignment/>
    </xf>
    <xf numFmtId="37" fontId="1" fillId="0" borderId="19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169" fontId="1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43" fontId="1" fillId="0" borderId="0" xfId="15" applyNumberFormat="1" applyFont="1" applyBorder="1" applyAlignment="1" applyProtection="1">
      <alignment/>
      <protection/>
    </xf>
    <xf numFmtId="10" fontId="2" fillId="0" borderId="0" xfId="21" applyNumberFormat="1" applyFont="1" applyAlignment="1">
      <alignment/>
    </xf>
    <xf numFmtId="43" fontId="1" fillId="0" borderId="0" xfId="17" applyNumberFormat="1" applyFont="1" applyBorder="1" applyAlignment="1" applyProtection="1">
      <alignment horizontal="right"/>
      <protection/>
    </xf>
    <xf numFmtId="0" fontId="0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21" applyNumberFormat="1" applyFont="1" applyAlignment="1">
      <alignment horizontal="center"/>
    </xf>
    <xf numFmtId="43" fontId="1" fillId="0" borderId="0" xfId="15" applyFont="1" applyAlignment="1">
      <alignment/>
    </xf>
    <xf numFmtId="165" fontId="1" fillId="0" borderId="0" xfId="21" applyNumberFormat="1" applyFont="1" applyAlignment="1">
      <alignment/>
    </xf>
    <xf numFmtId="43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44" fontId="4" fillId="0" borderId="0" xfId="17" applyFont="1" applyFill="1" applyBorder="1" applyAlignment="1">
      <alignment/>
    </xf>
    <xf numFmtId="43" fontId="1" fillId="0" borderId="0" xfId="15" applyNumberFormat="1" applyFont="1" applyFill="1" applyAlignment="1" applyProtection="1">
      <alignment horizontal="center"/>
      <protection/>
    </xf>
    <xf numFmtId="43" fontId="1" fillId="0" borderId="0" xfId="15" applyFont="1" applyAlignment="1" applyProtection="1">
      <alignment horizontal="center"/>
      <protection/>
    </xf>
    <xf numFmtId="43" fontId="1" fillId="0" borderId="0" xfId="15" applyFont="1" applyAlignment="1">
      <alignment horizontal="fill"/>
    </xf>
    <xf numFmtId="43" fontId="1" fillId="0" borderId="0" xfId="15" applyFont="1" applyAlignment="1" applyProtection="1">
      <alignment/>
      <protection/>
    </xf>
    <xf numFmtId="43" fontId="1" fillId="0" borderId="0" xfId="15" applyFont="1" applyFill="1" applyAlignment="1">
      <alignment/>
    </xf>
    <xf numFmtId="43" fontId="1" fillId="0" borderId="0" xfId="15" applyFont="1" applyFill="1" applyAlignment="1" applyProtection="1">
      <alignment/>
      <protection/>
    </xf>
    <xf numFmtId="166" fontId="1" fillId="0" borderId="0" xfId="15" applyNumberFormat="1" applyFont="1" applyAlignment="1" applyProtection="1">
      <alignment horizontal="center"/>
      <protection/>
    </xf>
    <xf numFmtId="166" fontId="1" fillId="0" borderId="0" xfId="15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37" fontId="1" fillId="0" borderId="23" xfId="0" applyNumberFormat="1" applyFont="1" applyBorder="1" applyAlignment="1" applyProtection="1">
      <alignment horizontal="right"/>
      <protection/>
    </xf>
    <xf numFmtId="37" fontId="1" fillId="0" borderId="29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6" fontId="1" fillId="0" borderId="0" xfId="0" applyNumberFormat="1" applyFont="1" applyFill="1" applyAlignment="1">
      <alignment/>
    </xf>
    <xf numFmtId="38" fontId="1" fillId="0" borderId="0" xfId="0" applyNumberFormat="1" applyFont="1" applyFill="1" applyAlignment="1">
      <alignment/>
    </xf>
    <xf numFmtId="166" fontId="1" fillId="0" borderId="2" xfId="15" applyNumberFormat="1" applyFont="1" applyFill="1" applyBorder="1" applyAlignment="1">
      <alignment/>
    </xf>
    <xf numFmtId="10" fontId="0" fillId="0" borderId="0" xfId="0" applyNumberFormat="1" applyAlignment="1">
      <alignment horizontal="right"/>
    </xf>
    <xf numFmtId="0" fontId="0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12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7" fontId="2" fillId="0" borderId="2" xfId="0" applyNumberFormat="1" applyFont="1" applyBorder="1" applyAlignment="1">
      <alignment/>
    </xf>
    <xf numFmtId="10" fontId="2" fillId="0" borderId="2" xfId="21" applyNumberFormat="1" applyFont="1" applyBorder="1" applyAlignment="1">
      <alignment/>
    </xf>
    <xf numFmtId="10" fontId="2" fillId="0" borderId="0" xfId="21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0" xfId="17" applyNumberFormat="1" applyFont="1" applyBorder="1" applyAlignment="1">
      <alignment/>
    </xf>
    <xf numFmtId="10" fontId="2" fillId="0" borderId="0" xfId="21" applyNumberFormat="1" applyFont="1" applyBorder="1" applyAlignment="1">
      <alignment/>
    </xf>
    <xf numFmtId="181" fontId="2" fillId="0" borderId="13" xfId="21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6" fontId="0" fillId="0" borderId="0" xfId="15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Font="1" applyBorder="1" applyAlignment="1">
      <alignment horizontal="left"/>
    </xf>
    <xf numFmtId="170" fontId="0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30" xfId="0" applyFont="1" applyBorder="1" applyAlignment="1">
      <alignment/>
    </xf>
    <xf numFmtId="181" fontId="2" fillId="0" borderId="41" xfId="21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177" fontId="2" fillId="0" borderId="15" xfId="17" applyNumberFormat="1" applyFont="1" applyBorder="1" applyAlignment="1">
      <alignment horizontal="right"/>
    </xf>
    <xf numFmtId="182" fontId="2" fillId="0" borderId="15" xfId="21" applyNumberFormat="1" applyFont="1" applyBorder="1" applyAlignment="1">
      <alignment/>
    </xf>
    <xf numFmtId="181" fontId="2" fillId="0" borderId="16" xfId="21" applyNumberFormat="1" applyFont="1" applyBorder="1" applyAlignment="1">
      <alignment/>
    </xf>
    <xf numFmtId="0" fontId="0" fillId="0" borderId="42" xfId="0" applyFont="1" applyBorder="1" applyAlignment="1">
      <alignment/>
    </xf>
    <xf numFmtId="0" fontId="2" fillId="0" borderId="43" xfId="0" applyFont="1" applyBorder="1" applyAlignment="1">
      <alignment horizontal="center" wrapText="1"/>
    </xf>
    <xf numFmtId="43" fontId="2" fillId="0" borderId="43" xfId="15" applyFont="1" applyBorder="1" applyAlignment="1">
      <alignment horizontal="center" wrapText="1"/>
    </xf>
    <xf numFmtId="43" fontId="2" fillId="0" borderId="44" xfId="15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44" fontId="1" fillId="0" borderId="19" xfId="17" applyFont="1" applyBorder="1" applyAlignment="1" applyProtection="1">
      <alignment/>
      <protection/>
    </xf>
    <xf numFmtId="44" fontId="1" fillId="0" borderId="17" xfId="17" applyFont="1" applyBorder="1" applyAlignment="1" applyProtection="1">
      <alignment/>
      <protection/>
    </xf>
    <xf numFmtId="17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left"/>
    </xf>
    <xf numFmtId="43" fontId="0" fillId="0" borderId="0" xfId="0" applyNumberFormat="1" applyFont="1" applyAlignment="1">
      <alignment/>
    </xf>
    <xf numFmtId="177" fontId="2" fillId="0" borderId="0" xfId="17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21" xfId="0" applyBorder="1" applyAlignment="1">
      <alignment horizontal="left"/>
    </xf>
    <xf numFmtId="43" fontId="0" fillId="0" borderId="21" xfId="15" applyBorder="1" applyAlignment="1">
      <alignment/>
    </xf>
    <xf numFmtId="43" fontId="1" fillId="0" borderId="0" xfId="15" applyFont="1" applyBorder="1" applyAlignment="1">
      <alignment/>
    </xf>
    <xf numFmtId="0" fontId="0" fillId="0" borderId="0" xfId="0" applyBorder="1" applyAlignment="1">
      <alignment horizontal="left"/>
    </xf>
    <xf numFmtId="43" fontId="0" fillId="0" borderId="0" xfId="15" applyBorder="1" applyAlignment="1">
      <alignment/>
    </xf>
    <xf numFmtId="0" fontId="0" fillId="0" borderId="15" xfId="0" applyBorder="1" applyAlignment="1">
      <alignment horizontal="left"/>
    </xf>
    <xf numFmtId="43" fontId="0" fillId="0" borderId="15" xfId="15" applyBorder="1" applyAlignment="1">
      <alignment/>
    </xf>
    <xf numFmtId="43" fontId="1" fillId="0" borderId="15" xfId="15" applyFont="1" applyBorder="1" applyAlignment="1">
      <alignment/>
    </xf>
    <xf numFmtId="9" fontId="2" fillId="3" borderId="5" xfId="21" applyFont="1" applyFill="1" applyBorder="1" applyAlignment="1">
      <alignment horizontal="center"/>
    </xf>
    <xf numFmtId="9" fontId="2" fillId="3" borderId="8" xfId="21" applyFont="1" applyFill="1" applyBorder="1" applyAlignment="1">
      <alignment horizontal="center"/>
    </xf>
    <xf numFmtId="43" fontId="1" fillId="0" borderId="0" xfId="15" applyFont="1" applyFill="1" applyBorder="1" applyAlignment="1">
      <alignment/>
    </xf>
    <xf numFmtId="3" fontId="0" fillId="0" borderId="0" xfId="0" applyNumberFormat="1" applyFont="1" applyAlignment="1">
      <alignment/>
    </xf>
    <xf numFmtId="177" fontId="0" fillId="0" borderId="0" xfId="17" applyNumberFormat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37" fontId="1" fillId="0" borderId="29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5" fontId="1" fillId="0" borderId="0" xfId="0" applyNumberFormat="1" applyFont="1" applyBorder="1" applyAlignment="1" applyProtection="1">
      <alignment horizontal="center"/>
      <protection/>
    </xf>
    <xf numFmtId="5" fontId="1" fillId="0" borderId="0" xfId="0" applyNumberFormat="1" applyFont="1" applyBorder="1" applyAlignment="1" applyProtection="1">
      <alignment/>
      <protection/>
    </xf>
    <xf numFmtId="6" fontId="1" fillId="0" borderId="0" xfId="0" applyNumberFormat="1" applyFont="1" applyBorder="1" applyAlignment="1">
      <alignment/>
    </xf>
    <xf numFmtId="0" fontId="2" fillId="0" borderId="45" xfId="0" applyFont="1" applyFill="1" applyBorder="1" applyAlignment="1">
      <alignment/>
    </xf>
    <xf numFmtId="10" fontId="2" fillId="0" borderId="3" xfId="21" applyNumberFormat="1" applyFont="1" applyFill="1" applyBorder="1" applyAlignment="1">
      <alignment/>
    </xf>
    <xf numFmtId="181" fontId="2" fillId="0" borderId="46" xfId="21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1" fontId="0" fillId="0" borderId="0" xfId="21" applyNumberFormat="1" applyAlignment="1">
      <alignment/>
    </xf>
    <xf numFmtId="181" fontId="0" fillId="0" borderId="0" xfId="15" applyNumberFormat="1" applyAlignment="1">
      <alignment/>
    </xf>
    <xf numFmtId="181" fontId="0" fillId="0" borderId="0" xfId="0" applyNumberFormat="1" applyAlignment="1">
      <alignment/>
    </xf>
    <xf numFmtId="37" fontId="0" fillId="0" borderId="0" xfId="0" applyNumberFormat="1" applyAlignment="1">
      <alignment/>
    </xf>
    <xf numFmtId="166" fontId="1" fillId="0" borderId="0" xfId="0" applyNumberFormat="1" applyFont="1" applyBorder="1" applyAlignment="1">
      <alignment/>
    </xf>
    <xf numFmtId="7" fontId="1" fillId="0" borderId="17" xfId="0" applyNumberFormat="1" applyFont="1" applyBorder="1" applyAlignment="1">
      <alignment/>
    </xf>
    <xf numFmtId="7" fontId="1" fillId="0" borderId="19" xfId="0" applyNumberFormat="1" applyFont="1" applyBorder="1" applyAlignment="1">
      <alignment/>
    </xf>
    <xf numFmtId="37" fontId="1" fillId="0" borderId="23" xfId="0" applyNumberFormat="1" applyFont="1" applyBorder="1" applyAlignment="1">
      <alignment horizontal="right"/>
    </xf>
    <xf numFmtId="37" fontId="1" fillId="0" borderId="25" xfId="0" applyNumberFormat="1" applyFont="1" applyBorder="1" applyAlignment="1">
      <alignment horizontal="right"/>
    </xf>
    <xf numFmtId="185" fontId="0" fillId="0" borderId="0" xfId="17" applyNumberFormat="1" applyFont="1" applyFill="1" applyAlignment="1" applyProtection="1">
      <alignment horizontal="right"/>
      <protection/>
    </xf>
    <xf numFmtId="181" fontId="2" fillId="0" borderId="13" xfId="21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1" xfId="0" applyFont="1" applyBorder="1" applyAlignment="1">
      <alignment/>
    </xf>
    <xf numFmtId="166" fontId="0" fillId="0" borderId="2" xfId="15" applyNumberFormat="1" applyFont="1" applyBorder="1" applyAlignment="1">
      <alignment/>
    </xf>
    <xf numFmtId="43" fontId="2" fillId="0" borderId="0" xfId="15" applyFont="1" applyAlignment="1">
      <alignment/>
    </xf>
    <xf numFmtId="166" fontId="1" fillId="0" borderId="23" xfId="15" applyNumberFormat="1" applyFont="1" applyBorder="1" applyAlignment="1" applyProtection="1">
      <alignment/>
      <protection/>
    </xf>
    <xf numFmtId="166" fontId="1" fillId="0" borderId="25" xfId="15" applyNumberFormat="1" applyFont="1" applyBorder="1" applyAlignment="1" applyProtection="1">
      <alignment/>
      <protection/>
    </xf>
    <xf numFmtId="10" fontId="2" fillId="0" borderId="0" xfId="21" applyNumberFormat="1" applyFont="1" applyBorder="1" applyAlignment="1">
      <alignment horizontal="right"/>
    </xf>
    <xf numFmtId="5" fontId="1" fillId="0" borderId="0" xfId="15" applyNumberFormat="1" applyFont="1" applyAlignment="1" applyProtection="1">
      <alignment/>
      <protection/>
    </xf>
    <xf numFmtId="37" fontId="1" fillId="0" borderId="0" xfId="15" applyNumberFormat="1" applyFont="1" applyAlignment="1" applyProtection="1">
      <alignment/>
      <protection/>
    </xf>
    <xf numFmtId="5" fontId="1" fillId="0" borderId="0" xfId="15" applyNumberFormat="1" applyFont="1" applyAlignment="1" applyProtection="1">
      <alignment horizontal="center"/>
      <protection/>
    </xf>
    <xf numFmtId="37" fontId="1" fillId="0" borderId="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3" fontId="0" fillId="0" borderId="0" xfId="15" applyNumberFormat="1" applyFont="1" applyAlignment="1">
      <alignment/>
    </xf>
    <xf numFmtId="43" fontId="1" fillId="0" borderId="0" xfId="0" applyNumberFormat="1" applyFont="1" applyAlignment="1" applyProtection="1">
      <alignment/>
      <protection/>
    </xf>
    <xf numFmtId="44" fontId="1" fillId="0" borderId="0" xfId="17" applyNumberFormat="1" applyFont="1" applyBorder="1" applyAlignment="1" applyProtection="1">
      <alignment horizontal="right"/>
      <protection/>
    </xf>
    <xf numFmtId="10" fontId="2" fillId="0" borderId="0" xfId="21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3" borderId="47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48" xfId="0" applyFont="1" applyBorder="1" applyAlignment="1">
      <alignment/>
    </xf>
    <xf numFmtId="0" fontId="2" fillId="0" borderId="12" xfId="0" applyFont="1" applyBorder="1" applyAlignment="1">
      <alignment/>
    </xf>
    <xf numFmtId="182" fontId="0" fillId="0" borderId="0" xfId="21" applyNumberFormat="1" applyAlignment="1">
      <alignment/>
    </xf>
    <xf numFmtId="182" fontId="0" fillId="0" borderId="2" xfId="0" applyNumberFormat="1" applyBorder="1" applyAlignment="1">
      <alignment/>
    </xf>
    <xf numFmtId="182" fontId="2" fillId="0" borderId="0" xfId="21" applyNumberFormat="1" applyFont="1" applyAlignment="1">
      <alignment/>
    </xf>
    <xf numFmtId="0" fontId="0" fillId="0" borderId="0" xfId="0" applyAlignment="1">
      <alignment horizontal="right"/>
    </xf>
    <xf numFmtId="10" fontId="0" fillId="0" borderId="0" xfId="21" applyNumberFormat="1" applyBorder="1" applyAlignment="1">
      <alignment/>
    </xf>
    <xf numFmtId="44" fontId="0" fillId="0" borderId="0" xfId="17" applyBorder="1" applyAlignment="1">
      <alignment horizontal="right"/>
    </xf>
    <xf numFmtId="10" fontId="0" fillId="0" borderId="0" xfId="21" applyNumberFormat="1" applyFont="1" applyFill="1" applyAlignment="1">
      <alignment horizontal="center"/>
    </xf>
    <xf numFmtId="43" fontId="0" fillId="0" borderId="0" xfId="15" applyNumberFormat="1" applyFont="1" applyFill="1" applyAlignment="1">
      <alignment horizontal="left"/>
    </xf>
    <xf numFmtId="43" fontId="0" fillId="0" borderId="0" xfId="15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4" fontId="0" fillId="0" borderId="0" xfId="17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41" fontId="0" fillId="0" borderId="0" xfId="0" applyNumberFormat="1" applyFont="1" applyFill="1" applyAlignment="1" applyProtection="1">
      <alignment/>
      <protection/>
    </xf>
    <xf numFmtId="41" fontId="1" fillId="0" borderId="0" xfId="0" applyNumberFormat="1" applyFont="1" applyFill="1" applyAlignment="1">
      <alignment/>
    </xf>
    <xf numFmtId="2" fontId="0" fillId="0" borderId="0" xfId="15" applyNumberFormat="1" applyFont="1" applyFill="1" applyAlignment="1">
      <alignment horizontal="right"/>
    </xf>
    <xf numFmtId="5" fontId="0" fillId="0" borderId="0" xfId="0" applyNumberFormat="1" applyFont="1" applyFill="1" applyAlignment="1" applyProtection="1">
      <alignment horizontal="left"/>
      <protection/>
    </xf>
    <xf numFmtId="7" fontId="0" fillId="0" borderId="0" xfId="0" applyNumberFormat="1" applyFont="1" applyFill="1" applyAlignment="1" applyProtection="1">
      <alignment/>
      <protection/>
    </xf>
    <xf numFmtId="43" fontId="0" fillId="0" borderId="0" xfId="15" applyFont="1" applyFill="1" applyAlignment="1">
      <alignment horizontal="right"/>
    </xf>
    <xf numFmtId="44" fontId="0" fillId="0" borderId="0" xfId="17" applyFill="1" applyAlignment="1">
      <alignment/>
    </xf>
    <xf numFmtId="0" fontId="0" fillId="0" borderId="0" xfId="0" applyFont="1" applyFill="1" applyBorder="1" applyAlignment="1">
      <alignment/>
    </xf>
    <xf numFmtId="7" fontId="0" fillId="0" borderId="0" xfId="17" applyNumberFormat="1" applyFont="1" applyFill="1" applyAlignment="1" applyProtection="1">
      <alignment horizontal="right"/>
      <protection/>
    </xf>
    <xf numFmtId="12" fontId="0" fillId="0" borderId="0" xfId="0" applyNumberFormat="1" applyFont="1" applyFill="1" applyAlignment="1" quotePrefix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 quotePrefix="1">
      <alignment/>
    </xf>
    <xf numFmtId="44" fontId="1" fillId="0" borderId="0" xfId="17" applyFont="1" applyFill="1" applyBorder="1" applyAlignment="1">
      <alignment/>
    </xf>
    <xf numFmtId="10" fontId="2" fillId="0" borderId="47" xfId="0" applyNumberFormat="1" applyFont="1" applyFill="1" applyBorder="1" applyAlignment="1">
      <alignment horizontal="right"/>
    </xf>
    <xf numFmtId="182" fontId="2" fillId="0" borderId="4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4" fontId="0" fillId="0" borderId="0" xfId="17" applyFont="1" applyFill="1" applyBorder="1" applyAlignment="1">
      <alignment horizontal="right"/>
    </xf>
    <xf numFmtId="44" fontId="0" fillId="0" borderId="0" xfId="17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left"/>
    </xf>
    <xf numFmtId="37" fontId="1" fillId="0" borderId="0" xfId="0" applyNumberFormat="1" applyFont="1" applyAlignment="1" applyProtection="1">
      <alignment horizontal="right"/>
      <protection/>
    </xf>
    <xf numFmtId="9" fontId="1" fillId="0" borderId="0" xfId="21" applyFont="1" applyAlignment="1" applyProtection="1">
      <alignment/>
      <protection/>
    </xf>
    <xf numFmtId="18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21" applyNumberFormat="1" applyAlignment="1">
      <alignment horizontal="center"/>
    </xf>
    <xf numFmtId="182" fontId="0" fillId="0" borderId="2" xfId="21" applyNumberFormat="1" applyBorder="1" applyAlignment="1">
      <alignment/>
    </xf>
    <xf numFmtId="0" fontId="2" fillId="0" borderId="0" xfId="0" applyFont="1" applyAlignment="1">
      <alignment wrapText="1"/>
    </xf>
    <xf numFmtId="182" fontId="2" fillId="0" borderId="1" xfId="21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3" fontId="2" fillId="0" borderId="49" xfId="0" applyNumberFormat="1" applyFont="1" applyBorder="1" applyAlignment="1">
      <alignment horizontal="right"/>
    </xf>
    <xf numFmtId="0" fontId="1" fillId="0" borderId="4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" fillId="0" borderId="51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4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!\r2006-1\USPS-T-40-Mitchum\LRs\USPS-LR-L-124%207-20-06%20err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Page"/>
      <sheetName val="Preface"/>
      <sheetName val="Index"/>
      <sheetName val="WP-1 Address Chg Election Board"/>
      <sheetName val="WP-2 Address Correction"/>
      <sheetName val="WP-3 Certificates of Mailing"/>
      <sheetName val="WP-4 Confirm"/>
      <sheetName val="WP-5 Correction of Mailing List"/>
      <sheetName val="WP-6 Insurance"/>
      <sheetName val="WP-7 Parcel Airlift"/>
      <sheetName val="WP-8 Registered Mail"/>
      <sheetName val="WP-9 Special Handling"/>
      <sheetName val="WP-10 ZIP Coding"/>
      <sheetName val="WP-11 Std Weighted Fee"/>
      <sheetName val="WP-12 Fees and Hardcodes"/>
      <sheetName val="WP-13 Fee Change Summary"/>
      <sheetName val="WP-14 Cost Input Data"/>
      <sheetName val="WP-15 Volume input Data"/>
      <sheetName val="WP-16 Express Mail Insurance"/>
      <sheetName val="WP-17 Standard Mail Forwarding"/>
      <sheetName val="WP-18 Prem Forward Service"/>
      <sheetName val="WP-19 Prem Forward Srvc App Fee"/>
    </sheetNames>
    <sheetDataSet>
      <sheetData sheetId="14">
        <row r="96">
          <cell r="F96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8"/>
  <sheetViews>
    <sheetView tabSelected="1" workbookViewId="0" topLeftCell="A1">
      <selection activeCell="D8" sqref="D8"/>
    </sheetView>
  </sheetViews>
  <sheetFormatPr defaultColWidth="9.140625" defaultRowHeight="12.75"/>
  <cols>
    <col min="7" max="7" width="27.00390625" style="0" customWidth="1"/>
  </cols>
  <sheetData>
    <row r="4" spans="1:8" ht="20.25">
      <c r="A4" s="112"/>
      <c r="B4" s="112"/>
      <c r="C4" s="112" t="s">
        <v>759</v>
      </c>
      <c r="D4" s="112"/>
      <c r="E4" s="112"/>
      <c r="F4" s="112"/>
      <c r="G4" s="112"/>
      <c r="H4" s="112"/>
    </row>
    <row r="5" spans="1:8" ht="20.25">
      <c r="A5" s="113"/>
      <c r="B5" s="113"/>
      <c r="C5" s="113"/>
      <c r="D5" s="113"/>
      <c r="E5" s="113"/>
      <c r="F5" s="113"/>
      <c r="G5" s="113"/>
      <c r="H5" s="113"/>
    </row>
    <row r="6" spans="1:8" ht="20.25">
      <c r="A6" s="112" t="s">
        <v>760</v>
      </c>
      <c r="B6" s="112"/>
      <c r="C6" s="112"/>
      <c r="D6" s="112"/>
      <c r="E6" s="112"/>
      <c r="F6" s="112"/>
      <c r="G6" s="112"/>
      <c r="H6" s="112"/>
    </row>
    <row r="8" spans="1:8" ht="12.75">
      <c r="A8" s="96"/>
      <c r="B8" s="96"/>
      <c r="C8" s="96"/>
      <c r="D8" s="96"/>
      <c r="E8" s="96"/>
      <c r="F8" s="96"/>
      <c r="G8" s="96"/>
      <c r="H8" s="96"/>
    </row>
    <row r="28" spans="1:8" ht="12.75">
      <c r="A28" s="96"/>
      <c r="B28" s="96"/>
      <c r="C28" s="96"/>
      <c r="D28" s="96"/>
      <c r="E28" s="96"/>
      <c r="F28" s="96"/>
      <c r="G28" s="96"/>
      <c r="H28" s="96"/>
    </row>
  </sheetData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U56"/>
  <sheetViews>
    <sheetView zoomScale="70" zoomScaleNormal="70" workbookViewId="0" topLeftCell="G1">
      <selection activeCell="N3" sqref="N3"/>
    </sheetView>
  </sheetViews>
  <sheetFormatPr defaultColWidth="12.421875" defaultRowHeight="12.75"/>
  <cols>
    <col min="1" max="1" width="6.00390625" style="1" customWidth="1"/>
    <col min="2" max="2" width="4.7109375" style="1" hidden="1" customWidth="1"/>
    <col min="3" max="3" width="33.00390625" style="1" hidden="1" customWidth="1"/>
    <col min="4" max="4" width="69.7109375" style="1" bestFit="1" customWidth="1"/>
    <col min="5" max="5" width="16.28125" style="1" customWidth="1"/>
    <col min="6" max="6" width="6.140625" style="1" customWidth="1"/>
    <col min="7" max="7" width="4.7109375" style="1" customWidth="1"/>
    <col min="8" max="8" width="28.57421875" style="1" customWidth="1"/>
    <col min="9" max="14" width="15.28125" style="1" customWidth="1"/>
    <col min="15" max="15" width="4.140625" style="1" customWidth="1"/>
    <col min="16" max="16" width="4.7109375" style="1" customWidth="1"/>
    <col min="17" max="17" width="12.421875" style="1" customWidth="1"/>
    <col min="18" max="18" width="7.28125" style="1" customWidth="1"/>
    <col min="19" max="19" width="15.00390625" style="1" customWidth="1"/>
    <col min="20" max="20" width="4.7109375" style="1" customWidth="1"/>
    <col min="21" max="16384" width="12.421875" style="1" customWidth="1"/>
  </cols>
  <sheetData>
    <row r="1" ht="15">
      <c r="G1" s="2"/>
    </row>
    <row r="2" spans="7:14" ht="15">
      <c r="G2" s="2"/>
      <c r="N2" s="1" t="str">
        <f>WN</f>
        <v>February 2009</v>
      </c>
    </row>
    <row r="3" spans="5:7" ht="15.75" thickBot="1">
      <c r="E3" s="9" t="s">
        <v>25</v>
      </c>
      <c r="G3" s="2"/>
    </row>
    <row r="4" spans="4:14" ht="18.75" thickTop="1">
      <c r="D4" s="771" t="s">
        <v>226</v>
      </c>
      <c r="E4" s="771"/>
      <c r="G4" s="2"/>
      <c r="H4" s="780" t="s">
        <v>232</v>
      </c>
      <c r="I4" s="781"/>
      <c r="J4" s="781"/>
      <c r="K4" s="781"/>
      <c r="L4" s="781"/>
      <c r="M4" s="781"/>
      <c r="N4" s="782"/>
    </row>
    <row r="5" spans="2:14" ht="16.5" thickBot="1">
      <c r="B5" s="2" t="s">
        <v>65</v>
      </c>
      <c r="D5" s="772" t="s">
        <v>700</v>
      </c>
      <c r="E5" s="772"/>
      <c r="G5" s="2"/>
      <c r="H5" s="783" t="str">
        <f>"Fiscal Year 2008 "</f>
        <v>Fiscal Year 2008 </v>
      </c>
      <c r="I5" s="784"/>
      <c r="J5" s="784"/>
      <c r="K5" s="784"/>
      <c r="L5" s="784"/>
      <c r="M5" s="784"/>
      <c r="N5" s="785"/>
    </row>
    <row r="6" spans="2:14" ht="15.75" thickTop="1">
      <c r="B6" s="2" t="s">
        <v>65</v>
      </c>
      <c r="G6" s="2"/>
      <c r="H6" s="184"/>
      <c r="I6" s="575" t="s">
        <v>423</v>
      </c>
      <c r="J6" s="786" t="s">
        <v>235</v>
      </c>
      <c r="K6" s="770"/>
      <c r="L6" s="786" t="s">
        <v>528</v>
      </c>
      <c r="M6" s="787"/>
      <c r="N6" s="777" t="s">
        <v>209</v>
      </c>
    </row>
    <row r="7" spans="2:14" ht="15">
      <c r="B7" s="2" t="s">
        <v>65</v>
      </c>
      <c r="C7" s="1" t="s">
        <v>126</v>
      </c>
      <c r="D7" s="1" t="s">
        <v>227</v>
      </c>
      <c r="E7" s="77">
        <v>42976.25</v>
      </c>
      <c r="G7" s="2"/>
      <c r="H7" s="187"/>
      <c r="I7" s="207"/>
      <c r="J7" s="72"/>
      <c r="K7" s="72"/>
      <c r="L7" s="207"/>
      <c r="M7" s="215"/>
      <c r="N7" s="778"/>
    </row>
    <row r="8" spans="2:15" ht="15.75" thickBot="1">
      <c r="B8" s="2" t="s">
        <v>65</v>
      </c>
      <c r="C8" s="4" t="s">
        <v>67</v>
      </c>
      <c r="E8" s="5"/>
      <c r="G8" s="2"/>
      <c r="H8" s="227"/>
      <c r="I8" s="293" t="str">
        <f>"FY "&amp;FY</f>
        <v>FY </v>
      </c>
      <c r="J8" s="295" t="s">
        <v>206</v>
      </c>
      <c r="K8" s="295" t="s">
        <v>683</v>
      </c>
      <c r="L8" s="296" t="s">
        <v>640</v>
      </c>
      <c r="M8" s="294" t="s">
        <v>683</v>
      </c>
      <c r="N8" s="779"/>
      <c r="O8" s="10"/>
    </row>
    <row r="9" spans="2:14" ht="15.75" thickTop="1">
      <c r="B9" s="2" t="s">
        <v>65</v>
      </c>
      <c r="D9" s="1" t="s">
        <v>228</v>
      </c>
      <c r="E9" s="5">
        <v>77.3216615531262</v>
      </c>
      <c r="G9" s="2"/>
      <c r="H9" s="184"/>
      <c r="I9" s="234"/>
      <c r="J9" s="185"/>
      <c r="K9" s="185"/>
      <c r="L9" s="206"/>
      <c r="M9" s="214"/>
      <c r="N9" s="186"/>
    </row>
    <row r="10" spans="2:14" ht="15">
      <c r="B10" s="2" t="s">
        <v>65</v>
      </c>
      <c r="G10" s="2"/>
      <c r="H10" s="187"/>
      <c r="I10" s="235" t="s">
        <v>78</v>
      </c>
      <c r="J10" s="72" t="s">
        <v>79</v>
      </c>
      <c r="K10" s="72" t="s">
        <v>80</v>
      </c>
      <c r="L10" s="207" t="s">
        <v>81</v>
      </c>
      <c r="M10" s="233" t="s">
        <v>82</v>
      </c>
      <c r="N10" s="226" t="s">
        <v>83</v>
      </c>
    </row>
    <row r="11" spans="2:21" ht="15">
      <c r="B11" s="2" t="s">
        <v>65</v>
      </c>
      <c r="D11" s="34"/>
      <c r="G11" s="2"/>
      <c r="H11" s="187"/>
      <c r="I11" s="236"/>
      <c r="J11" s="36"/>
      <c r="K11" s="36"/>
      <c r="L11" s="208"/>
      <c r="M11" s="216"/>
      <c r="N11" s="189"/>
      <c r="O11" s="30"/>
      <c r="P11" s="4"/>
      <c r="Q11" s="4"/>
      <c r="S11" s="4"/>
      <c r="T11" s="4"/>
      <c r="U11" s="4"/>
    </row>
    <row r="12" spans="2:15" ht="15">
      <c r="B12" s="2" t="s">
        <v>65</v>
      </c>
      <c r="D12" s="1" t="s">
        <v>229</v>
      </c>
      <c r="E12" s="5"/>
      <c r="G12" s="2"/>
      <c r="H12" s="187" t="s">
        <v>202</v>
      </c>
      <c r="I12" s="237">
        <f>+E9</f>
        <v>77.3216615531262</v>
      </c>
      <c r="J12" s="201">
        <f>AcctMC</f>
        <v>565</v>
      </c>
      <c r="K12" s="201">
        <f>AcctMP</f>
        <v>585</v>
      </c>
      <c r="L12" s="209">
        <f>+J12*I12</f>
        <v>43686.73877751631</v>
      </c>
      <c r="M12" s="217">
        <f>+K12*I12</f>
        <v>45233.17200857883</v>
      </c>
      <c r="N12" s="204">
        <f>(K12-J12)/J12</f>
        <v>0.035398230088495575</v>
      </c>
      <c r="O12" s="30"/>
    </row>
    <row r="13" spans="2:21" ht="15">
      <c r="B13" s="2" t="s">
        <v>65</v>
      </c>
      <c r="G13" s="2"/>
      <c r="H13" s="187"/>
      <c r="I13" s="237"/>
      <c r="J13" s="36"/>
      <c r="K13" s="36"/>
      <c r="L13" s="209"/>
      <c r="M13" s="217"/>
      <c r="N13" s="191"/>
      <c r="O13" s="30"/>
      <c r="P13" s="4"/>
      <c r="Q13" s="4"/>
      <c r="S13" s="4"/>
      <c r="T13" s="4"/>
      <c r="U13" s="4"/>
    </row>
    <row r="14" spans="2:15" ht="15.75" thickBot="1">
      <c r="B14" s="2" t="s">
        <v>65</v>
      </c>
      <c r="G14" s="2"/>
      <c r="H14" s="187"/>
      <c r="I14" s="237"/>
      <c r="J14" s="38"/>
      <c r="K14" s="38"/>
      <c r="L14" s="209"/>
      <c r="M14" s="217"/>
      <c r="N14" s="191"/>
      <c r="O14" s="30"/>
    </row>
    <row r="15" spans="2:21" ht="15.75" thickTop="1">
      <c r="B15" s="2" t="s">
        <v>65</v>
      </c>
      <c r="G15" s="2"/>
      <c r="H15" s="184" t="s">
        <v>691</v>
      </c>
      <c r="I15" s="199"/>
      <c r="J15" s="199"/>
      <c r="K15" s="199"/>
      <c r="L15" s="199"/>
      <c r="M15" s="199"/>
      <c r="N15" s="200"/>
      <c r="O15" s="30"/>
      <c r="Q15" s="5"/>
      <c r="S15" s="5"/>
      <c r="U15" s="5"/>
    </row>
    <row r="16" spans="2:15" ht="15.75" thickBot="1">
      <c r="B16" s="2" t="s">
        <v>65</v>
      </c>
      <c r="G16" s="2"/>
      <c r="H16" s="227"/>
      <c r="I16" s="197"/>
      <c r="J16" s="197"/>
      <c r="K16" s="197"/>
      <c r="L16" s="197"/>
      <c r="M16" s="197"/>
      <c r="N16" s="198"/>
      <c r="O16" s="30"/>
    </row>
    <row r="17" spans="2:8" ht="15.75" thickTop="1">
      <c r="B17" s="2" t="s">
        <v>65</v>
      </c>
      <c r="D17" s="36"/>
      <c r="E17" s="36"/>
      <c r="G17" s="2"/>
      <c r="H17" s="10"/>
    </row>
    <row r="18" spans="2:14" ht="15.75" customHeight="1">
      <c r="B18" s="2" t="s">
        <v>65</v>
      </c>
      <c r="D18" s="36"/>
      <c r="E18" s="36"/>
      <c r="G18" s="2"/>
      <c r="N18" s="30"/>
    </row>
    <row r="19" spans="2:7" ht="15">
      <c r="B19" s="2" t="s">
        <v>65</v>
      </c>
      <c r="D19" s="36"/>
      <c r="E19" s="36"/>
      <c r="G19" s="2"/>
    </row>
    <row r="20" spans="2:7" ht="15">
      <c r="B20" s="2" t="s">
        <v>65</v>
      </c>
      <c r="D20" s="36"/>
      <c r="E20" s="36"/>
      <c r="G20" s="2"/>
    </row>
    <row r="21" spans="2:21" ht="15">
      <c r="B21" s="2" t="s">
        <v>65</v>
      </c>
      <c r="D21" s="36"/>
      <c r="E21" s="36"/>
      <c r="G21" s="2"/>
      <c r="P21" s="31"/>
      <c r="Q21" s="31"/>
      <c r="S21" s="31"/>
      <c r="T21" s="31"/>
      <c r="U21" s="31"/>
    </row>
    <row r="22" spans="2:21" ht="15">
      <c r="B22" s="2" t="s">
        <v>65</v>
      </c>
      <c r="D22" s="36"/>
      <c r="E22" s="36"/>
      <c r="G22" s="2"/>
      <c r="Q22" s="5"/>
      <c r="S22" s="5"/>
      <c r="U22" s="5"/>
    </row>
    <row r="23" spans="2:21" ht="15">
      <c r="B23" s="2" t="s">
        <v>65</v>
      </c>
      <c r="D23" s="36"/>
      <c r="E23" s="36"/>
      <c r="G23" s="2"/>
      <c r="P23" s="31"/>
      <c r="Q23" s="31"/>
      <c r="S23" s="31"/>
      <c r="T23" s="31"/>
      <c r="U23" s="31"/>
    </row>
    <row r="24" spans="2:7" ht="15">
      <c r="B24" s="2" t="s">
        <v>65</v>
      </c>
      <c r="D24" s="36"/>
      <c r="E24" s="36"/>
      <c r="G24" s="2"/>
    </row>
    <row r="25" spans="2:21" ht="15">
      <c r="B25" s="2" t="s">
        <v>65</v>
      </c>
      <c r="D25" s="36"/>
      <c r="E25" s="36"/>
      <c r="G25" s="2"/>
      <c r="Q25" s="5"/>
      <c r="S25" s="5"/>
      <c r="U25" s="5"/>
    </row>
    <row r="26" spans="2:7" ht="15">
      <c r="B26" s="2" t="s">
        <v>65</v>
      </c>
      <c r="D26" s="36"/>
      <c r="E26" s="36"/>
      <c r="G26" s="2"/>
    </row>
    <row r="27" spans="2:7" ht="15">
      <c r="B27" s="2"/>
      <c r="D27" s="36"/>
      <c r="E27" s="36"/>
      <c r="G27" s="2"/>
    </row>
    <row r="28" spans="2:7" ht="15">
      <c r="B28" s="2" t="s">
        <v>65</v>
      </c>
      <c r="D28" s="36"/>
      <c r="E28" s="36"/>
      <c r="G28" s="2"/>
    </row>
    <row r="29" spans="2:7" ht="15">
      <c r="B29" s="2" t="s">
        <v>65</v>
      </c>
      <c r="D29" s="36"/>
      <c r="E29" s="36"/>
      <c r="G29" s="2"/>
    </row>
    <row r="30" spans="2:7" ht="15">
      <c r="B30" s="2" t="s">
        <v>65</v>
      </c>
      <c r="D30" s="21"/>
      <c r="E30" s="21"/>
      <c r="G30" s="2"/>
    </row>
    <row r="31" spans="2:7" ht="15">
      <c r="B31" s="2" t="s">
        <v>65</v>
      </c>
      <c r="D31" s="36"/>
      <c r="E31" s="36"/>
      <c r="G31" s="2"/>
    </row>
    <row r="32" spans="2:7" ht="15">
      <c r="B32" s="2" t="s">
        <v>65</v>
      </c>
      <c r="D32" s="36"/>
      <c r="E32" s="36"/>
      <c r="G32" s="2"/>
    </row>
    <row r="33" spans="2:7" ht="15">
      <c r="B33" s="2" t="s">
        <v>65</v>
      </c>
      <c r="G33" s="2"/>
    </row>
    <row r="34" spans="2:7" ht="15">
      <c r="B34" s="2" t="s">
        <v>65</v>
      </c>
      <c r="G34" s="2"/>
    </row>
    <row r="35" spans="2:7" ht="15">
      <c r="B35" s="2" t="s">
        <v>65</v>
      </c>
      <c r="G35" s="2"/>
    </row>
    <row r="36" spans="2:7" ht="15">
      <c r="B36" s="2" t="s">
        <v>65</v>
      </c>
      <c r="G36" s="2"/>
    </row>
    <row r="37" ht="15">
      <c r="G37" s="2"/>
    </row>
    <row r="38" ht="15">
      <c r="G38" s="2"/>
    </row>
    <row r="39" ht="15">
      <c r="G39" s="2"/>
    </row>
    <row r="40" ht="15">
      <c r="G40" s="2"/>
    </row>
    <row r="41" ht="15">
      <c r="G41" s="2"/>
    </row>
    <row r="42" ht="15">
      <c r="G42" s="2"/>
    </row>
    <row r="43" ht="15">
      <c r="G43" s="2"/>
    </row>
    <row r="44" ht="15">
      <c r="G44" s="2"/>
    </row>
    <row r="45" ht="15">
      <c r="G45" s="2"/>
    </row>
    <row r="46" ht="15">
      <c r="G46" s="2"/>
    </row>
    <row r="47" ht="15">
      <c r="G47" s="2"/>
    </row>
    <row r="48" ht="15">
      <c r="G48" s="2"/>
    </row>
    <row r="49" ht="15">
      <c r="G49" s="2"/>
    </row>
    <row r="50" ht="15">
      <c r="G50" s="2"/>
    </row>
    <row r="51" ht="15">
      <c r="G51" s="2"/>
    </row>
    <row r="52" ht="15">
      <c r="G52" s="2"/>
    </row>
    <row r="53" ht="15">
      <c r="G53" s="2"/>
    </row>
    <row r="54" ht="15">
      <c r="G54" s="2"/>
    </row>
    <row r="55" ht="15">
      <c r="G55" s="2"/>
    </row>
    <row r="56" ht="15">
      <c r="G56" s="2"/>
    </row>
  </sheetData>
  <mergeCells count="7">
    <mergeCell ref="J6:K6"/>
    <mergeCell ref="L6:M6"/>
    <mergeCell ref="N6:N8"/>
    <mergeCell ref="D4:E4"/>
    <mergeCell ref="D5:E5"/>
    <mergeCell ref="H4:N4"/>
    <mergeCell ref="H5:N5"/>
  </mergeCells>
  <printOptions horizontalCentered="1"/>
  <pageMargins left="0.25" right="0.25" top="0.5" bottom="0.5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T56"/>
  <sheetViews>
    <sheetView zoomScale="70" zoomScaleNormal="70" workbookViewId="0" topLeftCell="A1">
      <selection activeCell="M6" sqref="M6"/>
    </sheetView>
  </sheetViews>
  <sheetFormatPr defaultColWidth="12.421875" defaultRowHeight="12.75"/>
  <cols>
    <col min="1" max="1" width="6.00390625" style="1" customWidth="1"/>
    <col min="2" max="2" width="4.7109375" style="1" hidden="1" customWidth="1"/>
    <col min="3" max="3" width="33.00390625" style="1" hidden="1" customWidth="1"/>
    <col min="4" max="4" width="53.140625" style="1" bestFit="1" customWidth="1"/>
    <col min="5" max="5" width="16.28125" style="1" customWidth="1"/>
    <col min="6" max="6" width="4.7109375" style="1" customWidth="1"/>
    <col min="7" max="13" width="15.140625" style="1" customWidth="1"/>
    <col min="14" max="14" width="15.00390625" style="1" customWidth="1"/>
    <col min="15" max="15" width="4.7109375" style="1" customWidth="1"/>
    <col min="16" max="16" width="12.421875" style="1" customWidth="1"/>
    <col min="17" max="17" width="7.28125" style="1" customWidth="1"/>
    <col min="18" max="18" width="15.00390625" style="1" customWidth="1"/>
    <col min="19" max="19" width="4.7109375" style="1" customWidth="1"/>
    <col min="20" max="16384" width="12.421875" style="1" customWidth="1"/>
  </cols>
  <sheetData>
    <row r="1" ht="15">
      <c r="F1" s="2"/>
    </row>
    <row r="2" ht="15">
      <c r="F2" s="2"/>
    </row>
    <row r="3" spans="5:6" ht="15">
      <c r="E3" s="9" t="s">
        <v>132</v>
      </c>
      <c r="F3" s="2"/>
    </row>
    <row r="4" spans="4:6" ht="18">
      <c r="D4" s="771" t="s">
        <v>651</v>
      </c>
      <c r="E4" s="771"/>
      <c r="F4" s="2"/>
    </row>
    <row r="5" spans="2:13" ht="15.75">
      <c r="B5" s="2" t="s">
        <v>65</v>
      </c>
      <c r="D5" s="772" t="s">
        <v>700</v>
      </c>
      <c r="E5" s="772"/>
      <c r="F5" s="2"/>
      <c r="M5" s="2" t="str">
        <f>WN</f>
        <v>February 2009</v>
      </c>
    </row>
    <row r="6" spans="2:13" ht="15.75" thickBot="1">
      <c r="B6" s="2" t="s">
        <v>65</v>
      </c>
      <c r="F6" s="2"/>
      <c r="M6" s="2"/>
    </row>
    <row r="7" spans="2:13" ht="16.5" thickTop="1">
      <c r="B7" s="2" t="s">
        <v>65</v>
      </c>
      <c r="C7" s="1" t="s">
        <v>126</v>
      </c>
      <c r="D7" s="1" t="s">
        <v>230</v>
      </c>
      <c r="E7" s="33">
        <v>524475</v>
      </c>
      <c r="F7" s="2"/>
      <c r="G7" s="780" t="s">
        <v>651</v>
      </c>
      <c r="H7" s="781"/>
      <c r="I7" s="781"/>
      <c r="J7" s="781"/>
      <c r="K7" s="781"/>
      <c r="L7" s="781"/>
      <c r="M7" s="782"/>
    </row>
    <row r="8" spans="2:13" ht="15.75" thickBot="1">
      <c r="B8" s="2" t="s">
        <v>65</v>
      </c>
      <c r="C8" s="4" t="s">
        <v>67</v>
      </c>
      <c r="F8" s="2"/>
      <c r="G8" s="783" t="str">
        <f>"Fiscal Year 2008 "</f>
        <v>Fiscal Year 2008 </v>
      </c>
      <c r="H8" s="784"/>
      <c r="I8" s="784"/>
      <c r="J8" s="784"/>
      <c r="K8" s="784"/>
      <c r="L8" s="784"/>
      <c r="M8" s="785"/>
    </row>
    <row r="9" spans="2:13" ht="15.75" thickTop="1">
      <c r="B9" s="2" t="s">
        <v>65</v>
      </c>
      <c r="D9" s="1" t="s">
        <v>231</v>
      </c>
      <c r="E9" s="5">
        <v>2964.189201834004</v>
      </c>
      <c r="F9" s="2"/>
      <c r="G9" s="184"/>
      <c r="H9" s="575" t="s">
        <v>423</v>
      </c>
      <c r="I9" s="786" t="s">
        <v>234</v>
      </c>
      <c r="J9" s="770"/>
      <c r="K9" s="786" t="s">
        <v>528</v>
      </c>
      <c r="L9" s="787"/>
      <c r="M9" s="777" t="s">
        <v>233</v>
      </c>
    </row>
    <row r="10" spans="2:13" ht="15">
      <c r="B10" s="2" t="s">
        <v>65</v>
      </c>
      <c r="F10" s="2"/>
      <c r="G10" s="187"/>
      <c r="H10" s="207"/>
      <c r="I10" s="72"/>
      <c r="J10" s="72"/>
      <c r="K10" s="207"/>
      <c r="L10" s="215"/>
      <c r="M10" s="778"/>
    </row>
    <row r="11" spans="2:20" ht="15.75" thickBot="1">
      <c r="B11" s="2" t="s">
        <v>65</v>
      </c>
      <c r="D11" s="34"/>
      <c r="F11" s="2"/>
      <c r="G11" s="227"/>
      <c r="H11" s="293" t="str">
        <f>"FY "&amp;FY&amp;" 1/"</f>
        <v>FY  1/</v>
      </c>
      <c r="I11" s="295" t="s">
        <v>206</v>
      </c>
      <c r="J11" s="295" t="s">
        <v>683</v>
      </c>
      <c r="K11" s="296" t="s">
        <v>640</v>
      </c>
      <c r="L11" s="294" t="s">
        <v>683</v>
      </c>
      <c r="M11" s="779"/>
      <c r="O11" s="4"/>
      <c r="P11" s="4"/>
      <c r="R11" s="4"/>
      <c r="S11" s="4"/>
      <c r="T11" s="4"/>
    </row>
    <row r="12" spans="2:14" ht="15.75" thickTop="1">
      <c r="B12" s="2" t="s">
        <v>65</v>
      </c>
      <c r="D12" s="1" t="s">
        <v>130</v>
      </c>
      <c r="E12" s="5"/>
      <c r="F12" s="2"/>
      <c r="G12" s="184"/>
      <c r="H12" s="234"/>
      <c r="I12" s="185"/>
      <c r="J12" s="185"/>
      <c r="K12" s="206"/>
      <c r="L12" s="214"/>
      <c r="M12" s="186"/>
      <c r="N12" s="30"/>
    </row>
    <row r="13" spans="2:20" ht="15">
      <c r="B13" s="2" t="s">
        <v>65</v>
      </c>
      <c r="D13" s="36"/>
      <c r="E13" s="36"/>
      <c r="F13" s="2"/>
      <c r="G13" s="187"/>
      <c r="H13" s="235" t="s">
        <v>78</v>
      </c>
      <c r="I13" s="72" t="s">
        <v>79</v>
      </c>
      <c r="J13" s="72" t="s">
        <v>80</v>
      </c>
      <c r="K13" s="207" t="s">
        <v>81</v>
      </c>
      <c r="L13" s="233" t="s">
        <v>82</v>
      </c>
      <c r="M13" s="226" t="s">
        <v>83</v>
      </c>
      <c r="N13" s="30"/>
      <c r="O13" s="4"/>
      <c r="P13" s="4"/>
      <c r="R13" s="4"/>
      <c r="S13" s="4"/>
      <c r="T13" s="4"/>
    </row>
    <row r="14" spans="2:14" ht="15">
      <c r="B14" s="2" t="s">
        <v>65</v>
      </c>
      <c r="D14" s="36"/>
      <c r="E14" s="36"/>
      <c r="F14" s="2"/>
      <c r="G14" s="187"/>
      <c r="H14" s="236"/>
      <c r="I14" s="36"/>
      <c r="J14" s="36"/>
      <c r="K14" s="208"/>
      <c r="L14" s="216"/>
      <c r="M14" s="189"/>
      <c r="N14" s="30"/>
    </row>
    <row r="15" spans="2:20" ht="15">
      <c r="B15" s="2" t="s">
        <v>65</v>
      </c>
      <c r="D15" s="36"/>
      <c r="E15" s="36"/>
      <c r="F15" s="2"/>
      <c r="G15" s="187" t="s">
        <v>133</v>
      </c>
      <c r="H15" s="237">
        <f>+E9</f>
        <v>2964.189201834004</v>
      </c>
      <c r="I15" s="201">
        <f>PermC</f>
        <v>180</v>
      </c>
      <c r="J15" s="201">
        <f>PermP</f>
        <v>185</v>
      </c>
      <c r="K15" s="209">
        <f>+I15*H15</f>
        <v>533554.0563301208</v>
      </c>
      <c r="L15" s="217">
        <f>+J15*H15</f>
        <v>548375.0023392908</v>
      </c>
      <c r="M15" s="204">
        <f>(J15-I15)/I15</f>
        <v>0.027777777777777776</v>
      </c>
      <c r="N15" s="30"/>
      <c r="P15" s="5"/>
      <c r="R15" s="5"/>
      <c r="T15" s="5"/>
    </row>
    <row r="16" spans="2:14" ht="15">
      <c r="B16" s="2" t="s">
        <v>65</v>
      </c>
      <c r="D16" s="36"/>
      <c r="E16" s="36"/>
      <c r="F16" s="2"/>
      <c r="G16" s="187"/>
      <c r="H16" s="237"/>
      <c r="I16" s="36"/>
      <c r="J16" s="36"/>
      <c r="K16" s="209"/>
      <c r="L16" s="217"/>
      <c r="M16" s="191"/>
      <c r="N16" s="30"/>
    </row>
    <row r="17" spans="2:14" ht="15.75" thickBot="1">
      <c r="B17" s="2" t="s">
        <v>65</v>
      </c>
      <c r="D17" s="36"/>
      <c r="E17" s="36"/>
      <c r="F17" s="2"/>
      <c r="G17" s="227"/>
      <c r="H17" s="237"/>
      <c r="I17" s="38"/>
      <c r="J17" s="38"/>
      <c r="K17" s="209"/>
      <c r="L17" s="217"/>
      <c r="M17" s="191"/>
      <c r="N17" s="30"/>
    </row>
    <row r="18" spans="2:13" ht="15.75" thickTop="1">
      <c r="B18" s="2" t="s">
        <v>65</v>
      </c>
      <c r="D18" s="36"/>
      <c r="E18" s="36"/>
      <c r="F18" s="2"/>
      <c r="G18" s="184" t="s">
        <v>135</v>
      </c>
      <c r="H18" s="199"/>
      <c r="I18" s="199"/>
      <c r="J18" s="199"/>
      <c r="K18" s="241"/>
      <c r="L18" s="241"/>
      <c r="M18" s="242"/>
    </row>
    <row r="19" spans="2:13" ht="15">
      <c r="B19" s="2" t="s">
        <v>65</v>
      </c>
      <c r="D19" s="36"/>
      <c r="E19" s="36"/>
      <c r="F19" s="2"/>
      <c r="G19" s="187" t="s">
        <v>692</v>
      </c>
      <c r="H19" s="36"/>
      <c r="I19" s="36"/>
      <c r="J19" s="36"/>
      <c r="K19" s="36"/>
      <c r="L19" s="36"/>
      <c r="M19" s="189"/>
    </row>
    <row r="20" spans="2:13" ht="15.75" thickBot="1">
      <c r="B20" s="2" t="s">
        <v>65</v>
      </c>
      <c r="D20" s="36"/>
      <c r="E20" s="36"/>
      <c r="F20" s="2"/>
      <c r="G20" s="227"/>
      <c r="H20" s="197"/>
      <c r="I20" s="197"/>
      <c r="J20" s="197"/>
      <c r="K20" s="197"/>
      <c r="L20" s="197"/>
      <c r="M20" s="229"/>
    </row>
    <row r="21" spans="2:20" ht="15.75" thickTop="1">
      <c r="B21" s="2" t="s">
        <v>65</v>
      </c>
      <c r="D21" s="36"/>
      <c r="E21" s="36"/>
      <c r="F21" s="2"/>
      <c r="O21" s="31"/>
      <c r="P21" s="31"/>
      <c r="R21" s="31"/>
      <c r="S21" s="31"/>
      <c r="T21" s="31"/>
    </row>
    <row r="22" spans="2:20" ht="15">
      <c r="B22" s="2" t="s">
        <v>65</v>
      </c>
      <c r="D22" s="36"/>
      <c r="E22" s="36"/>
      <c r="F22" s="2"/>
      <c r="G22" s="10"/>
      <c r="P22" s="5"/>
      <c r="R22" s="5"/>
      <c r="T22" s="5"/>
    </row>
    <row r="23" spans="2:20" ht="15">
      <c r="B23" s="2" t="s">
        <v>65</v>
      </c>
      <c r="D23" s="36"/>
      <c r="E23" s="36"/>
      <c r="F23" s="2"/>
      <c r="O23" s="31"/>
      <c r="P23" s="31"/>
      <c r="R23" s="31"/>
      <c r="S23" s="31"/>
      <c r="T23" s="31"/>
    </row>
    <row r="24" spans="2:6" ht="15">
      <c r="B24" s="2" t="s">
        <v>65</v>
      </c>
      <c r="D24" s="36"/>
      <c r="E24" s="36"/>
      <c r="F24" s="2"/>
    </row>
    <row r="25" spans="2:20" ht="15">
      <c r="B25" s="2" t="s">
        <v>65</v>
      </c>
      <c r="D25" s="36"/>
      <c r="E25" s="36"/>
      <c r="F25" s="2"/>
      <c r="P25" s="5"/>
      <c r="R25" s="5"/>
      <c r="T25" s="5"/>
    </row>
    <row r="26" spans="2:6" ht="15">
      <c r="B26" s="2" t="s">
        <v>65</v>
      </c>
      <c r="D26" s="36"/>
      <c r="E26" s="36"/>
      <c r="F26" s="2"/>
    </row>
    <row r="27" spans="2:6" ht="15">
      <c r="B27" s="2"/>
      <c r="F27" s="2"/>
    </row>
    <row r="28" spans="2:6" ht="15">
      <c r="B28" s="2" t="s">
        <v>65</v>
      </c>
      <c r="F28" s="2"/>
    </row>
    <row r="29" spans="2:6" ht="15">
      <c r="B29" s="2" t="s">
        <v>65</v>
      </c>
      <c r="D29" s="36"/>
      <c r="E29" s="36"/>
      <c r="F29" s="2"/>
    </row>
    <row r="30" spans="2:6" ht="15">
      <c r="B30" s="2" t="s">
        <v>65</v>
      </c>
      <c r="D30" s="21"/>
      <c r="E30" s="21"/>
      <c r="F30" s="2"/>
    </row>
    <row r="31" spans="2:6" ht="15">
      <c r="B31" s="2" t="s">
        <v>65</v>
      </c>
      <c r="D31" s="36"/>
      <c r="E31" s="36"/>
      <c r="F31" s="2"/>
    </row>
    <row r="32" spans="2:6" ht="15">
      <c r="B32" s="2" t="s">
        <v>65</v>
      </c>
      <c r="D32" s="36"/>
      <c r="E32" s="36"/>
      <c r="F32" s="2"/>
    </row>
    <row r="33" spans="2:6" ht="15">
      <c r="B33" s="2" t="s">
        <v>65</v>
      </c>
      <c r="F33" s="2"/>
    </row>
    <row r="34" spans="2:6" ht="15">
      <c r="B34" s="2" t="s">
        <v>65</v>
      </c>
      <c r="F34" s="2"/>
    </row>
    <row r="35" spans="2:6" ht="15">
      <c r="B35" s="2" t="s">
        <v>65</v>
      </c>
      <c r="F35" s="2"/>
    </row>
    <row r="36" spans="2:6" ht="15">
      <c r="B36" s="2" t="s">
        <v>65</v>
      </c>
      <c r="F36" s="2"/>
    </row>
    <row r="37" ht="15">
      <c r="F37" s="2"/>
    </row>
    <row r="38" ht="15">
      <c r="F38" s="2"/>
    </row>
    <row r="39" ht="15">
      <c r="F39" s="2"/>
    </row>
    <row r="40" ht="15">
      <c r="F40" s="2"/>
    </row>
    <row r="41" ht="15">
      <c r="F41" s="2"/>
    </row>
    <row r="42" ht="15">
      <c r="F42" s="2"/>
    </row>
    <row r="43" ht="15">
      <c r="F43" s="2"/>
    </row>
    <row r="44" ht="15">
      <c r="F44" s="2"/>
    </row>
    <row r="45" ht="15">
      <c r="F45" s="2"/>
    </row>
    <row r="46" ht="15">
      <c r="F46" s="2"/>
    </row>
    <row r="47" ht="15">
      <c r="F47" s="2"/>
    </row>
    <row r="48" ht="15">
      <c r="F48" s="2"/>
    </row>
    <row r="49" ht="15">
      <c r="F49" s="2"/>
    </row>
    <row r="50" ht="15">
      <c r="F50" s="2"/>
    </row>
    <row r="51" ht="15">
      <c r="F51" s="2"/>
    </row>
    <row r="52" ht="15">
      <c r="F52" s="2"/>
    </row>
    <row r="53" ht="15">
      <c r="F53" s="2"/>
    </row>
    <row r="54" ht="15">
      <c r="F54" s="2"/>
    </row>
    <row r="55" ht="15">
      <c r="F55" s="2"/>
    </row>
    <row r="56" ht="15">
      <c r="F56" s="2"/>
    </row>
  </sheetData>
  <mergeCells count="7">
    <mergeCell ref="I9:J9"/>
    <mergeCell ref="K9:L9"/>
    <mergeCell ref="M9:M11"/>
    <mergeCell ref="D4:E4"/>
    <mergeCell ref="D5:E5"/>
    <mergeCell ref="G7:M7"/>
    <mergeCell ref="G8:M8"/>
  </mergeCells>
  <printOptions horizontalCentered="1"/>
  <pageMargins left="0.25" right="0.25" top="0.5" bottom="0.5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U294"/>
  <sheetViews>
    <sheetView zoomScale="55" zoomScaleNormal="55" workbookViewId="0" topLeftCell="A1">
      <selection activeCell="F28" sqref="F28"/>
    </sheetView>
  </sheetViews>
  <sheetFormatPr defaultColWidth="16.28125" defaultRowHeight="12.75"/>
  <cols>
    <col min="1" max="1" width="16.28125" style="1" customWidth="1"/>
    <col min="2" max="2" width="47.8515625" style="1" customWidth="1"/>
    <col min="3" max="4" width="19.28125" style="1" customWidth="1"/>
    <col min="5" max="5" width="12.57421875" style="1" customWidth="1"/>
    <col min="6" max="6" width="33.8515625" style="1" bestFit="1" customWidth="1"/>
    <col min="7" max="7" width="16.8515625" style="1" bestFit="1" customWidth="1"/>
    <col min="8" max="8" width="4.8515625" style="1" customWidth="1"/>
    <col min="9" max="9" width="46.57421875" style="1" customWidth="1"/>
    <col min="10" max="15" width="17.140625" style="1" customWidth="1"/>
    <col min="16" max="16" width="3.57421875" style="1" customWidth="1"/>
    <col min="17" max="16384" width="16.28125" style="1" customWidth="1"/>
  </cols>
  <sheetData>
    <row r="1" ht="15">
      <c r="H1" s="2"/>
    </row>
    <row r="2" ht="15">
      <c r="H2" s="2"/>
    </row>
    <row r="3" spans="7:8" ht="15">
      <c r="G3" s="9" t="s">
        <v>139</v>
      </c>
      <c r="H3" s="2"/>
    </row>
    <row r="4" spans="2:8" ht="18">
      <c r="B4" s="771" t="s">
        <v>29</v>
      </c>
      <c r="C4" s="771"/>
      <c r="D4" s="771"/>
      <c r="E4" s="771"/>
      <c r="F4" s="771"/>
      <c r="G4" s="771"/>
      <c r="H4" s="2"/>
    </row>
    <row r="5" spans="2:15" ht="15.75">
      <c r="B5" s="772" t="s">
        <v>700</v>
      </c>
      <c r="C5" s="772"/>
      <c r="D5" s="772"/>
      <c r="E5" s="772"/>
      <c r="F5" s="772"/>
      <c r="G5" s="772"/>
      <c r="H5" s="2"/>
      <c r="O5" s="2" t="str">
        <f>WN</f>
        <v>February 2009</v>
      </c>
    </row>
    <row r="6" spans="8:15" ht="15.75" thickBot="1">
      <c r="H6" s="2"/>
      <c r="O6" s="2"/>
    </row>
    <row r="7" spans="2:15" ht="16.5" thickTop="1">
      <c r="B7" s="1" t="s">
        <v>236</v>
      </c>
      <c r="C7" s="2" t="s">
        <v>237</v>
      </c>
      <c r="D7" s="2" t="s">
        <v>529</v>
      </c>
      <c r="F7" s="794" t="s">
        <v>238</v>
      </c>
      <c r="G7" s="794"/>
      <c r="H7" s="2"/>
      <c r="I7" s="780" t="s">
        <v>29</v>
      </c>
      <c r="J7" s="781"/>
      <c r="K7" s="781"/>
      <c r="L7" s="781"/>
      <c r="M7" s="781"/>
      <c r="N7" s="781"/>
      <c r="O7" s="782"/>
    </row>
    <row r="8" spans="2:15" ht="15.75" thickBot="1">
      <c r="B8" s="26"/>
      <c r="C8" s="26"/>
      <c r="D8" s="26"/>
      <c r="F8" s="103" t="s">
        <v>142</v>
      </c>
      <c r="G8" s="244">
        <v>698131221</v>
      </c>
      <c r="H8" s="2"/>
      <c r="I8" s="783" t="str">
        <f>"Fiscal Year 2008 "</f>
        <v>Fiscal Year 2008 </v>
      </c>
      <c r="J8" s="784"/>
      <c r="K8" s="784"/>
      <c r="L8" s="784"/>
      <c r="M8" s="784"/>
      <c r="N8" s="784"/>
      <c r="O8" s="785"/>
    </row>
    <row r="9" spans="2:15" ht="15.75" thickTop="1">
      <c r="B9" s="1" t="s">
        <v>177</v>
      </c>
      <c r="C9" s="21"/>
      <c r="D9" s="21"/>
      <c r="F9" s="72"/>
      <c r="G9" s="72"/>
      <c r="H9" s="2"/>
      <c r="I9" s="184"/>
      <c r="J9" s="575" t="s">
        <v>423</v>
      </c>
      <c r="K9" s="786" t="s">
        <v>234</v>
      </c>
      <c r="L9" s="770"/>
      <c r="M9" s="786" t="s">
        <v>528</v>
      </c>
      <c r="N9" s="787"/>
      <c r="O9" s="777" t="s">
        <v>209</v>
      </c>
    </row>
    <row r="10" spans="2:15" ht="18">
      <c r="B10" s="1" t="s">
        <v>178</v>
      </c>
      <c r="C10" s="21"/>
      <c r="D10" s="21"/>
      <c r="F10" s="1" t="s">
        <v>142</v>
      </c>
      <c r="G10" s="5"/>
      <c r="H10" s="2"/>
      <c r="I10" s="187"/>
      <c r="J10" s="207"/>
      <c r="K10" s="72"/>
      <c r="L10" s="72"/>
      <c r="M10" s="207"/>
      <c r="N10" s="215"/>
      <c r="O10" s="778"/>
    </row>
    <row r="11" spans="2:15" ht="15.75" thickBot="1">
      <c r="B11" s="1" t="s">
        <v>179</v>
      </c>
      <c r="C11" s="5">
        <v>40332980</v>
      </c>
      <c r="D11" s="5">
        <v>57078292</v>
      </c>
      <c r="F11" s="1" t="s">
        <v>143</v>
      </c>
      <c r="G11" s="30">
        <v>0.9235934354284914</v>
      </c>
      <c r="H11" s="2"/>
      <c r="I11" s="227"/>
      <c r="J11" s="293" t="str">
        <f>"FY "&amp;FY</f>
        <v>FY </v>
      </c>
      <c r="K11" s="295" t="s">
        <v>206</v>
      </c>
      <c r="L11" s="295" t="s">
        <v>683</v>
      </c>
      <c r="M11" s="296" t="s">
        <v>640</v>
      </c>
      <c r="N11" s="294" t="s">
        <v>683</v>
      </c>
      <c r="O11" s="779"/>
    </row>
    <row r="12" spans="2:15" ht="15.75" thickTop="1">
      <c r="B12" s="1" t="s">
        <v>180</v>
      </c>
      <c r="C12" s="5">
        <v>477247</v>
      </c>
      <c r="D12" s="5">
        <v>676350</v>
      </c>
      <c r="F12" s="1" t="s">
        <v>415</v>
      </c>
      <c r="G12" s="97">
        <v>111525.22034898086</v>
      </c>
      <c r="H12" s="2"/>
      <c r="I12" s="184"/>
      <c r="J12" s="234"/>
      <c r="K12" s="185"/>
      <c r="L12" s="185"/>
      <c r="M12" s="206"/>
      <c r="N12" s="214"/>
      <c r="O12" s="186"/>
    </row>
    <row r="13" spans="2:15" ht="15">
      <c r="B13" s="1" t="s">
        <v>181</v>
      </c>
      <c r="C13" s="21"/>
      <c r="D13" s="21"/>
      <c r="F13" s="1" t="s">
        <v>416</v>
      </c>
      <c r="G13" s="97">
        <v>58554.26671965787</v>
      </c>
      <c r="H13" s="2"/>
      <c r="I13" s="187"/>
      <c r="J13" s="235" t="s">
        <v>78</v>
      </c>
      <c r="K13" s="72" t="s">
        <v>79</v>
      </c>
      <c r="L13" s="72" t="s">
        <v>80</v>
      </c>
      <c r="M13" s="207" t="s">
        <v>81</v>
      </c>
      <c r="N13" s="215" t="s">
        <v>82</v>
      </c>
      <c r="O13" s="188" t="s">
        <v>83</v>
      </c>
    </row>
    <row r="14" spans="2:15" ht="18">
      <c r="B14" s="1" t="s">
        <v>182</v>
      </c>
      <c r="C14" s="88">
        <v>30411674</v>
      </c>
      <c r="D14" s="88">
        <v>380270277</v>
      </c>
      <c r="G14" s="104"/>
      <c r="H14" s="2"/>
      <c r="I14" s="250"/>
      <c r="J14" s="236"/>
      <c r="K14" s="36"/>
      <c r="L14" s="36"/>
      <c r="M14" s="208"/>
      <c r="N14" s="216"/>
      <c r="O14" s="189"/>
    </row>
    <row r="15" spans="2:15" ht="15">
      <c r="B15" s="1" t="s">
        <v>183</v>
      </c>
      <c r="C15" s="5">
        <v>71221901</v>
      </c>
      <c r="D15" s="5">
        <v>438024919</v>
      </c>
      <c r="F15" s="1" t="s">
        <v>417</v>
      </c>
      <c r="G15" s="129">
        <v>93865409.89723438</v>
      </c>
      <c r="H15" s="2"/>
      <c r="I15" s="187" t="s">
        <v>34</v>
      </c>
      <c r="J15" s="262"/>
      <c r="K15" s="251"/>
      <c r="L15" s="251"/>
      <c r="M15" s="253"/>
      <c r="N15" s="217"/>
      <c r="O15" s="191"/>
    </row>
    <row r="16" spans="3:15" ht="15">
      <c r="C16" s="21"/>
      <c r="D16" s="21"/>
      <c r="F16" s="1" t="s">
        <v>418</v>
      </c>
      <c r="G16" s="245">
        <v>40810227</v>
      </c>
      <c r="H16" s="2"/>
      <c r="I16" s="187" t="s">
        <v>179</v>
      </c>
      <c r="J16" s="263">
        <f>+D11</f>
        <v>57078292</v>
      </c>
      <c r="K16" s="540">
        <f>+Rates!F30</f>
        <v>0.72</v>
      </c>
      <c r="L16" s="540">
        <f>+Rates!G30</f>
        <v>0.74</v>
      </c>
      <c r="M16" s="253">
        <f>+K16*J16</f>
        <v>41096370.24</v>
      </c>
      <c r="N16" s="259">
        <f>+L16*J16</f>
        <v>42237936.08</v>
      </c>
      <c r="O16" s="318">
        <f>+L16/K16-1</f>
        <v>0.0277777777777779</v>
      </c>
    </row>
    <row r="17" spans="2:15" ht="15">
      <c r="B17" s="1" t="s">
        <v>184</v>
      </c>
      <c r="C17" s="21"/>
      <c r="D17" s="21"/>
      <c r="F17" s="1" t="s">
        <v>419</v>
      </c>
      <c r="G17" s="183">
        <v>134675636.89723438</v>
      </c>
      <c r="H17" s="2"/>
      <c r="I17" s="187" t="s">
        <v>180</v>
      </c>
      <c r="J17" s="263">
        <f>+D12</f>
        <v>676350</v>
      </c>
      <c r="K17" s="540">
        <f>+Rates!F31</f>
        <v>0.72</v>
      </c>
      <c r="L17" s="540">
        <f>+Rates!G31</f>
        <v>0.74</v>
      </c>
      <c r="M17" s="253">
        <f>+K17*J17</f>
        <v>486972</v>
      </c>
      <c r="N17" s="259">
        <f>+L17*J17</f>
        <v>500499</v>
      </c>
      <c r="O17" s="318">
        <f>+L17/K17-1</f>
        <v>0.0277777777777779</v>
      </c>
    </row>
    <row r="18" spans="2:15" ht="15">
      <c r="B18" s="1" t="s">
        <v>653</v>
      </c>
      <c r="C18" s="21"/>
      <c r="D18" s="21"/>
      <c r="H18" s="2"/>
      <c r="I18" s="187" t="s">
        <v>181</v>
      </c>
      <c r="J18" s="264"/>
      <c r="K18" s="72"/>
      <c r="L18" s="72"/>
      <c r="M18" s="209"/>
      <c r="N18" s="217"/>
      <c r="O18" s="204"/>
    </row>
    <row r="19" spans="2:15" ht="18">
      <c r="B19" s="1" t="s">
        <v>185</v>
      </c>
      <c r="C19" s="5">
        <v>7586989</v>
      </c>
      <c r="D19" s="5">
        <v>151822553</v>
      </c>
      <c r="H19" s="2"/>
      <c r="I19" s="187" t="s">
        <v>179</v>
      </c>
      <c r="J19" s="265">
        <f>+D14</f>
        <v>380270277</v>
      </c>
      <c r="K19" s="540">
        <f>+Rates!F33</f>
        <v>0.08</v>
      </c>
      <c r="L19" s="540">
        <f>+Rates!G33</f>
        <v>0.083</v>
      </c>
      <c r="M19" s="253">
        <f>+K19*J19</f>
        <v>30421622.16</v>
      </c>
      <c r="N19" s="259">
        <f>+L19*J19</f>
        <v>31562432.991</v>
      </c>
      <c r="O19" s="318">
        <f>+L19/K19-1</f>
        <v>0.03750000000000009</v>
      </c>
    </row>
    <row r="20" spans="2:17" ht="18">
      <c r="B20" s="1" t="s">
        <v>186</v>
      </c>
      <c r="C20" s="5">
        <v>242312</v>
      </c>
      <c r="D20" s="5">
        <v>3029339</v>
      </c>
      <c r="H20" s="2"/>
      <c r="I20" s="187" t="s">
        <v>183</v>
      </c>
      <c r="J20" s="266">
        <f>+J19+J17+J16</f>
        <v>438024919</v>
      </c>
      <c r="K20" s="107"/>
      <c r="L20" s="107"/>
      <c r="M20" s="253">
        <f>+M19+M17+M16</f>
        <v>72004964.4</v>
      </c>
      <c r="N20" s="259">
        <f>+N19+N17+N16</f>
        <v>74300868.071</v>
      </c>
      <c r="O20" s="205"/>
      <c r="Q20" s="19"/>
    </row>
    <row r="21" spans="2:17" ht="15">
      <c r="B21" s="1" t="s">
        <v>187</v>
      </c>
      <c r="C21" s="21"/>
      <c r="D21" s="21"/>
      <c r="H21" s="2"/>
      <c r="I21" s="187"/>
      <c r="J21" s="267"/>
      <c r="K21" s="297"/>
      <c r="L21" s="297"/>
      <c r="M21" s="209"/>
      <c r="N21" s="217"/>
      <c r="O21" s="204"/>
      <c r="Q21" s="19"/>
    </row>
    <row r="22" spans="2:17" ht="18">
      <c r="B22" s="1" t="s">
        <v>188</v>
      </c>
      <c r="C22" s="88">
        <v>857895</v>
      </c>
      <c r="D22" s="88">
        <v>161080808</v>
      </c>
      <c r="H22" s="2"/>
      <c r="I22" s="187" t="s">
        <v>184</v>
      </c>
      <c r="J22" s="267"/>
      <c r="K22" s="297"/>
      <c r="L22" s="297"/>
      <c r="M22" s="254"/>
      <c r="N22" s="257"/>
      <c r="O22" s="204"/>
      <c r="Q22" s="19"/>
    </row>
    <row r="23" spans="2:21" ht="15">
      <c r="B23" s="1" t="s">
        <v>189</v>
      </c>
      <c r="C23" s="37">
        <v>8687196</v>
      </c>
      <c r="D23" s="37">
        <v>315932700</v>
      </c>
      <c r="H23" s="2"/>
      <c r="I23" s="187" t="s">
        <v>653</v>
      </c>
      <c r="J23" s="266"/>
      <c r="K23" s="297"/>
      <c r="L23" s="297"/>
      <c r="M23" s="253"/>
      <c r="N23" s="217"/>
      <c r="O23" s="204"/>
      <c r="Q23" s="19"/>
      <c r="S23"/>
      <c r="T23"/>
      <c r="U23"/>
    </row>
    <row r="24" spans="3:21" ht="15">
      <c r="C24" s="37"/>
      <c r="D24" s="37"/>
      <c r="H24" s="2"/>
      <c r="I24" s="187" t="s">
        <v>179</v>
      </c>
      <c r="J24" s="263">
        <f>+D19</f>
        <v>151822553</v>
      </c>
      <c r="K24" s="72">
        <f>+Rates!F37</f>
        <v>0.05</v>
      </c>
      <c r="L24" s="72">
        <f>+Rates!G37</f>
        <v>0.052</v>
      </c>
      <c r="M24" s="253">
        <f>+K24*J24</f>
        <v>7591127.65</v>
      </c>
      <c r="N24" s="259">
        <f>+L24*J24</f>
        <v>7894772.756</v>
      </c>
      <c r="O24" s="318">
        <f>+L24/K24-1</f>
        <v>0.039999999999999813</v>
      </c>
      <c r="Q24" s="19"/>
      <c r="S24"/>
      <c r="T24"/>
      <c r="U24"/>
    </row>
    <row r="25" spans="2:21" ht="15">
      <c r="B25" s="1" t="s">
        <v>190</v>
      </c>
      <c r="C25" s="37"/>
      <c r="D25" s="37"/>
      <c r="H25" s="2"/>
      <c r="I25" s="187" t="s">
        <v>403</v>
      </c>
      <c r="J25" s="263">
        <f>+D20</f>
        <v>3029339</v>
      </c>
      <c r="K25" s="72">
        <f>+Rates!F38</f>
        <v>0.05</v>
      </c>
      <c r="L25" s="72">
        <f>+Rates!G38</f>
        <v>0.052</v>
      </c>
      <c r="M25" s="253">
        <f>+K25*J25</f>
        <v>151466.95</v>
      </c>
      <c r="N25" s="259">
        <f>+L25*J25</f>
        <v>157525.628</v>
      </c>
      <c r="O25" s="318">
        <f>+L25/K25-1</f>
        <v>0.039999999999999813</v>
      </c>
      <c r="Q25" s="19"/>
      <c r="S25"/>
      <c r="T25"/>
      <c r="U25" s="149"/>
    </row>
    <row r="26" spans="2:21" ht="15">
      <c r="B26" s="1" t="s">
        <v>191</v>
      </c>
      <c r="C26" s="5">
        <v>150808</v>
      </c>
      <c r="D26" s="5">
        <v>1885095</v>
      </c>
      <c r="H26" s="2"/>
      <c r="I26" s="187" t="s">
        <v>187</v>
      </c>
      <c r="J26" s="266"/>
      <c r="K26" s="72"/>
      <c r="L26" s="72"/>
      <c r="M26" s="209"/>
      <c r="N26" s="217"/>
      <c r="O26" s="205"/>
      <c r="Q26" s="19"/>
      <c r="S26"/>
      <c r="T26"/>
      <c r="U26" s="149"/>
    </row>
    <row r="27" spans="2:21" ht="15">
      <c r="B27" s="1" t="s">
        <v>192</v>
      </c>
      <c r="C27" s="88">
        <v>3452</v>
      </c>
      <c r="D27" s="88">
        <v>43149</v>
      </c>
      <c r="H27" s="2"/>
      <c r="I27" s="187" t="s">
        <v>179</v>
      </c>
      <c r="J27" s="265">
        <f>+D22</f>
        <v>161080808</v>
      </c>
      <c r="K27" s="72">
        <f>+Rates!F40</f>
        <v>0.006</v>
      </c>
      <c r="L27" s="72">
        <f>+Rates!G40</f>
        <v>0.007</v>
      </c>
      <c r="M27" s="253">
        <f>+K27*J27</f>
        <v>966484.848</v>
      </c>
      <c r="N27" s="259">
        <f>+L27*J27</f>
        <v>1127565.656</v>
      </c>
      <c r="O27" s="318">
        <f>+L27/K27-1</f>
        <v>0.16666666666666674</v>
      </c>
      <c r="Q27" s="19"/>
      <c r="S27"/>
      <c r="T27"/>
      <c r="U27"/>
    </row>
    <row r="28" spans="2:21" ht="15">
      <c r="B28" s="1" t="s">
        <v>193</v>
      </c>
      <c r="C28" s="37">
        <v>154260</v>
      </c>
      <c r="D28" s="37">
        <v>1928244</v>
      </c>
      <c r="F28" s="16"/>
      <c r="H28" s="2"/>
      <c r="I28" s="187" t="s">
        <v>189</v>
      </c>
      <c r="J28" s="266">
        <f>+J27+J25+J24</f>
        <v>315932700</v>
      </c>
      <c r="K28" s="72"/>
      <c r="L28" s="72"/>
      <c r="M28" s="212">
        <f>+M27+M25+M24</f>
        <v>8709079.448</v>
      </c>
      <c r="N28" s="219">
        <f>+N27+N25+N24</f>
        <v>9179864.04</v>
      </c>
      <c r="O28" s="205"/>
      <c r="Q28" s="19"/>
      <c r="S28"/>
      <c r="T28"/>
      <c r="U28" s="149"/>
    </row>
    <row r="29" spans="3:21" ht="15">
      <c r="C29" s="37"/>
      <c r="D29" s="37"/>
      <c r="H29" s="2"/>
      <c r="I29" s="187"/>
      <c r="J29" s="268"/>
      <c r="K29" s="107"/>
      <c r="L29" s="298"/>
      <c r="M29" s="208"/>
      <c r="N29" s="216"/>
      <c r="O29" s="205"/>
      <c r="Q29" s="19"/>
      <c r="S29"/>
      <c r="T29"/>
      <c r="U29"/>
    </row>
    <row r="30" spans="2:21" ht="15">
      <c r="B30" s="1" t="s">
        <v>194</v>
      </c>
      <c r="C30" s="5">
        <v>80063357</v>
      </c>
      <c r="D30" s="5">
        <v>755885863</v>
      </c>
      <c r="H30" s="2"/>
      <c r="I30" s="187" t="s">
        <v>190</v>
      </c>
      <c r="J30" s="268"/>
      <c r="K30" s="107"/>
      <c r="L30" s="298"/>
      <c r="M30" s="208"/>
      <c r="N30" s="216"/>
      <c r="O30" s="205"/>
      <c r="Q30" s="19"/>
      <c r="S30"/>
      <c r="T30"/>
      <c r="U30"/>
    </row>
    <row r="31" spans="3:21" ht="15">
      <c r="C31" s="5"/>
      <c r="D31" s="5"/>
      <c r="H31" s="2"/>
      <c r="I31" s="187" t="s">
        <v>191</v>
      </c>
      <c r="J31" s="263">
        <f>+D26</f>
        <v>1885095</v>
      </c>
      <c r="K31" s="72">
        <f>+Rates!F43</f>
        <v>0.012</v>
      </c>
      <c r="L31" s="72">
        <f>+Rates!G43</f>
        <v>0.013</v>
      </c>
      <c r="M31" s="253">
        <f>+K31*J31</f>
        <v>22621.14</v>
      </c>
      <c r="N31" s="259">
        <f>+L31*J31</f>
        <v>24506.235</v>
      </c>
      <c r="O31" s="318">
        <f>+L31/K31-1</f>
        <v>0.08333333333333326</v>
      </c>
      <c r="S31"/>
      <c r="T31"/>
      <c r="U31" s="149"/>
    </row>
    <row r="32" spans="3:21" ht="15">
      <c r="C32" s="5"/>
      <c r="D32" s="5"/>
      <c r="H32" s="2"/>
      <c r="I32" s="187" t="s">
        <v>192</v>
      </c>
      <c r="J32" s="265">
        <f>+D27</f>
        <v>43149</v>
      </c>
      <c r="K32" s="72">
        <f>+Rates!F44</f>
        <v>0.012</v>
      </c>
      <c r="L32" s="72">
        <f>+Rates!G44</f>
        <v>0.013</v>
      </c>
      <c r="M32" s="253">
        <f>+K32*J32</f>
        <v>517.788</v>
      </c>
      <c r="N32" s="259">
        <f>+L32*J32</f>
        <v>560.937</v>
      </c>
      <c r="O32" s="318">
        <f>+L32/K32-1</f>
        <v>0.08333333333333326</v>
      </c>
      <c r="S32"/>
      <c r="T32"/>
      <c r="U32" s="149"/>
    </row>
    <row r="33" spans="2:21" ht="15">
      <c r="B33" s="1" t="s">
        <v>195</v>
      </c>
      <c r="H33" s="2"/>
      <c r="I33" s="187" t="s">
        <v>193</v>
      </c>
      <c r="J33" s="265">
        <f>+J32+J31</f>
        <v>1928244</v>
      </c>
      <c r="K33" s="107"/>
      <c r="L33" s="298"/>
      <c r="M33" s="255">
        <f>+M32+M31</f>
        <v>23138.928</v>
      </c>
      <c r="N33" s="260">
        <f>+N32+N31</f>
        <v>25067.172000000002</v>
      </c>
      <c r="O33" s="205"/>
      <c r="S33"/>
      <c r="T33"/>
      <c r="U33"/>
    </row>
    <row r="34" spans="2:21" ht="15">
      <c r="B34" s="1" t="s">
        <v>196</v>
      </c>
      <c r="C34" s="148">
        <v>19733260.3</v>
      </c>
      <c r="D34" s="39"/>
      <c r="H34" s="2"/>
      <c r="I34" s="187"/>
      <c r="J34" s="267"/>
      <c r="K34" s="107"/>
      <c r="L34" s="298"/>
      <c r="M34" s="209"/>
      <c r="N34" s="217"/>
      <c r="O34" s="205"/>
      <c r="S34"/>
      <c r="T34"/>
      <c r="U34" s="149"/>
    </row>
    <row r="35" spans="2:21" ht="15">
      <c r="B35" s="1" t="s">
        <v>197</v>
      </c>
      <c r="C35" s="97">
        <v>32545613.33</v>
      </c>
      <c r="H35" s="2"/>
      <c r="I35" s="187" t="s">
        <v>249</v>
      </c>
      <c r="J35" s="265">
        <f>+J33+J28+J20</f>
        <v>755885863</v>
      </c>
      <c r="K35" s="107"/>
      <c r="L35" s="298"/>
      <c r="M35" s="252">
        <f>+M33+M28+M20</f>
        <v>80737182.77600001</v>
      </c>
      <c r="N35" s="258">
        <f>+N33+N28+N20</f>
        <v>83505799.28299999</v>
      </c>
      <c r="O35" s="205"/>
      <c r="S35"/>
      <c r="T35"/>
      <c r="U35"/>
    </row>
    <row r="36" spans="2:21" ht="15">
      <c r="B36" s="1" t="s">
        <v>198</v>
      </c>
      <c r="C36" s="99">
        <v>2307140</v>
      </c>
      <c r="D36" s="39"/>
      <c r="H36" s="2"/>
      <c r="I36" s="187"/>
      <c r="J36" s="263"/>
      <c r="K36" s="107"/>
      <c r="L36" s="298"/>
      <c r="M36" s="568"/>
      <c r="N36" s="567"/>
      <c r="O36" s="205"/>
      <c r="S36"/>
      <c r="T36"/>
      <c r="U36" s="149"/>
    </row>
    <row r="37" spans="2:21" ht="15">
      <c r="B37" s="1" t="s">
        <v>199</v>
      </c>
      <c r="C37" s="246">
        <v>26266.26723439667</v>
      </c>
      <c r="H37" s="2"/>
      <c r="I37" s="187" t="s">
        <v>123</v>
      </c>
      <c r="J37" s="263"/>
      <c r="K37" s="107"/>
      <c r="L37" s="298"/>
      <c r="M37" s="568"/>
      <c r="N37" s="567"/>
      <c r="O37" s="205"/>
      <c r="S37"/>
      <c r="T37"/>
      <c r="U37" s="149"/>
    </row>
    <row r="38" spans="3:21" ht="15">
      <c r="C38" s="36"/>
      <c r="H38" s="2"/>
      <c r="I38" s="187" t="s">
        <v>33</v>
      </c>
      <c r="J38" s="237">
        <f>+J35-J39</f>
        <v>752180174</v>
      </c>
      <c r="K38" s="107"/>
      <c r="L38" s="569"/>
      <c r="M38" s="37">
        <f>+M35-M39</f>
        <v>80098743.826</v>
      </c>
      <c r="N38" s="217">
        <f>+N35-N39</f>
        <v>82847774.65499999</v>
      </c>
      <c r="O38" s="205"/>
      <c r="S38"/>
      <c r="T38"/>
      <c r="U38"/>
    </row>
    <row r="39" spans="2:21" ht="15">
      <c r="B39" s="1" t="s">
        <v>239</v>
      </c>
      <c r="C39" s="247">
        <v>54612279.897234395</v>
      </c>
      <c r="H39" s="2"/>
      <c r="I39" s="187" t="s">
        <v>39</v>
      </c>
      <c r="J39" s="432">
        <f>+J25+J17</f>
        <v>3705689</v>
      </c>
      <c r="K39" s="107"/>
      <c r="L39" s="569"/>
      <c r="M39" s="88">
        <f>+M25+M17</f>
        <v>638438.95</v>
      </c>
      <c r="N39" s="218">
        <f>+N25+N17</f>
        <v>658024.628</v>
      </c>
      <c r="O39" s="205"/>
      <c r="S39"/>
      <c r="T39"/>
      <c r="U39" s="149"/>
    </row>
    <row r="40" spans="8:21" ht="15">
      <c r="H40" s="2"/>
      <c r="I40" s="187" t="s">
        <v>105</v>
      </c>
      <c r="J40" s="237">
        <f>SUM(J38:J39)</f>
        <v>755885863</v>
      </c>
      <c r="K40" s="106"/>
      <c r="L40" s="569"/>
      <c r="M40" s="37">
        <f>SUM(M38:M39)</f>
        <v>80737182.77600001</v>
      </c>
      <c r="N40" s="217">
        <f>SUM(N38:N39)</f>
        <v>83505799.28299999</v>
      </c>
      <c r="O40" s="205"/>
      <c r="S40"/>
      <c r="T40"/>
      <c r="U40" s="149"/>
    </row>
    <row r="41" spans="2:21" ht="15">
      <c r="B41" s="1" t="s">
        <v>240</v>
      </c>
      <c r="C41" s="14">
        <v>134675636.89723438</v>
      </c>
      <c r="H41" s="2"/>
      <c r="I41" s="187"/>
      <c r="J41" s="237"/>
      <c r="K41" s="72"/>
      <c r="L41" s="72"/>
      <c r="M41" s="209"/>
      <c r="N41" s="217"/>
      <c r="O41" s="205"/>
      <c r="S41"/>
      <c r="T41"/>
      <c r="U41" s="149"/>
    </row>
    <row r="42" spans="3:21" ht="15">
      <c r="C42" s="14"/>
      <c r="H42" s="2"/>
      <c r="I42" s="187" t="s">
        <v>195</v>
      </c>
      <c r="J42" s="236"/>
      <c r="K42" s="72"/>
      <c r="L42" s="72"/>
      <c r="M42" s="208"/>
      <c r="N42" s="219"/>
      <c r="O42" s="205"/>
      <c r="S42"/>
      <c r="T42"/>
      <c r="U42" s="149"/>
    </row>
    <row r="43" spans="2:15" ht="15">
      <c r="B43" s="34"/>
      <c r="D43" s="32"/>
      <c r="H43" s="2"/>
      <c r="I43" s="187" t="s">
        <v>196</v>
      </c>
      <c r="J43" s="262">
        <f>+C34/'Hardcoded Data'!I6</f>
        <v>119010.37664702946</v>
      </c>
      <c r="K43" s="72">
        <f>+Rates!F47</f>
        <v>180</v>
      </c>
      <c r="L43" s="72">
        <f>+Rates!G47</f>
        <v>185</v>
      </c>
      <c r="M43" s="253">
        <f>+K43*J43</f>
        <v>21421867.796465304</v>
      </c>
      <c r="N43" s="259">
        <f>+L43*J43</f>
        <v>22016919.679700453</v>
      </c>
      <c r="O43" s="318">
        <f>+L43/K43-1</f>
        <v>0.02777777777777768</v>
      </c>
    </row>
    <row r="44" spans="2:15" ht="18">
      <c r="B44" s="248" t="s">
        <v>241</v>
      </c>
      <c r="C44" s="33"/>
      <c r="D44" s="32"/>
      <c r="H44" s="2"/>
      <c r="I44" s="187" t="s">
        <v>197</v>
      </c>
      <c r="J44" s="262">
        <f>+C35/'Hardcoded Data'!I7</f>
        <v>62663.533475677395</v>
      </c>
      <c r="K44" s="72">
        <f>+Rates!F48</f>
        <v>565</v>
      </c>
      <c r="L44" s="72">
        <f>+Rates!G48</f>
        <v>585</v>
      </c>
      <c r="M44" s="253">
        <f>+K44*J44</f>
        <v>35404896.41375773</v>
      </c>
      <c r="N44" s="259">
        <f>+L44*J44</f>
        <v>36658167.08327128</v>
      </c>
      <c r="O44" s="318">
        <f>+L44/K44-1</f>
        <v>0.03539823008849563</v>
      </c>
    </row>
    <row r="45" spans="2:15" ht="18">
      <c r="B45" s="248" t="s">
        <v>242</v>
      </c>
      <c r="D45" s="32"/>
      <c r="H45" s="2"/>
      <c r="I45" s="187" t="s">
        <v>198</v>
      </c>
      <c r="J45" s="262">
        <f>+C36/'Hardcoded Data'!I8</f>
        <v>1239.5592954990216</v>
      </c>
      <c r="K45" s="72">
        <f>+Rates!F49</f>
        <v>1855</v>
      </c>
      <c r="L45" s="72">
        <f>+Rates!G49</f>
        <v>1925</v>
      </c>
      <c r="M45" s="253">
        <f>+K45*J45</f>
        <v>2299382.493150685</v>
      </c>
      <c r="N45" s="259">
        <f>+L45*J45</f>
        <v>2386151.6438356163</v>
      </c>
      <c r="O45" s="318">
        <f>+L45/K45-1</f>
        <v>0.037735849056603765</v>
      </c>
    </row>
    <row r="46" spans="2:15" ht="18">
      <c r="B46" s="248" t="s">
        <v>243</v>
      </c>
      <c r="D46" s="32"/>
      <c r="H46" s="2"/>
      <c r="I46" s="187" t="s">
        <v>199</v>
      </c>
      <c r="J46" s="598">
        <f>+C37/'Hardcoded Data'!I9</f>
        <v>31.546680074717816</v>
      </c>
      <c r="K46" s="72">
        <f>+Rates!F50</f>
        <v>930</v>
      </c>
      <c r="L46" s="72">
        <f>+Rates!G50</f>
        <v>965</v>
      </c>
      <c r="M46" s="253">
        <f>+K46*J46</f>
        <v>29338.412469487568</v>
      </c>
      <c r="N46" s="259">
        <f>+L46*J46</f>
        <v>30442.546272102692</v>
      </c>
      <c r="O46" s="318">
        <f>+L46/K46-1</f>
        <v>0.037634408602150504</v>
      </c>
    </row>
    <row r="47" spans="2:15" ht="18">
      <c r="B47" s="248" t="s">
        <v>246</v>
      </c>
      <c r="D47" s="32"/>
      <c r="H47" s="2"/>
      <c r="I47" s="187"/>
      <c r="J47" s="236"/>
      <c r="K47" s="36"/>
      <c r="L47" s="36"/>
      <c r="M47" s="208"/>
      <c r="N47" s="216"/>
      <c r="O47" s="189"/>
    </row>
    <row r="48" spans="2:15" ht="18">
      <c r="B48" s="248" t="s">
        <v>247</v>
      </c>
      <c r="D48" s="32"/>
      <c r="H48" s="2"/>
      <c r="I48" s="187" t="s">
        <v>248</v>
      </c>
      <c r="J48" s="269">
        <f>SUM(J43:J47)</f>
        <v>182945.01609828058</v>
      </c>
      <c r="K48" s="36"/>
      <c r="L48" s="36"/>
      <c r="M48" s="256">
        <f>SUM(M43:M47)</f>
        <v>59155485.1158432</v>
      </c>
      <c r="N48" s="261">
        <f>SUM(N43:N47)</f>
        <v>61091680.95307945</v>
      </c>
      <c r="O48" s="189"/>
    </row>
    <row r="49" spans="8:15" ht="15">
      <c r="H49" s="2"/>
      <c r="I49" s="187"/>
      <c r="J49" s="236"/>
      <c r="K49" s="36"/>
      <c r="L49" s="36"/>
      <c r="M49" s="208"/>
      <c r="N49" s="216"/>
      <c r="O49" s="189"/>
    </row>
    <row r="50" spans="5:15" ht="15">
      <c r="E50" s="30"/>
      <c r="F50" s="30"/>
      <c r="G50" s="30"/>
      <c r="H50" s="2"/>
      <c r="I50" s="187" t="s">
        <v>240</v>
      </c>
      <c r="J50" s="236"/>
      <c r="K50" s="36"/>
      <c r="L50" s="36"/>
      <c r="M50" s="212">
        <f>+M48+M35</f>
        <v>139892667.8918432</v>
      </c>
      <c r="N50" s="219">
        <f>+N48+N35</f>
        <v>144597480.23607945</v>
      </c>
      <c r="O50" s="318">
        <f>+N50/M50-1</f>
        <v>0.03363158638073682</v>
      </c>
    </row>
    <row r="51" spans="5:15" ht="15.75" thickBot="1">
      <c r="E51" s="5"/>
      <c r="F51" s="5"/>
      <c r="G51" s="5"/>
      <c r="H51" s="2"/>
      <c r="I51" s="227"/>
      <c r="J51" s="270"/>
      <c r="K51" s="197"/>
      <c r="L51" s="197"/>
      <c r="M51" s="223"/>
      <c r="N51" s="220"/>
      <c r="O51" s="198"/>
    </row>
    <row r="52" spans="5:15" ht="15.75" thickTop="1">
      <c r="E52" s="5"/>
      <c r="F52" s="5"/>
      <c r="G52" s="5"/>
      <c r="H52" s="2"/>
      <c r="I52" s="184" t="s">
        <v>691</v>
      </c>
      <c r="J52" s="199"/>
      <c r="K52" s="199"/>
      <c r="L52" s="199"/>
      <c r="M52" s="199"/>
      <c r="N52" s="199"/>
      <c r="O52" s="200"/>
    </row>
    <row r="53" spans="8:15" ht="15.75" thickBot="1">
      <c r="H53" s="2"/>
      <c r="I53" s="227"/>
      <c r="J53" s="197"/>
      <c r="K53" s="197"/>
      <c r="L53" s="197"/>
      <c r="M53" s="197"/>
      <c r="N53" s="197"/>
      <c r="O53" s="198"/>
    </row>
    <row r="54" spans="5:8" ht="15.75" thickTop="1">
      <c r="E54" s="33"/>
      <c r="F54" s="33"/>
      <c r="G54" s="33"/>
      <c r="H54" s="2"/>
    </row>
    <row r="55" spans="5:8" ht="15">
      <c r="E55" s="33"/>
      <c r="F55" s="33"/>
      <c r="G55" s="33"/>
      <c r="H55" s="2"/>
    </row>
    <row r="56" spans="5:8" ht="15">
      <c r="E56" s="33"/>
      <c r="F56" s="33"/>
      <c r="G56" s="33"/>
      <c r="H56" s="2"/>
    </row>
    <row r="57" spans="7:8" ht="15">
      <c r="G57" s="16"/>
      <c r="H57" s="2"/>
    </row>
    <row r="58" spans="5:8" ht="15">
      <c r="E58" s="33"/>
      <c r="F58" s="33"/>
      <c r="G58" s="40"/>
      <c r="H58" s="2"/>
    </row>
    <row r="59" ht="15">
      <c r="H59" s="2"/>
    </row>
    <row r="60" spans="7:8" ht="15">
      <c r="G60" s="28"/>
      <c r="H60" s="2"/>
    </row>
    <row r="61" ht="15">
      <c r="H61" s="2"/>
    </row>
    <row r="62" ht="15">
      <c r="H62" s="2"/>
    </row>
    <row r="63" ht="15">
      <c r="H63" s="2"/>
    </row>
    <row r="64" ht="15">
      <c r="H64" s="2"/>
    </row>
    <row r="65" ht="15">
      <c r="H65" s="2"/>
    </row>
    <row r="66" ht="15">
      <c r="H66" s="2"/>
    </row>
    <row r="67" ht="15">
      <c r="H67" s="2"/>
    </row>
    <row r="68" ht="15">
      <c r="H68" s="2"/>
    </row>
    <row r="69" ht="15">
      <c r="H69" s="2"/>
    </row>
    <row r="70" ht="15">
      <c r="H70" s="2"/>
    </row>
    <row r="292" ht="15">
      <c r="A292" s="85"/>
    </row>
    <row r="293" ht="15">
      <c r="A293" s="85"/>
    </row>
    <row r="294" ht="15">
      <c r="A294" s="85"/>
    </row>
  </sheetData>
  <mergeCells count="8">
    <mergeCell ref="K9:L9"/>
    <mergeCell ref="M9:N9"/>
    <mergeCell ref="O9:O11"/>
    <mergeCell ref="I8:O8"/>
    <mergeCell ref="B4:G4"/>
    <mergeCell ref="B5:G5"/>
    <mergeCell ref="F7:G7"/>
    <mergeCell ref="I7:O7"/>
  </mergeCells>
  <printOptions horizontalCentered="1"/>
  <pageMargins left="0.25" right="0.25" top="0.5" bottom="0.5" header="0.5" footer="0.5"/>
  <pageSetup fitToHeight="1" fitToWidth="1" horizontalDpi="600" verticalDpi="600" orientation="landscape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N123"/>
  <sheetViews>
    <sheetView zoomScale="70" zoomScaleNormal="70" workbookViewId="0" topLeftCell="K1">
      <selection activeCell="L6" sqref="L6"/>
    </sheetView>
  </sheetViews>
  <sheetFormatPr defaultColWidth="16.28125" defaultRowHeight="12.75"/>
  <cols>
    <col min="1" max="1" width="9.8515625" style="1" customWidth="1"/>
    <col min="2" max="2" width="37.28125" style="1" bestFit="1" customWidth="1"/>
    <col min="3" max="4" width="17.28125" style="1" customWidth="1"/>
    <col min="5" max="5" width="10.421875" style="1" customWidth="1"/>
    <col min="6" max="6" width="31.7109375" style="1" customWidth="1"/>
    <col min="7" max="7" width="18.8515625" style="1" customWidth="1"/>
    <col min="8" max="9" width="12.421875" style="1" customWidth="1"/>
    <col min="10" max="11" width="17.57421875" style="1" customWidth="1"/>
    <col min="12" max="12" width="13.140625" style="1" customWidth="1"/>
    <col min="13" max="14" width="4.7109375" style="1" customWidth="1"/>
    <col min="15" max="16384" width="14.7109375" style="1" customWidth="1"/>
  </cols>
  <sheetData>
    <row r="1" spans="5:14" ht="15">
      <c r="E1" s="2"/>
      <c r="N1" s="2" t="s">
        <v>65</v>
      </c>
    </row>
    <row r="2" spans="5:14" ht="15">
      <c r="E2" s="2"/>
      <c r="N2" s="2" t="s">
        <v>65</v>
      </c>
    </row>
    <row r="3" spans="4:14" ht="15">
      <c r="D3" s="1" t="s">
        <v>420</v>
      </c>
      <c r="E3" s="2"/>
      <c r="F3" s="24"/>
      <c r="N3" s="2" t="s">
        <v>65</v>
      </c>
    </row>
    <row r="4" spans="2:14" ht="18">
      <c r="B4" s="771" t="s">
        <v>250</v>
      </c>
      <c r="C4" s="771"/>
      <c r="D4" s="771"/>
      <c r="E4" s="2"/>
      <c r="F4" s="25"/>
      <c r="N4" s="2" t="s">
        <v>65</v>
      </c>
    </row>
    <row r="5" spans="2:14" ht="15.75">
      <c r="B5" s="772" t="s">
        <v>700</v>
      </c>
      <c r="C5" s="772"/>
      <c r="D5" s="772"/>
      <c r="E5" s="2"/>
      <c r="H5" s="795"/>
      <c r="I5" s="795"/>
      <c r="L5" s="1" t="str">
        <f>WN</f>
        <v>February 2009</v>
      </c>
      <c r="N5" s="2" t="s">
        <v>65</v>
      </c>
    </row>
    <row r="6" spans="5:14" ht="15.75" thickBot="1">
      <c r="E6" s="2"/>
      <c r="N6" s="2" t="s">
        <v>65</v>
      </c>
    </row>
    <row r="7" spans="2:14" ht="16.5" thickTop="1">
      <c r="B7" s="42" t="s">
        <v>421</v>
      </c>
      <c r="C7" s="42" t="s">
        <v>252</v>
      </c>
      <c r="D7" s="42" t="s">
        <v>423</v>
      </c>
      <c r="E7" s="2"/>
      <c r="F7" s="780" t="s">
        <v>652</v>
      </c>
      <c r="G7" s="781"/>
      <c r="H7" s="781"/>
      <c r="I7" s="781"/>
      <c r="J7" s="781"/>
      <c r="K7" s="781"/>
      <c r="L7" s="782"/>
      <c r="N7" s="2" t="s">
        <v>65</v>
      </c>
    </row>
    <row r="8" spans="2:14" ht="15.75" thickBot="1">
      <c r="B8" s="41"/>
      <c r="C8" s="4"/>
      <c r="D8" s="4"/>
      <c r="E8" s="2"/>
      <c r="F8" s="783" t="str">
        <f>"Fiscal Year 2008 "</f>
        <v>Fiscal Year 2008 </v>
      </c>
      <c r="G8" s="784"/>
      <c r="H8" s="784"/>
      <c r="I8" s="784"/>
      <c r="J8" s="784"/>
      <c r="K8" s="784"/>
      <c r="L8" s="785"/>
      <c r="N8" s="2" t="s">
        <v>65</v>
      </c>
    </row>
    <row r="9" spans="2:14" ht="15.75" thickTop="1">
      <c r="B9" s="1" t="s">
        <v>98</v>
      </c>
      <c r="E9" s="2"/>
      <c r="F9" s="184"/>
      <c r="G9" s="575" t="s">
        <v>423</v>
      </c>
      <c r="H9" s="786" t="s">
        <v>234</v>
      </c>
      <c r="I9" s="787"/>
      <c r="J9" s="786" t="s">
        <v>528</v>
      </c>
      <c r="K9" s="787"/>
      <c r="L9" s="777" t="s">
        <v>209</v>
      </c>
      <c r="N9" s="2" t="s">
        <v>65</v>
      </c>
    </row>
    <row r="10" spans="2:14" ht="15">
      <c r="B10" s="1" t="s">
        <v>425</v>
      </c>
      <c r="C10" s="14">
        <v>3826034</v>
      </c>
      <c r="D10" s="14">
        <v>3577369</v>
      </c>
      <c r="E10" s="2"/>
      <c r="F10" s="187"/>
      <c r="G10" s="207"/>
      <c r="H10" s="207"/>
      <c r="I10" s="647"/>
      <c r="J10" s="72"/>
      <c r="K10" s="215"/>
      <c r="L10" s="778"/>
      <c r="N10" s="2" t="s">
        <v>65</v>
      </c>
    </row>
    <row r="11" spans="2:14" ht="15.75" thickBot="1">
      <c r="B11" s="1" t="s">
        <v>427</v>
      </c>
      <c r="C11" s="14">
        <v>1499777</v>
      </c>
      <c r="D11" s="14">
        <v>4967005</v>
      </c>
      <c r="E11" s="2"/>
      <c r="F11" s="227"/>
      <c r="G11" s="293" t="str">
        <f>"FY "&amp;FY</f>
        <v>FY </v>
      </c>
      <c r="H11" s="295" t="s">
        <v>206</v>
      </c>
      <c r="I11" s="295" t="s">
        <v>683</v>
      </c>
      <c r="J11" s="296" t="s">
        <v>640</v>
      </c>
      <c r="K11" s="294" t="s">
        <v>683</v>
      </c>
      <c r="L11" s="779"/>
      <c r="N11" s="2" t="s">
        <v>65</v>
      </c>
    </row>
    <row r="12" spans="2:14" ht="15.75" thickTop="1">
      <c r="B12" s="1" t="s">
        <v>428</v>
      </c>
      <c r="C12" s="14">
        <v>61465</v>
      </c>
      <c r="D12" s="14">
        <v>1020688</v>
      </c>
      <c r="E12" s="2"/>
      <c r="F12" s="291"/>
      <c r="G12" s="185"/>
      <c r="H12" s="206"/>
      <c r="I12" s="214"/>
      <c r="J12" s="206"/>
      <c r="K12" s="214"/>
      <c r="L12" s="186"/>
      <c r="N12" s="2" t="s">
        <v>65</v>
      </c>
    </row>
    <row r="13" spans="2:14" ht="15">
      <c r="B13" s="1" t="s">
        <v>429</v>
      </c>
      <c r="C13" s="247">
        <v>0</v>
      </c>
      <c r="D13" s="247">
        <v>0</v>
      </c>
      <c r="E13" s="2"/>
      <c r="F13" s="187"/>
      <c r="G13" s="72" t="s">
        <v>78</v>
      </c>
      <c r="H13" s="207" t="s">
        <v>79</v>
      </c>
      <c r="I13" s="215" t="s">
        <v>80</v>
      </c>
      <c r="J13" s="207" t="s">
        <v>81</v>
      </c>
      <c r="K13" s="215" t="s">
        <v>82</v>
      </c>
      <c r="L13" s="188" t="s">
        <v>83</v>
      </c>
      <c r="N13" s="2" t="s">
        <v>65</v>
      </c>
    </row>
    <row r="14" spans="2:14" ht="15">
      <c r="B14" s="1" t="s">
        <v>432</v>
      </c>
      <c r="C14" s="14">
        <v>5387276</v>
      </c>
      <c r="D14" s="5">
        <v>9565062</v>
      </c>
      <c r="E14" s="2"/>
      <c r="F14" s="187" t="s">
        <v>94</v>
      </c>
      <c r="G14" s="36"/>
      <c r="H14" s="208"/>
      <c r="I14" s="216"/>
      <c r="J14" s="208"/>
      <c r="K14" s="216"/>
      <c r="L14" s="189"/>
      <c r="N14" s="2" t="s">
        <v>65</v>
      </c>
    </row>
    <row r="15" spans="5:14" ht="15">
      <c r="E15" s="2"/>
      <c r="F15" s="187" t="s">
        <v>254</v>
      </c>
      <c r="G15" s="37">
        <f>+D10</f>
        <v>3577369</v>
      </c>
      <c r="H15" s="649">
        <f>+Rates!F62</f>
        <v>1.1</v>
      </c>
      <c r="I15" s="648">
        <f>+Rates!G62</f>
        <v>1.15</v>
      </c>
      <c r="J15" s="253">
        <f>+H15*G15</f>
        <v>3935105.9000000004</v>
      </c>
      <c r="K15" s="259">
        <f>+I15*G15</f>
        <v>4113974.3499999996</v>
      </c>
      <c r="L15" s="204">
        <f>(I15-H15)/H15</f>
        <v>0.04545454545454529</v>
      </c>
      <c r="N15" s="2" t="s">
        <v>65</v>
      </c>
    </row>
    <row r="16" spans="2:14" ht="15">
      <c r="B16" s="1" t="s">
        <v>95</v>
      </c>
      <c r="C16" s="6"/>
      <c r="D16" s="5"/>
      <c r="E16" s="2"/>
      <c r="F16" s="187" t="s">
        <v>654</v>
      </c>
      <c r="G16" s="37">
        <f>+D11</f>
        <v>4967005</v>
      </c>
      <c r="H16" s="649">
        <f>+Rates!F63</f>
        <v>0.4</v>
      </c>
      <c r="I16" s="648">
        <f>+Rates!G63</f>
        <v>0.42</v>
      </c>
      <c r="J16" s="253">
        <f>+H16*G16</f>
        <v>1986802</v>
      </c>
      <c r="K16" s="259">
        <f>+I16*G16</f>
        <v>2086142.0999999999</v>
      </c>
      <c r="L16" s="204">
        <f>(I16-H16)/H16</f>
        <v>0.049999999999999906</v>
      </c>
      <c r="N16" s="2" t="s">
        <v>65</v>
      </c>
    </row>
    <row r="17" spans="2:14" ht="15">
      <c r="B17" s="1" t="s">
        <v>425</v>
      </c>
      <c r="C17" s="14">
        <v>80911</v>
      </c>
      <c r="D17" s="14">
        <v>75816</v>
      </c>
      <c r="E17" s="2"/>
      <c r="F17" s="187" t="s">
        <v>255</v>
      </c>
      <c r="G17" s="37">
        <f>+D12</f>
        <v>1020688</v>
      </c>
      <c r="H17" s="649">
        <f>+Rates!F64</f>
        <v>6</v>
      </c>
      <c r="I17" s="648">
        <f>+Rates!G64</f>
        <v>6.5</v>
      </c>
      <c r="J17" s="253">
        <f>+H17*G17</f>
        <v>6124128</v>
      </c>
      <c r="K17" s="259">
        <f>+I17*G17</f>
        <v>6634472</v>
      </c>
      <c r="L17" s="204">
        <f>(I17-H17)/H17</f>
        <v>0.08333333333333333</v>
      </c>
      <c r="N17" s="2" t="s">
        <v>65</v>
      </c>
    </row>
    <row r="18" spans="2:14" ht="15">
      <c r="B18" s="1" t="s">
        <v>427</v>
      </c>
      <c r="C18" s="14">
        <v>38707</v>
      </c>
      <c r="D18" s="14">
        <v>129026</v>
      </c>
      <c r="E18" s="2"/>
      <c r="F18" s="187" t="s">
        <v>256</v>
      </c>
      <c r="G18" s="88">
        <f>+D13</f>
        <v>0</v>
      </c>
      <c r="H18" s="649">
        <f>+Rates!F65</f>
        <v>0.7</v>
      </c>
      <c r="I18" s="648">
        <f>+Rates!G65</f>
        <v>0.75</v>
      </c>
      <c r="J18" s="699">
        <f>+H18*G18</f>
        <v>0</v>
      </c>
      <c r="K18" s="700">
        <f>+I18*G18</f>
        <v>0</v>
      </c>
      <c r="L18" s="204">
        <f>(I18-H18)/H18</f>
        <v>0.0714285714285715</v>
      </c>
      <c r="M18" s="10"/>
      <c r="N18" s="2" t="s">
        <v>65</v>
      </c>
    </row>
    <row r="19" spans="2:14" ht="15">
      <c r="B19" s="1" t="s">
        <v>428</v>
      </c>
      <c r="C19" s="14">
        <v>1057</v>
      </c>
      <c r="D19" s="14">
        <v>26440</v>
      </c>
      <c r="E19" s="2"/>
      <c r="F19" s="187" t="s">
        <v>105</v>
      </c>
      <c r="G19" s="37">
        <f>SUM(G15:G18)</f>
        <v>9565062</v>
      </c>
      <c r="H19" s="208"/>
      <c r="I19" s="216"/>
      <c r="J19" s="209">
        <f>SUM(J15:J18)</f>
        <v>12046035.9</v>
      </c>
      <c r="K19" s="217">
        <f>SUM(K15:K18)</f>
        <v>12834588.45</v>
      </c>
      <c r="L19" s="205"/>
      <c r="N19" s="2" t="s">
        <v>65</v>
      </c>
    </row>
    <row r="20" spans="2:14" ht="15">
      <c r="B20" s="1" t="s">
        <v>429</v>
      </c>
      <c r="C20" s="247">
        <v>0</v>
      </c>
      <c r="D20" s="247">
        <v>0</v>
      </c>
      <c r="E20" s="2"/>
      <c r="F20" s="187" t="s">
        <v>91</v>
      </c>
      <c r="G20" s="36"/>
      <c r="H20" s="208"/>
      <c r="I20" s="216"/>
      <c r="J20" s="208"/>
      <c r="K20" s="216"/>
      <c r="L20" s="205"/>
      <c r="N20" s="2" t="s">
        <v>65</v>
      </c>
    </row>
    <row r="21" spans="2:14" ht="15">
      <c r="B21" s="1" t="s">
        <v>432</v>
      </c>
      <c r="C21" s="14">
        <v>120675</v>
      </c>
      <c r="D21" s="5">
        <v>231282</v>
      </c>
      <c r="E21" s="2"/>
      <c r="F21" s="187" t="s">
        <v>95</v>
      </c>
      <c r="G21" s="36"/>
      <c r="H21" s="208"/>
      <c r="I21" s="216"/>
      <c r="J21" s="208"/>
      <c r="K21" s="216"/>
      <c r="L21" s="205"/>
      <c r="N21" s="2" t="s">
        <v>65</v>
      </c>
    </row>
    <row r="22" spans="5:14" ht="15">
      <c r="E22" s="2"/>
      <c r="F22" s="187" t="s">
        <v>254</v>
      </c>
      <c r="G22" s="37">
        <f>+D17</f>
        <v>75816</v>
      </c>
      <c r="H22" s="334">
        <f aca="true" t="shared" si="0" ref="H22:I25">H15</f>
        <v>1.1</v>
      </c>
      <c r="I22" s="341">
        <f t="shared" si="0"/>
        <v>1.15</v>
      </c>
      <c r="J22" s="253">
        <f>+H22*G22</f>
        <v>83397.6</v>
      </c>
      <c r="K22" s="259">
        <f>+I22*G22</f>
        <v>87188.4</v>
      </c>
      <c r="L22" s="204">
        <f>(I22-H22)/H22</f>
        <v>0.04545454545454529</v>
      </c>
      <c r="N22" s="2" t="s">
        <v>65</v>
      </c>
    </row>
    <row r="23" spans="2:14" ht="15">
      <c r="B23" s="1" t="s">
        <v>104</v>
      </c>
      <c r="C23" s="33"/>
      <c r="D23" s="5" t="s">
        <v>138</v>
      </c>
      <c r="E23" s="2"/>
      <c r="F23" s="187" t="s">
        <v>654</v>
      </c>
      <c r="G23" s="37">
        <f>+D18</f>
        <v>129026</v>
      </c>
      <c r="H23" s="334">
        <f t="shared" si="0"/>
        <v>0.4</v>
      </c>
      <c r="I23" s="341">
        <f t="shared" si="0"/>
        <v>0.42</v>
      </c>
      <c r="J23" s="253">
        <f>+H23*G23</f>
        <v>51610.4</v>
      </c>
      <c r="K23" s="259">
        <f>+I23*G23</f>
        <v>54190.92</v>
      </c>
      <c r="L23" s="204">
        <f>(I23-H23)/H23</f>
        <v>0.049999999999999906</v>
      </c>
      <c r="N23" s="2" t="s">
        <v>65</v>
      </c>
    </row>
    <row r="24" spans="2:14" ht="15">
      <c r="B24" s="1" t="s">
        <v>425</v>
      </c>
      <c r="C24" s="14">
        <v>0</v>
      </c>
      <c r="D24" s="14">
        <v>0</v>
      </c>
      <c r="E24" s="2"/>
      <c r="F24" s="187" t="s">
        <v>255</v>
      </c>
      <c r="G24" s="37">
        <f>+D19</f>
        <v>26440</v>
      </c>
      <c r="H24" s="334">
        <f t="shared" si="0"/>
        <v>6</v>
      </c>
      <c r="I24" s="341">
        <f t="shared" si="0"/>
        <v>6.5</v>
      </c>
      <c r="J24" s="253">
        <f>+H24*G24</f>
        <v>158640</v>
      </c>
      <c r="K24" s="259">
        <f>+I24*G24</f>
        <v>171860</v>
      </c>
      <c r="L24" s="204">
        <f>(I24-H24)/H24</f>
        <v>0.08333333333333333</v>
      </c>
      <c r="N24" s="2" t="s">
        <v>65</v>
      </c>
    </row>
    <row r="25" spans="2:14" ht="15">
      <c r="B25" s="1" t="s">
        <v>427</v>
      </c>
      <c r="C25" s="14">
        <v>0</v>
      </c>
      <c r="D25" s="14">
        <v>0</v>
      </c>
      <c r="E25" s="2"/>
      <c r="F25" s="187" t="s">
        <v>256</v>
      </c>
      <c r="G25" s="88">
        <f>+D20</f>
        <v>0</v>
      </c>
      <c r="H25" s="334">
        <f t="shared" si="0"/>
        <v>0.7</v>
      </c>
      <c r="I25" s="341">
        <f t="shared" si="0"/>
        <v>0.75</v>
      </c>
      <c r="J25" s="699">
        <f>+H25*G25</f>
        <v>0</v>
      </c>
      <c r="K25" s="700">
        <f>+I25*G25</f>
        <v>0</v>
      </c>
      <c r="L25" s="204">
        <f>(I25-H25)/H25</f>
        <v>0.0714285714285715</v>
      </c>
      <c r="N25" s="2" t="s">
        <v>65</v>
      </c>
    </row>
    <row r="26" spans="2:14" ht="15">
      <c r="B26" s="1" t="s">
        <v>428</v>
      </c>
      <c r="C26" s="14">
        <v>0</v>
      </c>
      <c r="D26" s="14">
        <v>0</v>
      </c>
      <c r="E26" s="2"/>
      <c r="F26" s="187" t="s">
        <v>105</v>
      </c>
      <c r="G26" s="37">
        <f>SUM(G22:G25)</f>
        <v>231282</v>
      </c>
      <c r="H26" s="208"/>
      <c r="I26" s="216"/>
      <c r="J26" s="209">
        <f>SUM(J22:J25)</f>
        <v>293648</v>
      </c>
      <c r="K26" s="217">
        <f>SUM(K22:K25)</f>
        <v>313239.32</v>
      </c>
      <c r="L26" s="205"/>
      <c r="N26" s="2" t="s">
        <v>65</v>
      </c>
    </row>
    <row r="27" spans="2:14" ht="15">
      <c r="B27" s="1" t="s">
        <v>429</v>
      </c>
      <c r="C27" s="247">
        <v>0</v>
      </c>
      <c r="D27" s="247">
        <v>0</v>
      </c>
      <c r="E27" s="2"/>
      <c r="F27" s="187" t="s">
        <v>91</v>
      </c>
      <c r="G27" s="36"/>
      <c r="H27" s="208"/>
      <c r="I27" s="216"/>
      <c r="J27" s="208"/>
      <c r="K27" s="216"/>
      <c r="L27" s="205"/>
      <c r="N27" s="2" t="s">
        <v>65</v>
      </c>
    </row>
    <row r="28" spans="2:14" ht="15">
      <c r="B28" s="1" t="s">
        <v>432</v>
      </c>
      <c r="C28" s="711">
        <v>0</v>
      </c>
      <c r="D28" s="712">
        <v>0</v>
      </c>
      <c r="E28" s="2"/>
      <c r="F28" s="187" t="s">
        <v>104</v>
      </c>
      <c r="G28" s="36"/>
      <c r="H28" s="208"/>
      <c r="I28" s="216"/>
      <c r="J28" s="208"/>
      <c r="K28" s="216"/>
      <c r="L28" s="205"/>
      <c r="N28" s="2" t="s">
        <v>65</v>
      </c>
    </row>
    <row r="29" spans="5:14" ht="15">
      <c r="E29" s="2"/>
      <c r="F29" s="187" t="s">
        <v>254</v>
      </c>
      <c r="G29" s="37">
        <f>+D24</f>
        <v>0</v>
      </c>
      <c r="H29" s="334">
        <f>H15</f>
        <v>1.1</v>
      </c>
      <c r="I29" s="341">
        <f>I22</f>
        <v>1.15</v>
      </c>
      <c r="J29" s="253">
        <f>+H29*G29</f>
        <v>0</v>
      </c>
      <c r="K29" s="259">
        <f>+I29*G29</f>
        <v>0</v>
      </c>
      <c r="L29" s="204">
        <f>(I29-H29)/H29</f>
        <v>0.04545454545454529</v>
      </c>
      <c r="N29" s="2" t="s">
        <v>65</v>
      </c>
    </row>
    <row r="30" spans="2:14" ht="15">
      <c r="B30" s="1" t="s">
        <v>109</v>
      </c>
      <c r="C30" s="33"/>
      <c r="D30" s="5"/>
      <c r="E30" s="2"/>
      <c r="F30" s="187" t="s">
        <v>654</v>
      </c>
      <c r="G30" s="37">
        <f>+D25</f>
        <v>0</v>
      </c>
      <c r="H30" s="334">
        <f>H16</f>
        <v>0.4</v>
      </c>
      <c r="I30" s="341">
        <f>I23</f>
        <v>0.42</v>
      </c>
      <c r="J30" s="253">
        <f>+H30*G30</f>
        <v>0</v>
      </c>
      <c r="K30" s="259">
        <f>+I30*G30</f>
        <v>0</v>
      </c>
      <c r="L30" s="204">
        <f>(I30-H30)/H30</f>
        <v>0.049999999999999906</v>
      </c>
      <c r="N30" s="2" t="s">
        <v>65</v>
      </c>
    </row>
    <row r="31" spans="2:14" ht="15">
      <c r="B31" s="1" t="s">
        <v>425</v>
      </c>
      <c r="C31" s="14">
        <v>72963</v>
      </c>
      <c r="D31" s="14">
        <v>68296</v>
      </c>
      <c r="E31" s="2"/>
      <c r="F31" s="187" t="s">
        <v>255</v>
      </c>
      <c r="G31" s="37">
        <f>+D26</f>
        <v>0</v>
      </c>
      <c r="H31" s="334">
        <f>H17</f>
        <v>6</v>
      </c>
      <c r="I31" s="341">
        <f>I24</f>
        <v>6.5</v>
      </c>
      <c r="J31" s="253">
        <f>+H31*G31</f>
        <v>0</v>
      </c>
      <c r="K31" s="259">
        <f>+I31*G31</f>
        <v>0</v>
      </c>
      <c r="L31" s="204">
        <f>(I31-H31)/H31</f>
        <v>0.08333333333333333</v>
      </c>
      <c r="N31" s="2" t="s">
        <v>65</v>
      </c>
    </row>
    <row r="32" spans="2:14" ht="15">
      <c r="B32" s="1" t="s">
        <v>427</v>
      </c>
      <c r="C32" s="14">
        <v>35633</v>
      </c>
      <c r="D32" s="14">
        <v>118777</v>
      </c>
      <c r="E32" s="2"/>
      <c r="F32" s="187" t="s">
        <v>256</v>
      </c>
      <c r="G32" s="88">
        <f>+D27</f>
        <v>0</v>
      </c>
      <c r="H32" s="334">
        <f>H18</f>
        <v>0.7</v>
      </c>
      <c r="I32" s="341">
        <f>I25</f>
        <v>0.75</v>
      </c>
      <c r="J32" s="699">
        <f>+H32*G32</f>
        <v>0</v>
      </c>
      <c r="K32" s="700">
        <f>+I32*G32</f>
        <v>0</v>
      </c>
      <c r="L32" s="204">
        <f>(I32-H32)/H32</f>
        <v>0.0714285714285715</v>
      </c>
      <c r="N32" s="2" t="s">
        <v>65</v>
      </c>
    </row>
    <row r="33" spans="2:14" ht="15">
      <c r="B33" s="1" t="s">
        <v>428</v>
      </c>
      <c r="C33" s="14">
        <v>970</v>
      </c>
      <c r="D33" s="14">
        <v>24258</v>
      </c>
      <c r="E33" s="2"/>
      <c r="F33" s="187" t="s">
        <v>105</v>
      </c>
      <c r="G33" s="37">
        <f>SUM(G29:G32)</f>
        <v>0</v>
      </c>
      <c r="H33" s="208"/>
      <c r="I33" s="216"/>
      <c r="J33" s="209">
        <f>SUM(J29:J32)</f>
        <v>0</v>
      </c>
      <c r="K33" s="217">
        <f>SUM(K29:K32)</f>
        <v>0</v>
      </c>
      <c r="L33" s="205"/>
      <c r="N33" s="2" t="s">
        <v>65</v>
      </c>
    </row>
    <row r="34" spans="2:14" ht="15">
      <c r="B34" s="1" t="s">
        <v>429</v>
      </c>
      <c r="C34" s="247">
        <v>0</v>
      </c>
      <c r="D34" s="247">
        <v>0</v>
      </c>
      <c r="E34" s="2"/>
      <c r="F34" s="187" t="s">
        <v>91</v>
      </c>
      <c r="G34" s="36"/>
      <c r="H34" s="208"/>
      <c r="I34" s="216"/>
      <c r="J34" s="208"/>
      <c r="K34" s="216"/>
      <c r="L34" s="205"/>
      <c r="N34" s="2" t="s">
        <v>65</v>
      </c>
    </row>
    <row r="35" spans="2:14" ht="15">
      <c r="B35" s="1" t="s">
        <v>432</v>
      </c>
      <c r="C35" s="14">
        <v>109566</v>
      </c>
      <c r="D35" s="5">
        <v>211331</v>
      </c>
      <c r="E35" s="2"/>
      <c r="F35" s="187" t="s">
        <v>109</v>
      </c>
      <c r="G35" s="36"/>
      <c r="H35" s="208"/>
      <c r="I35" s="216"/>
      <c r="J35" s="208"/>
      <c r="K35" s="216"/>
      <c r="L35" s="205"/>
      <c r="N35" s="2" t="s">
        <v>65</v>
      </c>
    </row>
    <row r="36" spans="3:14" ht="15">
      <c r="C36" s="33"/>
      <c r="D36" s="5"/>
      <c r="E36" s="2"/>
      <c r="F36" s="187" t="s">
        <v>254</v>
      </c>
      <c r="G36" s="37">
        <f>+D31</f>
        <v>68296</v>
      </c>
      <c r="H36" s="334">
        <f>H15</f>
        <v>1.1</v>
      </c>
      <c r="I36" s="341">
        <f>I15</f>
        <v>1.15</v>
      </c>
      <c r="J36" s="253">
        <f>+H36*G36</f>
        <v>75125.6</v>
      </c>
      <c r="K36" s="259">
        <f>+I36*G36</f>
        <v>78540.4</v>
      </c>
      <c r="L36" s="204">
        <f>(I36-H36)/H36</f>
        <v>0.04545454545454529</v>
      </c>
      <c r="N36" s="2" t="s">
        <v>65</v>
      </c>
    </row>
    <row r="37" spans="2:14" ht="15">
      <c r="B37" s="1" t="s">
        <v>251</v>
      </c>
      <c r="C37" s="14">
        <v>69839</v>
      </c>
      <c r="D37" s="14">
        <v>186879</v>
      </c>
      <c r="E37" s="2"/>
      <c r="F37" s="187" t="s">
        <v>654</v>
      </c>
      <c r="G37" s="37">
        <f>+D32</f>
        <v>118777</v>
      </c>
      <c r="H37" s="334">
        <f>H16</f>
        <v>0.4</v>
      </c>
      <c r="I37" s="341">
        <f>I16</f>
        <v>0.42</v>
      </c>
      <c r="J37" s="253">
        <f>+H37*G37</f>
        <v>47510.8</v>
      </c>
      <c r="K37" s="259">
        <f>+I37*G37</f>
        <v>49886.34</v>
      </c>
      <c r="L37" s="204">
        <f>(I37-H37)/H37</f>
        <v>0.049999999999999906</v>
      </c>
      <c r="N37" s="2" t="s">
        <v>65</v>
      </c>
    </row>
    <row r="38" spans="3:14" ht="15">
      <c r="C38" s="33"/>
      <c r="D38" s="5"/>
      <c r="E38" s="2"/>
      <c r="F38" s="187" t="s">
        <v>255</v>
      </c>
      <c r="G38" s="37">
        <f>+D33</f>
        <v>24258</v>
      </c>
      <c r="H38" s="334">
        <f>H24</f>
        <v>6</v>
      </c>
      <c r="I38" s="341">
        <f>I31</f>
        <v>6.5</v>
      </c>
      <c r="J38" s="253">
        <f>+H38*G38</f>
        <v>145548</v>
      </c>
      <c r="K38" s="259">
        <f>+I38*G38</f>
        <v>157677</v>
      </c>
      <c r="L38" s="204">
        <f>(I38-H38)/H38</f>
        <v>0.08333333333333333</v>
      </c>
      <c r="N38" s="2" t="s">
        <v>65</v>
      </c>
    </row>
    <row r="39" spans="2:14" ht="15">
      <c r="B39" s="1" t="s">
        <v>123</v>
      </c>
      <c r="C39" s="33"/>
      <c r="D39" s="5"/>
      <c r="E39" s="2"/>
      <c r="F39" s="187" t="s">
        <v>256</v>
      </c>
      <c r="G39" s="88">
        <f>+D34</f>
        <v>0</v>
      </c>
      <c r="H39" s="334">
        <f>H25</f>
        <v>0.7</v>
      </c>
      <c r="I39" s="341">
        <f>I32</f>
        <v>0.75</v>
      </c>
      <c r="J39" s="699">
        <f>+H39*G39</f>
        <v>0</v>
      </c>
      <c r="K39" s="700">
        <f>+I39*G39</f>
        <v>0</v>
      </c>
      <c r="L39" s="204">
        <f>(I39-H39)/H39</f>
        <v>0.0714285714285715</v>
      </c>
      <c r="N39" s="2" t="s">
        <v>65</v>
      </c>
    </row>
    <row r="40" spans="2:14" ht="15">
      <c r="B40" s="1" t="s">
        <v>425</v>
      </c>
      <c r="C40" s="14">
        <v>3979908</v>
      </c>
      <c r="D40" s="14">
        <v>3721481</v>
      </c>
      <c r="E40" s="2"/>
      <c r="F40" s="187" t="s">
        <v>105</v>
      </c>
      <c r="G40" s="37">
        <f>SUM(G36:G39)</f>
        <v>211331</v>
      </c>
      <c r="H40" s="208"/>
      <c r="I40" s="216"/>
      <c r="J40" s="209">
        <f>SUM(J36:J39)</f>
        <v>268184.4</v>
      </c>
      <c r="K40" s="217">
        <f>SUM(K36:K39)</f>
        <v>286103.74</v>
      </c>
      <c r="L40" s="205"/>
      <c r="N40" s="2" t="s">
        <v>65</v>
      </c>
    </row>
    <row r="41" spans="2:14" ht="15">
      <c r="B41" s="1" t="s">
        <v>427</v>
      </c>
      <c r="C41" s="14">
        <v>1643956</v>
      </c>
      <c r="D41" s="14">
        <v>5401687</v>
      </c>
      <c r="E41" s="2"/>
      <c r="F41" s="187" t="s">
        <v>91</v>
      </c>
      <c r="G41" s="36"/>
      <c r="H41" s="208"/>
      <c r="I41" s="216"/>
      <c r="J41" s="208"/>
      <c r="K41" s="216"/>
      <c r="L41" s="205"/>
      <c r="N41" s="2" t="s">
        <v>65</v>
      </c>
    </row>
    <row r="42" spans="2:14" ht="15">
      <c r="B42" s="1" t="s">
        <v>428</v>
      </c>
      <c r="C42" s="14">
        <v>63492</v>
      </c>
      <c r="D42" s="14">
        <v>1071386</v>
      </c>
      <c r="E42" s="2"/>
      <c r="F42" s="187" t="s">
        <v>251</v>
      </c>
      <c r="G42" s="696">
        <f>+D37</f>
        <v>186879</v>
      </c>
      <c r="H42" s="697">
        <f>+H37</f>
        <v>0.4</v>
      </c>
      <c r="I42" s="698">
        <f>+I37</f>
        <v>0.42</v>
      </c>
      <c r="J42" s="253">
        <f>+H42*G42</f>
        <v>74751.6</v>
      </c>
      <c r="K42" s="259">
        <f>+I42*G42</f>
        <v>78489.18</v>
      </c>
      <c r="L42" s="204">
        <f>(I42-H42)/H42</f>
        <v>0.049999999999999906</v>
      </c>
      <c r="N42" s="2" t="s">
        <v>65</v>
      </c>
    </row>
    <row r="43" spans="2:14" ht="15">
      <c r="B43" s="1" t="s">
        <v>429</v>
      </c>
      <c r="C43" s="247">
        <v>0</v>
      </c>
      <c r="D43" s="247">
        <v>0</v>
      </c>
      <c r="E43" s="2"/>
      <c r="F43" s="187" t="s">
        <v>91</v>
      </c>
      <c r="G43" s="36"/>
      <c r="H43" s="208"/>
      <c r="I43" s="216"/>
      <c r="J43" s="208"/>
      <c r="K43" s="216"/>
      <c r="L43" s="205"/>
      <c r="N43" s="2" t="s">
        <v>65</v>
      </c>
    </row>
    <row r="44" spans="2:14" ht="15">
      <c r="B44" s="1" t="s">
        <v>432</v>
      </c>
      <c r="C44" s="14">
        <v>5687356</v>
      </c>
      <c r="D44" s="5">
        <v>10194554</v>
      </c>
      <c r="E44" s="2"/>
      <c r="F44" s="187" t="s">
        <v>253</v>
      </c>
      <c r="G44" s="36"/>
      <c r="H44" s="208"/>
      <c r="I44" s="216"/>
      <c r="J44" s="208"/>
      <c r="K44" s="216"/>
      <c r="L44" s="205"/>
      <c r="N44" s="2" t="s">
        <v>65</v>
      </c>
    </row>
    <row r="45" spans="2:14" ht="14.25" customHeight="1">
      <c r="B45" s="10"/>
      <c r="D45" s="20"/>
      <c r="E45" s="2"/>
      <c r="F45" s="187" t="s">
        <v>254</v>
      </c>
      <c r="G45" s="37">
        <f>G36+G29+G22+G15</f>
        <v>3721481</v>
      </c>
      <c r="H45" s="334">
        <f aca="true" t="shared" si="1" ref="H45:I48">H15</f>
        <v>1.1</v>
      </c>
      <c r="I45" s="341">
        <f t="shared" si="1"/>
        <v>1.15</v>
      </c>
      <c r="J45" s="209">
        <f>J36+J29+J22+J15</f>
        <v>4093629.1000000006</v>
      </c>
      <c r="K45" s="217">
        <f>K36+K29+K22+K15</f>
        <v>4279703.149999999</v>
      </c>
      <c r="L45" s="204">
        <f>(I45-H45)/H45</f>
        <v>0.04545454545454529</v>
      </c>
      <c r="N45" s="2" t="s">
        <v>65</v>
      </c>
    </row>
    <row r="46" spans="4:14" ht="15">
      <c r="D46" s="124"/>
      <c r="E46" s="2"/>
      <c r="F46" s="187" t="s">
        <v>654</v>
      </c>
      <c r="G46" s="37">
        <f>G37+G30+G23+G16+G42</f>
        <v>5401687</v>
      </c>
      <c r="H46" s="334">
        <f t="shared" si="1"/>
        <v>0.4</v>
      </c>
      <c r="I46" s="341">
        <f t="shared" si="1"/>
        <v>0.42</v>
      </c>
      <c r="J46" s="209">
        <f>J37+J30+J23+J16+J42</f>
        <v>2160674.8</v>
      </c>
      <c r="K46" s="217">
        <f>K37+K30+K23+K16+K42</f>
        <v>2268708.54</v>
      </c>
      <c r="L46" s="204">
        <f>(I46-H46)/H46</f>
        <v>0.049999999999999906</v>
      </c>
      <c r="N46" s="2" t="s">
        <v>65</v>
      </c>
    </row>
    <row r="47" spans="4:14" ht="15">
      <c r="D47" s="124"/>
      <c r="E47" s="2"/>
      <c r="F47" s="187" t="s">
        <v>255</v>
      </c>
      <c r="G47" s="37">
        <f>G31+G24+G17+G38</f>
        <v>1071386</v>
      </c>
      <c r="H47" s="334">
        <f t="shared" si="1"/>
        <v>6</v>
      </c>
      <c r="I47" s="341">
        <f t="shared" si="1"/>
        <v>6.5</v>
      </c>
      <c r="J47" s="209">
        <f>J31+J24+J17+J38</f>
        <v>6428316</v>
      </c>
      <c r="K47" s="217">
        <f>K31+K24+K17+K38</f>
        <v>6964009</v>
      </c>
      <c r="L47" s="204">
        <f>(I47-H47)/H47</f>
        <v>0.08333333333333333</v>
      </c>
      <c r="N47" s="2" t="s">
        <v>65</v>
      </c>
    </row>
    <row r="48" spans="4:12" ht="15">
      <c r="D48" s="124"/>
      <c r="E48" s="2"/>
      <c r="F48" s="187" t="s">
        <v>256</v>
      </c>
      <c r="G48" s="88">
        <f>G32+G25+G18+G39</f>
        <v>0</v>
      </c>
      <c r="H48" s="334">
        <f t="shared" si="1"/>
        <v>0.7</v>
      </c>
      <c r="I48" s="341">
        <f t="shared" si="1"/>
        <v>0.75</v>
      </c>
      <c r="J48" s="211">
        <f>J32+J25+J18+J39</f>
        <v>0</v>
      </c>
      <c r="K48" s="218">
        <f>K32+K25+K18+K39</f>
        <v>0</v>
      </c>
      <c r="L48" s="204">
        <f>(I48-H48)/H48</f>
        <v>0.0714285714285715</v>
      </c>
    </row>
    <row r="49" spans="4:12" ht="15">
      <c r="D49" s="124"/>
      <c r="E49" s="2"/>
      <c r="F49" s="187" t="s">
        <v>118</v>
      </c>
      <c r="G49" s="37">
        <f>SUM(G45:G48)</f>
        <v>10194554</v>
      </c>
      <c r="H49" s="208"/>
      <c r="I49" s="216"/>
      <c r="J49" s="209">
        <f>SUM(J45:J48)</f>
        <v>12682619.9</v>
      </c>
      <c r="K49" s="217">
        <f>SUM(K45:K48)</f>
        <v>13512420.69</v>
      </c>
      <c r="L49" s="189"/>
    </row>
    <row r="50" spans="4:14" ht="15.75" thickBot="1">
      <c r="D50" s="20"/>
      <c r="E50" s="2"/>
      <c r="F50" s="227"/>
      <c r="G50" s="197"/>
      <c r="H50" s="223"/>
      <c r="I50" s="220"/>
      <c r="J50" s="223"/>
      <c r="K50" s="220"/>
      <c r="L50" s="198"/>
      <c r="N50" s="2" t="s">
        <v>65</v>
      </c>
    </row>
    <row r="51" spans="4:14" ht="15.75" thickTop="1">
      <c r="D51" s="125"/>
      <c r="E51" s="2"/>
      <c r="F51" s="230" t="s">
        <v>691</v>
      </c>
      <c r="G51" s="199"/>
      <c r="H51" s="199"/>
      <c r="I51" s="199"/>
      <c r="J51" s="199"/>
      <c r="K51" s="199"/>
      <c r="L51" s="200"/>
      <c r="N51" s="2" t="s">
        <v>65</v>
      </c>
    </row>
    <row r="52" spans="4:14" ht="15.75" thickBot="1">
      <c r="D52" s="20"/>
      <c r="E52" s="2"/>
      <c r="F52" s="227"/>
      <c r="G52" s="197"/>
      <c r="H52" s="197"/>
      <c r="I52" s="197"/>
      <c r="J52" s="197"/>
      <c r="K52" s="197"/>
      <c r="L52" s="198"/>
      <c r="N52" s="2" t="s">
        <v>65</v>
      </c>
    </row>
    <row r="53" spans="4:14" ht="15.75" thickTop="1">
      <c r="D53" s="20"/>
      <c r="E53" s="2"/>
      <c r="N53" s="2" t="s">
        <v>65</v>
      </c>
    </row>
    <row r="54" spans="2:14" ht="15">
      <c r="B54" s="10"/>
      <c r="D54" s="20"/>
      <c r="E54" s="2"/>
      <c r="N54" s="2" t="s">
        <v>65</v>
      </c>
    </row>
    <row r="55" spans="4:14" ht="15">
      <c r="D55" s="124"/>
      <c r="E55" s="2"/>
      <c r="F55" s="24"/>
      <c r="N55" s="2" t="s">
        <v>65</v>
      </c>
    </row>
    <row r="56" spans="4:14" ht="15">
      <c r="D56" s="124"/>
      <c r="E56" s="2"/>
      <c r="F56" s="25"/>
      <c r="N56" s="2" t="s">
        <v>65</v>
      </c>
    </row>
    <row r="57" spans="4:14" ht="15">
      <c r="D57" s="124"/>
      <c r="E57" s="2"/>
      <c r="N57" s="2" t="s">
        <v>65</v>
      </c>
    </row>
    <row r="58" spans="4:14" ht="15">
      <c r="D58" s="124"/>
      <c r="E58" s="2"/>
      <c r="N58" s="2" t="s">
        <v>65</v>
      </c>
    </row>
    <row r="59" spans="4:14" ht="15">
      <c r="D59" s="20"/>
      <c r="E59" s="2"/>
      <c r="N59" s="2" t="s">
        <v>65</v>
      </c>
    </row>
    <row r="60" spans="4:14" ht="15">
      <c r="D60" s="11"/>
      <c r="E60" s="2"/>
      <c r="G60" s="4"/>
      <c r="J60" s="4"/>
      <c r="K60" s="4"/>
      <c r="N60" s="2" t="s">
        <v>65</v>
      </c>
    </row>
    <row r="61" spans="5:14" ht="15">
      <c r="E61" s="2"/>
      <c r="J61" s="2"/>
      <c r="K61" s="2"/>
      <c r="N61" s="2" t="s">
        <v>65</v>
      </c>
    </row>
    <row r="62" spans="5:14" ht="15">
      <c r="E62" s="2"/>
      <c r="H62" s="4"/>
      <c r="I62" s="4"/>
      <c r="J62" s="2"/>
      <c r="K62" s="2"/>
      <c r="L62" s="2"/>
      <c r="N62" s="2" t="s">
        <v>65</v>
      </c>
    </row>
    <row r="63" spans="5:14" ht="15">
      <c r="E63" s="2"/>
      <c r="G63" s="2"/>
      <c r="H63" s="2"/>
      <c r="I63" s="2"/>
      <c r="J63" s="2"/>
      <c r="K63" s="2"/>
      <c r="L63" s="2"/>
      <c r="N63" s="2" t="s">
        <v>65</v>
      </c>
    </row>
    <row r="64" spans="5:14" ht="15">
      <c r="E64" s="2"/>
      <c r="F64" s="4"/>
      <c r="G64" s="4"/>
      <c r="H64" s="4"/>
      <c r="I64" s="4"/>
      <c r="J64" s="4"/>
      <c r="K64" s="4"/>
      <c r="L64" s="4"/>
      <c r="N64" s="2" t="s">
        <v>65</v>
      </c>
    </row>
    <row r="65" spans="5:14" ht="15">
      <c r="E65" s="2"/>
      <c r="G65" s="2"/>
      <c r="H65" s="2"/>
      <c r="I65" s="2"/>
      <c r="J65" s="2"/>
      <c r="K65" s="2"/>
      <c r="L65" s="2"/>
      <c r="N65" s="2"/>
    </row>
    <row r="66" spans="5:14" ht="15">
      <c r="E66" s="2"/>
      <c r="N66" s="2"/>
    </row>
    <row r="67" spans="5:14" ht="15">
      <c r="E67" s="2"/>
      <c r="F67" s="4"/>
      <c r="N67" s="2"/>
    </row>
    <row r="68" spans="5:14" ht="15">
      <c r="E68" s="2"/>
      <c r="N68" s="2"/>
    </row>
    <row r="69" spans="5:14" ht="15">
      <c r="E69" s="2"/>
      <c r="N69" s="2"/>
    </row>
    <row r="70" spans="5:14" ht="15">
      <c r="E70" s="2"/>
      <c r="N70" s="2"/>
    </row>
    <row r="71" spans="5:14" ht="15">
      <c r="E71" s="2"/>
      <c r="N71" s="2"/>
    </row>
    <row r="72" spans="5:14" ht="15">
      <c r="E72" s="2"/>
      <c r="N72" s="2"/>
    </row>
    <row r="73" spans="5:14" ht="15">
      <c r="E73" s="2"/>
      <c r="N73" s="2"/>
    </row>
    <row r="74" spans="5:14" ht="15">
      <c r="E74" s="2"/>
      <c r="F74" s="4"/>
      <c r="G74" s="4"/>
      <c r="N74" s="2"/>
    </row>
    <row r="75" spans="5:14" ht="15">
      <c r="E75" s="2"/>
      <c r="N75" s="2"/>
    </row>
    <row r="76" spans="5:14" ht="15">
      <c r="E76" s="2"/>
      <c r="N76" s="2"/>
    </row>
    <row r="77" spans="5:14" ht="15">
      <c r="E77" s="2"/>
      <c r="N77" s="2"/>
    </row>
    <row r="78" spans="5:14" ht="15">
      <c r="E78" s="2"/>
      <c r="N78" s="2"/>
    </row>
    <row r="79" spans="5:14" ht="15">
      <c r="E79" s="2"/>
      <c r="N79" s="2"/>
    </row>
    <row r="80" spans="5:14" ht="15">
      <c r="E80" s="2"/>
      <c r="N80" s="2"/>
    </row>
    <row r="81" spans="5:14" ht="15">
      <c r="E81" s="2"/>
      <c r="N81" s="2"/>
    </row>
    <row r="82" spans="5:14" ht="15">
      <c r="E82" s="2"/>
      <c r="N82" s="2"/>
    </row>
    <row r="83" spans="5:14" ht="15">
      <c r="E83" s="2"/>
      <c r="N83" s="2"/>
    </row>
    <row r="84" spans="5:14" ht="15">
      <c r="E84" s="2"/>
      <c r="N84" s="2"/>
    </row>
    <row r="85" spans="5:14" ht="15">
      <c r="E85" s="2"/>
      <c r="N85" s="2" t="s">
        <v>65</v>
      </c>
    </row>
    <row r="86" ht="15">
      <c r="E86" s="2"/>
    </row>
    <row r="87" ht="15">
      <c r="E87" s="2"/>
    </row>
    <row r="88" ht="15">
      <c r="E88" s="2"/>
    </row>
    <row r="89" ht="15">
      <c r="E89" s="2"/>
    </row>
    <row r="90" ht="15">
      <c r="E90" s="2"/>
    </row>
    <row r="91" ht="15">
      <c r="E91" s="2"/>
    </row>
    <row r="92" ht="15">
      <c r="E92" s="2"/>
    </row>
    <row r="93" ht="15">
      <c r="E93" s="2"/>
    </row>
    <row r="94" ht="15">
      <c r="E94" s="2"/>
    </row>
    <row r="95" ht="15">
      <c r="E95" s="2"/>
    </row>
    <row r="96" ht="15">
      <c r="E96" s="2"/>
    </row>
    <row r="97" ht="15">
      <c r="E97" s="2"/>
    </row>
    <row r="98" ht="15">
      <c r="E98" s="2"/>
    </row>
    <row r="99" ht="15">
      <c r="E99" s="2"/>
    </row>
    <row r="117" ht="15">
      <c r="G117" s="5"/>
    </row>
    <row r="118" ht="15">
      <c r="G118" s="5"/>
    </row>
    <row r="123" ht="15">
      <c r="G123" s="5"/>
    </row>
  </sheetData>
  <mergeCells count="8">
    <mergeCell ref="H9:I9"/>
    <mergeCell ref="J9:K9"/>
    <mergeCell ref="L9:L11"/>
    <mergeCell ref="B4:D4"/>
    <mergeCell ref="B5:D5"/>
    <mergeCell ref="F7:L7"/>
    <mergeCell ref="F8:L8"/>
    <mergeCell ref="H5:I5"/>
  </mergeCells>
  <printOptions horizontalCentered="1"/>
  <pageMargins left="0.5" right="0.5" top="0.25" bottom="0.25" header="0.5" footer="0.5"/>
  <pageSetup fitToHeight="1" fitToWidth="1" horizontalDpi="600" verticalDpi="600" orientation="landscape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N294"/>
  <sheetViews>
    <sheetView zoomScale="85" zoomScaleNormal="85" workbookViewId="0" topLeftCell="A1">
      <selection activeCell="H21" sqref="H21"/>
    </sheetView>
  </sheetViews>
  <sheetFormatPr defaultColWidth="12.421875" defaultRowHeight="12.75"/>
  <cols>
    <col min="1" max="1" width="10.8515625" style="1" customWidth="1"/>
    <col min="2" max="2" width="27.7109375" style="1" customWidth="1"/>
    <col min="3" max="4" width="19.140625" style="1" customWidth="1"/>
    <col min="5" max="5" width="8.57421875" style="1" customWidth="1"/>
    <col min="6" max="6" width="4.7109375" style="1" customWidth="1"/>
    <col min="7" max="7" width="21.421875" style="1" customWidth="1"/>
    <col min="8" max="8" width="15.57421875" style="1" bestFit="1" customWidth="1"/>
    <col min="9" max="10" width="16.00390625" style="1" customWidth="1"/>
    <col min="11" max="11" width="17.57421875" style="1" customWidth="1"/>
    <col min="12" max="12" width="21.421875" style="1" customWidth="1"/>
    <col min="13" max="13" width="14.421875" style="1" customWidth="1"/>
    <col min="14" max="16384" width="12.421875" style="1" customWidth="1"/>
  </cols>
  <sheetData>
    <row r="1" ht="15">
      <c r="F1" s="2"/>
    </row>
    <row r="2" ht="15">
      <c r="F2" s="2"/>
    </row>
    <row r="3" spans="2:6" ht="15.75">
      <c r="B3" s="98"/>
      <c r="D3" s="9" t="s">
        <v>437</v>
      </c>
      <c r="F3" s="2"/>
    </row>
    <row r="4" spans="2:6" ht="18">
      <c r="B4" s="796" t="s">
        <v>30</v>
      </c>
      <c r="C4" s="796"/>
      <c r="D4" s="796"/>
      <c r="F4" s="2"/>
    </row>
    <row r="5" spans="2:13" ht="15.75">
      <c r="B5" s="797" t="s">
        <v>700</v>
      </c>
      <c r="C5" s="797"/>
      <c r="D5" s="797"/>
      <c r="F5" s="2"/>
      <c r="M5" s="1" t="str">
        <f>WN</f>
        <v>February 2009</v>
      </c>
    </row>
    <row r="6" spans="2:6" ht="16.5" thickBot="1">
      <c r="B6" s="310"/>
      <c r="C6" s="310"/>
      <c r="D6" s="309"/>
      <c r="F6" s="2"/>
    </row>
    <row r="7" spans="2:13" ht="16.5" thickTop="1">
      <c r="B7" s="310"/>
      <c r="C7" s="311" t="s">
        <v>423</v>
      </c>
      <c r="D7" s="311" t="s">
        <v>237</v>
      </c>
      <c r="F7" s="2"/>
      <c r="G7" s="780" t="s">
        <v>30</v>
      </c>
      <c r="H7" s="781"/>
      <c r="I7" s="781"/>
      <c r="J7" s="781"/>
      <c r="K7" s="781"/>
      <c r="L7" s="781"/>
      <c r="M7" s="782"/>
    </row>
    <row r="8" spans="6:13" ht="15.75" thickBot="1">
      <c r="F8" s="2"/>
      <c r="G8" s="783" t="str">
        <f>"Fiscal Year 2008 "</f>
        <v>Fiscal Year 2008 </v>
      </c>
      <c r="H8" s="784"/>
      <c r="I8" s="784"/>
      <c r="J8" s="784"/>
      <c r="K8" s="784"/>
      <c r="L8" s="784"/>
      <c r="M8" s="785"/>
    </row>
    <row r="9" spans="2:13" ht="15.75" thickTop="1">
      <c r="B9" s="36" t="s">
        <v>30</v>
      </c>
      <c r="C9" s="14">
        <v>268917102</v>
      </c>
      <c r="D9" s="14">
        <v>717822287</v>
      </c>
      <c r="F9" s="2"/>
      <c r="G9" s="184"/>
      <c r="H9" s="575" t="s">
        <v>423</v>
      </c>
      <c r="I9" s="786" t="s">
        <v>234</v>
      </c>
      <c r="J9" s="770"/>
      <c r="K9" s="786" t="s">
        <v>528</v>
      </c>
      <c r="L9" s="787"/>
      <c r="M9" s="777" t="s">
        <v>209</v>
      </c>
    </row>
    <row r="10" spans="2:13" ht="15">
      <c r="B10" s="36" t="s">
        <v>574</v>
      </c>
      <c r="C10" s="14">
        <v>1669111</v>
      </c>
      <c r="D10" s="14" t="s">
        <v>749</v>
      </c>
      <c r="E10" s="20"/>
      <c r="F10" s="2"/>
      <c r="G10" s="187"/>
      <c r="H10" s="207"/>
      <c r="I10" s="72"/>
      <c r="J10" s="72"/>
      <c r="K10" s="207"/>
      <c r="L10" s="215"/>
      <c r="M10" s="778"/>
    </row>
    <row r="11" spans="2:13" ht="15.75" thickBot="1">
      <c r="B11" s="36"/>
      <c r="C11" s="14"/>
      <c r="D11" s="14"/>
      <c r="E11" s="20"/>
      <c r="F11" s="2"/>
      <c r="G11" s="227"/>
      <c r="H11" s="293" t="str">
        <f>"FY "&amp;FY</f>
        <v>FY </v>
      </c>
      <c r="I11" s="295" t="s">
        <v>206</v>
      </c>
      <c r="J11" s="295" t="s">
        <v>683</v>
      </c>
      <c r="K11" s="296" t="s">
        <v>640</v>
      </c>
      <c r="L11" s="294" t="s">
        <v>683</v>
      </c>
      <c r="M11" s="779"/>
    </row>
    <row r="12" spans="2:13" ht="15.75" thickTop="1">
      <c r="B12" s="36" t="s">
        <v>257</v>
      </c>
      <c r="C12" s="14">
        <v>270586213</v>
      </c>
      <c r="D12" s="14">
        <v>717822287</v>
      </c>
      <c r="E12" s="20"/>
      <c r="F12" s="2"/>
      <c r="G12" s="184"/>
      <c r="H12" s="234"/>
      <c r="I12" s="185"/>
      <c r="J12" s="185"/>
      <c r="K12" s="206"/>
      <c r="L12" s="214"/>
      <c r="M12" s="186"/>
    </row>
    <row r="13" spans="6:13" ht="15">
      <c r="F13" s="2"/>
      <c r="G13" s="187"/>
      <c r="H13" s="235" t="s">
        <v>78</v>
      </c>
      <c r="I13" s="72" t="s">
        <v>79</v>
      </c>
      <c r="J13" s="72" t="s">
        <v>80</v>
      </c>
      <c r="K13" s="207" t="s">
        <v>81</v>
      </c>
      <c r="L13" s="233" t="s">
        <v>82</v>
      </c>
      <c r="M13" s="226" t="s">
        <v>83</v>
      </c>
    </row>
    <row r="14" spans="6:13" ht="15">
      <c r="F14" s="2"/>
      <c r="G14" s="187"/>
      <c r="H14" s="236"/>
      <c r="I14" s="36"/>
      <c r="J14" s="36"/>
      <c r="K14" s="208"/>
      <c r="L14" s="216"/>
      <c r="M14" s="189"/>
    </row>
    <row r="15" spans="6:13" ht="15">
      <c r="F15" s="2"/>
      <c r="G15" s="187" t="s">
        <v>439</v>
      </c>
      <c r="H15" s="237">
        <f>+C9</f>
        <v>268917102</v>
      </c>
      <c r="I15" s="201">
        <f>+Rates!F67</f>
        <v>2.7</v>
      </c>
      <c r="J15" s="201">
        <f>+Rates!G67</f>
        <v>2.8</v>
      </c>
      <c r="K15" s="253">
        <f>+I15*H15</f>
        <v>726076175.4000001</v>
      </c>
      <c r="L15" s="259">
        <f>+J15*H15</f>
        <v>752967885.5999999</v>
      </c>
      <c r="M15" s="204">
        <f>(J15-I15)/I15</f>
        <v>0.0370370370370369</v>
      </c>
    </row>
    <row r="16" spans="6:13" ht="15">
      <c r="F16" s="2"/>
      <c r="G16" s="187"/>
      <c r="H16" s="237"/>
      <c r="I16" s="36"/>
      <c r="J16" s="36"/>
      <c r="K16" s="209"/>
      <c r="L16" s="217"/>
      <c r="M16" s="191"/>
    </row>
    <row r="17" spans="2:13" ht="15.75" thickBot="1">
      <c r="B17" s="4"/>
      <c r="C17" s="4"/>
      <c r="E17" s="4"/>
      <c r="F17" s="2"/>
      <c r="G17" s="227"/>
      <c r="H17" s="237"/>
      <c r="I17" s="38"/>
      <c r="J17" s="38"/>
      <c r="K17" s="209"/>
      <c r="L17" s="217"/>
      <c r="M17" s="191"/>
    </row>
    <row r="18" spans="6:13" ht="15.75" thickTop="1">
      <c r="F18" s="2"/>
      <c r="G18" s="184" t="s">
        <v>691</v>
      </c>
      <c r="H18" s="241"/>
      <c r="I18" s="199"/>
      <c r="J18" s="199"/>
      <c r="K18" s="241"/>
      <c r="L18" s="241"/>
      <c r="M18" s="242"/>
    </row>
    <row r="19" spans="3:13" ht="15.75" thickBot="1">
      <c r="C19" s="29"/>
      <c r="E19" s="5"/>
      <c r="F19" s="2"/>
      <c r="G19" s="312"/>
      <c r="H19" s="228"/>
      <c r="I19" s="197"/>
      <c r="J19" s="197"/>
      <c r="K19" s="228"/>
      <c r="L19" s="228"/>
      <c r="M19" s="229"/>
    </row>
    <row r="20" spans="6:12" ht="15.75" thickTop="1">
      <c r="F20" s="2"/>
      <c r="K20" s="5"/>
      <c r="L20" s="5"/>
    </row>
    <row r="21" spans="3:6" ht="15">
      <c r="C21" s="29"/>
      <c r="E21" s="5"/>
      <c r="F21" s="2"/>
    </row>
    <row r="22" spans="6:13" ht="15">
      <c r="F22" s="2"/>
      <c r="H22" s="5"/>
      <c r="K22" s="5"/>
      <c r="L22" s="5"/>
      <c r="M22" s="30"/>
    </row>
    <row r="23" spans="3:13" ht="15">
      <c r="C23" s="29"/>
      <c r="E23" s="5"/>
      <c r="F23" s="2"/>
      <c r="K23" s="5"/>
      <c r="L23" s="5"/>
      <c r="M23" s="30"/>
    </row>
    <row r="24" ht="15">
      <c r="F24" s="2"/>
    </row>
    <row r="25" spans="6:13" ht="15">
      <c r="F25" s="2"/>
      <c r="L25" s="5"/>
      <c r="M25" s="30"/>
    </row>
    <row r="26" spans="6:13" ht="15">
      <c r="F26" s="2"/>
      <c r="I26" s="32"/>
      <c r="J26" s="32"/>
      <c r="K26" s="30"/>
      <c r="L26" s="5"/>
      <c r="M26" s="30"/>
    </row>
    <row r="27" spans="2:13" ht="15">
      <c r="B27" s="4"/>
      <c r="F27" s="2"/>
      <c r="K27" s="5"/>
      <c r="L27" s="5"/>
      <c r="M27" s="30"/>
    </row>
    <row r="28" spans="3:13" ht="15">
      <c r="C28" s="29"/>
      <c r="E28" s="5"/>
      <c r="F28" s="2"/>
      <c r="K28" s="5"/>
      <c r="L28" s="5"/>
      <c r="M28" s="30"/>
    </row>
    <row r="29" spans="6:12" ht="15">
      <c r="F29" s="2"/>
      <c r="K29" s="5"/>
      <c r="L29" s="5"/>
    </row>
    <row r="30" spans="3:13" ht="15">
      <c r="C30" s="39"/>
      <c r="E30" s="16"/>
      <c r="F30" s="2"/>
      <c r="K30" s="5"/>
      <c r="L30" s="5"/>
      <c r="M30" s="30"/>
    </row>
    <row r="31" spans="6:13" ht="15">
      <c r="F31" s="2"/>
      <c r="K31" s="5"/>
      <c r="M31" s="30"/>
    </row>
    <row r="32" spans="3:13" ht="15">
      <c r="C32" s="29"/>
      <c r="E32" s="5"/>
      <c r="F32" s="2"/>
      <c r="M32" s="30"/>
    </row>
    <row r="33" spans="3:12" ht="15">
      <c r="C33" s="29"/>
      <c r="E33" s="5"/>
      <c r="F33" s="2"/>
      <c r="J33" s="5"/>
      <c r="K33" s="5"/>
      <c r="L33" s="5"/>
    </row>
    <row r="34" ht="15">
      <c r="F34" s="2"/>
    </row>
    <row r="35" ht="15">
      <c r="F35" s="2"/>
    </row>
    <row r="36" ht="15">
      <c r="F36" s="2"/>
    </row>
    <row r="37" spans="2:6" ht="15">
      <c r="B37" s="4"/>
      <c r="F37" s="2"/>
    </row>
    <row r="38" spans="3:6" ht="15">
      <c r="C38" s="29"/>
      <c r="E38" s="5"/>
      <c r="F38" s="2"/>
    </row>
    <row r="39" ht="15">
      <c r="F39" s="2"/>
    </row>
    <row r="40" spans="3:6" ht="15">
      <c r="C40" s="29"/>
      <c r="E40" s="16"/>
      <c r="F40" s="2"/>
    </row>
    <row r="41" spans="5:6" ht="15">
      <c r="E41" s="4"/>
      <c r="F41" s="2"/>
    </row>
    <row r="42" spans="5:6" ht="15">
      <c r="E42" s="5"/>
      <c r="F42" s="2"/>
    </row>
    <row r="43" ht="15">
      <c r="F43" s="2"/>
    </row>
    <row r="44" spans="2:6" ht="15">
      <c r="B44" s="4"/>
      <c r="F44" s="2"/>
    </row>
    <row r="45" spans="6:13" ht="15">
      <c r="F45" s="2"/>
      <c r="G45" s="4"/>
      <c r="H45" s="4"/>
      <c r="I45" s="4"/>
      <c r="J45" s="4"/>
      <c r="K45" s="4"/>
      <c r="L45" s="4"/>
      <c r="M45" s="4"/>
    </row>
    <row r="46" ht="15">
      <c r="F46" s="2"/>
    </row>
    <row r="47" ht="15">
      <c r="F47" s="2"/>
    </row>
    <row r="48" ht="15">
      <c r="F48" s="2"/>
    </row>
    <row r="49" ht="15">
      <c r="F49" s="2"/>
    </row>
    <row r="50" ht="15">
      <c r="F50" s="2"/>
    </row>
    <row r="51" ht="15">
      <c r="F51" s="2"/>
    </row>
    <row r="52" ht="15">
      <c r="F52" s="2"/>
    </row>
    <row r="53" ht="15">
      <c r="F53" s="2"/>
    </row>
    <row r="54" spans="6:14" ht="15">
      <c r="F54" s="2"/>
      <c r="N54" s="4"/>
    </row>
    <row r="292" ht="15">
      <c r="A292" s="85"/>
    </row>
    <row r="293" ht="15">
      <c r="A293" s="85"/>
    </row>
    <row r="294" ht="15">
      <c r="A294" s="85"/>
    </row>
  </sheetData>
  <mergeCells count="7">
    <mergeCell ref="I9:J9"/>
    <mergeCell ref="K9:L9"/>
    <mergeCell ref="M9:M11"/>
    <mergeCell ref="B4:D4"/>
    <mergeCell ref="B5:D5"/>
    <mergeCell ref="G7:M7"/>
    <mergeCell ref="G8:M8"/>
  </mergeCells>
  <printOptions horizont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9"/>
  </sheetPr>
  <dimension ref="B3:L19"/>
  <sheetViews>
    <sheetView zoomScale="85" zoomScaleNormal="85" workbookViewId="0" topLeftCell="A1">
      <selection activeCell="B4" sqref="B4:C4"/>
    </sheetView>
  </sheetViews>
  <sheetFormatPr defaultColWidth="9.140625" defaultRowHeight="12.75"/>
  <cols>
    <col min="2" max="2" width="54.28125" style="0" bestFit="1" customWidth="1"/>
    <col min="3" max="3" width="14.421875" style="0" customWidth="1"/>
    <col min="6" max="6" width="16.7109375" style="0" customWidth="1"/>
    <col min="7" max="9" width="20.00390625" style="0" customWidth="1"/>
    <col min="10" max="12" width="15.7109375" style="0" customWidth="1"/>
  </cols>
  <sheetData>
    <row r="3" spans="2:3" ht="15.75">
      <c r="B3" s="98"/>
      <c r="C3" s="9" t="s">
        <v>715</v>
      </c>
    </row>
    <row r="4" spans="2:3" ht="18">
      <c r="B4" s="796" t="s">
        <v>751</v>
      </c>
      <c r="C4" s="796"/>
    </row>
    <row r="5" spans="2:12" ht="15.75">
      <c r="B5" s="797" t="s">
        <v>700</v>
      </c>
      <c r="C5" s="797"/>
      <c r="F5" s="1"/>
      <c r="G5" s="1"/>
      <c r="H5" s="1"/>
      <c r="I5" s="1"/>
      <c r="J5" s="1"/>
      <c r="K5" s="1"/>
      <c r="L5" s="1" t="str">
        <f>WN</f>
        <v>February 2009</v>
      </c>
    </row>
    <row r="6" spans="2:12" ht="16.5" thickBot="1">
      <c r="B6" s="310"/>
      <c r="C6" s="309"/>
      <c r="F6" s="1"/>
      <c r="G6" s="1"/>
      <c r="H6" s="1"/>
      <c r="I6" s="1"/>
      <c r="J6" s="1"/>
      <c r="K6" s="1"/>
      <c r="L6" s="1"/>
    </row>
    <row r="7" spans="2:12" ht="16.5" thickTop="1">
      <c r="B7" s="36" t="s">
        <v>76</v>
      </c>
      <c r="C7" s="33">
        <v>7982263</v>
      </c>
      <c r="F7" s="780" t="s">
        <v>751</v>
      </c>
      <c r="G7" s="781"/>
      <c r="H7" s="781"/>
      <c r="I7" s="781"/>
      <c r="J7" s="781"/>
      <c r="K7" s="781"/>
      <c r="L7" s="782"/>
    </row>
    <row r="8" spans="2:12" ht="16.5" thickBot="1">
      <c r="B8" s="310"/>
      <c r="C8" s="309"/>
      <c r="F8" s="783" t="str">
        <f>"Fiscal Year 2008 "</f>
        <v>Fiscal Year 2008 </v>
      </c>
      <c r="G8" s="784"/>
      <c r="H8" s="784"/>
      <c r="I8" s="784"/>
      <c r="J8" s="784"/>
      <c r="K8" s="784"/>
      <c r="L8" s="785"/>
    </row>
    <row r="9" spans="2:12" ht="15.75" thickTop="1">
      <c r="B9" s="36" t="s">
        <v>529</v>
      </c>
      <c r="C9" s="14">
        <v>7982263</v>
      </c>
      <c r="F9" s="184"/>
      <c r="G9" s="575" t="s">
        <v>423</v>
      </c>
      <c r="H9" s="786" t="s">
        <v>234</v>
      </c>
      <c r="I9" s="770"/>
      <c r="J9" s="786" t="s">
        <v>528</v>
      </c>
      <c r="K9" s="787"/>
      <c r="L9" s="777" t="s">
        <v>233</v>
      </c>
    </row>
    <row r="10" spans="6:12" ht="15">
      <c r="F10" s="187"/>
      <c r="G10" s="207"/>
      <c r="H10" s="72"/>
      <c r="I10" s="72"/>
      <c r="J10" s="207"/>
      <c r="K10" s="215"/>
      <c r="L10" s="778"/>
    </row>
    <row r="11" spans="6:12" ht="15.75" thickBot="1">
      <c r="F11" s="227"/>
      <c r="G11" s="293" t="str">
        <f>"FY "&amp;FY&amp;" 1/"</f>
        <v>FY  1/</v>
      </c>
      <c r="H11" s="295" t="s">
        <v>206</v>
      </c>
      <c r="I11" s="295" t="s">
        <v>683</v>
      </c>
      <c r="J11" s="296" t="s">
        <v>640</v>
      </c>
      <c r="K11" s="294" t="s">
        <v>683</v>
      </c>
      <c r="L11" s="779"/>
    </row>
    <row r="12" spans="6:12" ht="15.75" thickTop="1">
      <c r="F12" s="184"/>
      <c r="G12" s="234"/>
      <c r="H12" s="185"/>
      <c r="I12" s="185"/>
      <c r="J12" s="206"/>
      <c r="K12" s="214"/>
      <c r="L12" s="186"/>
    </row>
    <row r="13" spans="6:12" ht="15">
      <c r="F13" s="187"/>
      <c r="G13" s="235" t="s">
        <v>78</v>
      </c>
      <c r="H13" s="72" t="s">
        <v>79</v>
      </c>
      <c r="I13" s="72" t="s">
        <v>80</v>
      </c>
      <c r="J13" s="207" t="s">
        <v>81</v>
      </c>
      <c r="K13" s="233" t="s">
        <v>82</v>
      </c>
      <c r="L13" s="226" t="s">
        <v>83</v>
      </c>
    </row>
    <row r="14" spans="6:12" ht="15">
      <c r="F14" s="187"/>
      <c r="G14" s="236"/>
      <c r="H14" s="36"/>
      <c r="I14" s="36"/>
      <c r="J14" s="208"/>
      <c r="K14" s="216"/>
      <c r="L14" s="189"/>
    </row>
    <row r="15" spans="6:12" ht="15">
      <c r="F15" s="187" t="s">
        <v>105</v>
      </c>
      <c r="G15" s="237">
        <f>+C9</f>
        <v>7982263</v>
      </c>
      <c r="H15" s="201">
        <f>+Rates!F69</f>
        <v>1</v>
      </c>
      <c r="I15" s="201">
        <f>+Rates!G69</f>
        <v>1</v>
      </c>
      <c r="J15" s="253">
        <f>+H15*G15</f>
        <v>7982263</v>
      </c>
      <c r="K15" s="259">
        <f>+I15*G15</f>
        <v>7982263</v>
      </c>
      <c r="L15" s="204">
        <f>(I15-H15)/H15</f>
        <v>0</v>
      </c>
    </row>
    <row r="16" spans="6:12" ht="15">
      <c r="F16" s="187"/>
      <c r="G16" s="237"/>
      <c r="H16" s="36"/>
      <c r="I16" s="36"/>
      <c r="J16" s="209"/>
      <c r="K16" s="217"/>
      <c r="L16" s="191"/>
    </row>
    <row r="17" spans="6:12" ht="15.75" thickBot="1">
      <c r="F17" s="724"/>
      <c r="G17" s="197"/>
      <c r="H17" s="197"/>
      <c r="I17" s="220"/>
      <c r="J17" s="197"/>
      <c r="K17" s="220"/>
      <c r="L17" s="198"/>
    </row>
    <row r="18" spans="6:12" ht="15.75" thickTop="1">
      <c r="F18" s="184" t="s">
        <v>691</v>
      </c>
      <c r="G18" s="199"/>
      <c r="H18" s="199"/>
      <c r="I18" s="199"/>
      <c r="J18" s="199"/>
      <c r="K18" s="241"/>
      <c r="L18" s="242"/>
    </row>
    <row r="19" spans="6:12" ht="15.75" thickBot="1">
      <c r="F19" s="227"/>
      <c r="G19" s="197"/>
      <c r="H19" s="197"/>
      <c r="I19" s="197"/>
      <c r="J19" s="197"/>
      <c r="K19" s="228" t="s">
        <v>138</v>
      </c>
      <c r="L19" s="229"/>
    </row>
    <row r="20" ht="13.5" thickTop="1"/>
  </sheetData>
  <mergeCells count="7">
    <mergeCell ref="H9:I9"/>
    <mergeCell ref="J9:K9"/>
    <mergeCell ref="L9:L11"/>
    <mergeCell ref="B4:C4"/>
    <mergeCell ref="B5:C5"/>
    <mergeCell ref="F7:L7"/>
    <mergeCell ref="F8:L8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S61"/>
  <sheetViews>
    <sheetView zoomScale="75" zoomScaleNormal="75" workbookViewId="0" topLeftCell="I1">
      <selection activeCell="J45" sqref="J45:P46"/>
    </sheetView>
  </sheetViews>
  <sheetFormatPr defaultColWidth="12.421875" defaultRowHeight="12.75"/>
  <cols>
    <col min="1" max="1" width="13.7109375" style="1" customWidth="1"/>
    <col min="2" max="2" width="28.00390625" style="1" bestFit="1" customWidth="1"/>
    <col min="3" max="3" width="26.7109375" style="1" customWidth="1"/>
    <col min="4" max="4" width="14.28125" style="1" customWidth="1"/>
    <col min="5" max="5" width="9.8515625" style="1" customWidth="1"/>
    <col min="6" max="6" width="25.00390625" style="1" customWidth="1"/>
    <col min="7" max="8" width="13.7109375" style="1" customWidth="1"/>
    <col min="9" max="9" width="15.57421875" style="1" customWidth="1"/>
    <col min="10" max="10" width="27.421875" style="1" customWidth="1"/>
    <col min="11" max="11" width="14.7109375" style="1" customWidth="1"/>
    <col min="12" max="12" width="11.140625" style="1" customWidth="1"/>
    <col min="13" max="13" width="14.00390625" style="1" customWidth="1"/>
    <col min="14" max="15" width="17.57421875" style="1" customWidth="1"/>
    <col min="16" max="16" width="13.7109375" style="1" customWidth="1"/>
    <col min="17" max="17" width="5.00390625" style="1" customWidth="1"/>
    <col min="18" max="16384" width="12.421875" style="1" customWidth="1"/>
  </cols>
  <sheetData>
    <row r="1" spans="4:17" ht="15">
      <c r="D1" s="2"/>
      <c r="Q1" s="2"/>
    </row>
    <row r="2" spans="4:17" ht="15">
      <c r="D2" s="2"/>
      <c r="J2" s="24"/>
      <c r="Q2" s="2"/>
    </row>
    <row r="3" spans="3:17" ht="15">
      <c r="C3" s="9" t="s">
        <v>443</v>
      </c>
      <c r="D3" s="2"/>
      <c r="E3" s="1" t="s">
        <v>72</v>
      </c>
      <c r="J3" s="25"/>
      <c r="Q3" s="2"/>
    </row>
    <row r="4" spans="2:17" ht="18">
      <c r="B4" s="771" t="s">
        <v>258</v>
      </c>
      <c r="C4" s="771"/>
      <c r="D4" s="2"/>
      <c r="E4" s="4" t="s">
        <v>67</v>
      </c>
      <c r="F4" s="4" t="s">
        <v>67</v>
      </c>
      <c r="G4" s="4" t="s">
        <v>67</v>
      </c>
      <c r="H4" s="4" t="s">
        <v>67</v>
      </c>
      <c r="Q4" s="2"/>
    </row>
    <row r="5" spans="2:17" ht="15.75">
      <c r="B5" s="772" t="s">
        <v>700</v>
      </c>
      <c r="C5" s="772"/>
      <c r="D5" s="2"/>
      <c r="P5" s="1" t="str">
        <f>WN</f>
        <v>February 2009</v>
      </c>
      <c r="Q5" s="2"/>
    </row>
    <row r="6" spans="4:17" ht="15.75" thickBot="1">
      <c r="D6" s="2"/>
      <c r="Q6" s="2"/>
    </row>
    <row r="7" spans="2:17" ht="16.5" thickTop="1">
      <c r="B7" s="42" t="s">
        <v>491</v>
      </c>
      <c r="C7" s="42" t="s">
        <v>423</v>
      </c>
      <c r="D7" s="2"/>
      <c r="J7" s="780" t="s">
        <v>9</v>
      </c>
      <c r="K7" s="781"/>
      <c r="L7" s="781"/>
      <c r="M7" s="781"/>
      <c r="N7" s="781"/>
      <c r="O7" s="781"/>
      <c r="P7" s="782"/>
      <c r="Q7" s="2"/>
    </row>
    <row r="8" spans="2:17" ht="15.75" thickBot="1">
      <c r="B8" s="4"/>
      <c r="C8" s="4"/>
      <c r="D8" s="2"/>
      <c r="E8"/>
      <c r="F8" s="149" t="s">
        <v>261</v>
      </c>
      <c r="G8" s="352"/>
      <c r="H8"/>
      <c r="J8" s="783" t="str">
        <f>"Fiscal Year 2008 "</f>
        <v>Fiscal Year 2008 </v>
      </c>
      <c r="K8" s="784"/>
      <c r="L8" s="784"/>
      <c r="M8" s="784"/>
      <c r="N8" s="784"/>
      <c r="O8" s="784"/>
      <c r="P8" s="785"/>
      <c r="Q8" s="2"/>
    </row>
    <row r="9" spans="2:17" ht="15.75" thickTop="1">
      <c r="B9" s="120">
        <v>50</v>
      </c>
      <c r="C9" s="592">
        <v>134580</v>
      </c>
      <c r="D9" s="2"/>
      <c r="E9"/>
      <c r="F9" s="149"/>
      <c r="G9" s="149"/>
      <c r="H9"/>
      <c r="J9" s="184"/>
      <c r="K9" s="575" t="s">
        <v>423</v>
      </c>
      <c r="L9" s="786" t="s">
        <v>234</v>
      </c>
      <c r="M9" s="770"/>
      <c r="N9" s="786" t="s">
        <v>528</v>
      </c>
      <c r="O9" s="787"/>
      <c r="P9" s="777" t="s">
        <v>209</v>
      </c>
      <c r="Q9" s="2"/>
    </row>
    <row r="10" spans="2:17" ht="15">
      <c r="B10" s="120">
        <v>100</v>
      </c>
      <c r="C10" s="592">
        <v>89360</v>
      </c>
      <c r="D10" s="2"/>
      <c r="E10"/>
      <c r="F10" s="149" t="s">
        <v>378</v>
      </c>
      <c r="H10" s="353">
        <f>+C27/C26</f>
        <v>6.562260726819657</v>
      </c>
      <c r="J10" s="187"/>
      <c r="K10" s="207"/>
      <c r="L10" s="72"/>
      <c r="M10" s="72"/>
      <c r="N10" s="207"/>
      <c r="O10" s="215"/>
      <c r="P10" s="778"/>
      <c r="Q10" s="2"/>
    </row>
    <row r="11" spans="2:17" ht="15.75" thickBot="1">
      <c r="B11" s="120">
        <v>200</v>
      </c>
      <c r="C11" s="592">
        <v>318461</v>
      </c>
      <c r="D11" s="2"/>
      <c r="E11"/>
      <c r="F11" s="149" t="s">
        <v>380</v>
      </c>
      <c r="G11"/>
      <c r="H11" s="582">
        <f>SUM(O15:O25)/SUM(N15:N25)-1</f>
        <v>0.05794782009557742</v>
      </c>
      <c r="J11" s="227"/>
      <c r="K11" s="293" t="str">
        <f>"FY "&amp;FY</f>
        <v>FY </v>
      </c>
      <c r="L11" s="295" t="s">
        <v>206</v>
      </c>
      <c r="M11" s="295" t="s">
        <v>683</v>
      </c>
      <c r="N11" s="296" t="s">
        <v>640</v>
      </c>
      <c r="O11" s="294" t="s">
        <v>683</v>
      </c>
      <c r="P11" s="779"/>
      <c r="Q11" s="2"/>
    </row>
    <row r="12" spans="2:17" ht="15.75" thickTop="1">
      <c r="B12" s="120">
        <v>300</v>
      </c>
      <c r="C12" s="592">
        <v>60042</v>
      </c>
      <c r="D12" s="2"/>
      <c r="E12"/>
      <c r="F12" s="149" t="s">
        <v>379</v>
      </c>
      <c r="G12"/>
      <c r="H12" s="353">
        <f>+H10*(1+H11)</f>
        <v>6.942529430837675</v>
      </c>
      <c r="J12" s="184"/>
      <c r="K12" s="185"/>
      <c r="L12" s="185"/>
      <c r="M12" s="185"/>
      <c r="N12" s="185"/>
      <c r="O12" s="185"/>
      <c r="P12" s="186"/>
      <c r="Q12" s="2"/>
    </row>
    <row r="13" spans="2:17" ht="15">
      <c r="B13" s="120">
        <v>400</v>
      </c>
      <c r="C13" s="592">
        <v>15636</v>
      </c>
      <c r="D13" s="2"/>
      <c r="E13"/>
      <c r="F13"/>
      <c r="G13"/>
      <c r="H13"/>
      <c r="J13" s="187"/>
      <c r="K13" s="72" t="s">
        <v>78</v>
      </c>
      <c r="L13" s="72" t="s">
        <v>79</v>
      </c>
      <c r="M13" s="72" t="s">
        <v>80</v>
      </c>
      <c r="N13" s="72" t="s">
        <v>81</v>
      </c>
      <c r="O13" s="72" t="s">
        <v>82</v>
      </c>
      <c r="P13" s="188" t="s">
        <v>83</v>
      </c>
      <c r="Q13" s="2"/>
    </row>
    <row r="14" spans="2:17" ht="15">
      <c r="B14" s="120">
        <v>500</v>
      </c>
      <c r="C14" s="592">
        <v>9000</v>
      </c>
      <c r="D14" s="2"/>
      <c r="E14"/>
      <c r="F14"/>
      <c r="G14"/>
      <c r="H14"/>
      <c r="J14" s="187" t="s">
        <v>262</v>
      </c>
      <c r="K14" s="317" t="s">
        <v>138</v>
      </c>
      <c r="L14" s="36"/>
      <c r="M14" s="36"/>
      <c r="N14" s="317"/>
      <c r="O14" s="317"/>
      <c r="P14" s="189"/>
      <c r="Q14" s="2"/>
    </row>
    <row r="15" spans="2:19" ht="15">
      <c r="B15" s="120">
        <v>600</v>
      </c>
      <c r="C15" s="592">
        <v>5408</v>
      </c>
      <c r="D15" s="2"/>
      <c r="E15"/>
      <c r="F15"/>
      <c r="G15"/>
      <c r="H15"/>
      <c r="J15" s="187">
        <v>50</v>
      </c>
      <c r="K15" s="37">
        <f>C9</f>
        <v>134580</v>
      </c>
      <c r="L15" s="240">
        <f>+Rates!F72</f>
        <v>5.25</v>
      </c>
      <c r="M15" s="240">
        <f>+Rates!G72</f>
        <v>5.5</v>
      </c>
      <c r="N15" s="37">
        <f>+L15*K15</f>
        <v>706545</v>
      </c>
      <c r="O15" s="37">
        <f>+M15*K15</f>
        <v>740190</v>
      </c>
      <c r="P15" s="191">
        <f aca="true" t="shared" si="0" ref="P15:P25">(M15-L15)/L15</f>
        <v>0.047619047619047616</v>
      </c>
      <c r="Q15" s="2"/>
      <c r="S15" s="566"/>
    </row>
    <row r="16" spans="2:19" ht="15">
      <c r="B16" s="120">
        <v>700</v>
      </c>
      <c r="C16" s="592">
        <v>3531</v>
      </c>
      <c r="D16" s="2"/>
      <c r="E16"/>
      <c r="F16"/>
      <c r="G16"/>
      <c r="H16"/>
      <c r="J16" s="187">
        <v>100</v>
      </c>
      <c r="K16" s="37">
        <f aca="true" t="shared" si="1" ref="K16:K25">C10</f>
        <v>89360</v>
      </c>
      <c r="L16" s="240">
        <f>L15+Rates!F$74</f>
        <v>6.45</v>
      </c>
      <c r="M16" s="240">
        <f>+Rates!G73</f>
        <v>6.8</v>
      </c>
      <c r="N16" s="37">
        <f aca="true" t="shared" si="2" ref="N16:N25">+L16*K16</f>
        <v>576372</v>
      </c>
      <c r="O16" s="37">
        <f aca="true" t="shared" si="3" ref="O16:O25">+M16*K16</f>
        <v>607648</v>
      </c>
      <c r="P16" s="191">
        <f t="shared" si="0"/>
        <v>0.05426356589147281</v>
      </c>
      <c r="Q16" s="2"/>
      <c r="S16" s="566"/>
    </row>
    <row r="17" spans="2:19" ht="15">
      <c r="B17" s="120">
        <v>800</v>
      </c>
      <c r="C17" s="592">
        <v>2753</v>
      </c>
      <c r="D17" s="2"/>
      <c r="E17"/>
      <c r="F17"/>
      <c r="G17"/>
      <c r="H17"/>
      <c r="J17" s="187">
        <v>200</v>
      </c>
      <c r="K17" s="37">
        <f t="shared" si="1"/>
        <v>318461</v>
      </c>
      <c r="L17" s="240">
        <f>L16+Rates!F$74</f>
        <v>7.65</v>
      </c>
      <c r="M17" s="240">
        <f>M16+Rates!G$74</f>
        <v>8.1</v>
      </c>
      <c r="N17" s="37">
        <f t="shared" si="2"/>
        <v>2436226.65</v>
      </c>
      <c r="O17" s="37">
        <f t="shared" si="3"/>
        <v>2579534.1</v>
      </c>
      <c r="P17" s="191">
        <f t="shared" si="0"/>
        <v>0.05882352941176461</v>
      </c>
      <c r="Q17" s="2"/>
      <c r="S17" s="566"/>
    </row>
    <row r="18" spans="2:19" ht="15">
      <c r="B18" s="120">
        <v>900</v>
      </c>
      <c r="C18" s="592">
        <v>2007</v>
      </c>
      <c r="D18" s="2"/>
      <c r="E18"/>
      <c r="F18"/>
      <c r="G18"/>
      <c r="H18"/>
      <c r="J18" s="187">
        <v>300</v>
      </c>
      <c r="K18" s="37">
        <f t="shared" si="1"/>
        <v>60042</v>
      </c>
      <c r="L18" s="240">
        <f>L17+Rates!F$74</f>
        <v>8.85</v>
      </c>
      <c r="M18" s="240">
        <f>M17+Rates!G$74</f>
        <v>9.4</v>
      </c>
      <c r="N18" s="37">
        <f t="shared" si="2"/>
        <v>531371.7</v>
      </c>
      <c r="O18" s="37">
        <f t="shared" si="3"/>
        <v>564394.8</v>
      </c>
      <c r="P18" s="191">
        <f t="shared" si="0"/>
        <v>0.06214689265536731</v>
      </c>
      <c r="Q18" s="2"/>
      <c r="S18" s="566"/>
    </row>
    <row r="19" spans="2:19" ht="15">
      <c r="B19" s="120">
        <v>1000</v>
      </c>
      <c r="C19" s="592">
        <v>3581</v>
      </c>
      <c r="D19" s="2"/>
      <c r="E19"/>
      <c r="F19"/>
      <c r="G19"/>
      <c r="H19"/>
      <c r="J19" s="187">
        <v>400</v>
      </c>
      <c r="K19" s="37">
        <f t="shared" si="1"/>
        <v>15636</v>
      </c>
      <c r="L19" s="240">
        <f>L18+Rates!F$74</f>
        <v>10.049999999999999</v>
      </c>
      <c r="M19" s="240">
        <f>M18+Rates!G$74</f>
        <v>10.700000000000001</v>
      </c>
      <c r="N19" s="37">
        <f t="shared" si="2"/>
        <v>157141.8</v>
      </c>
      <c r="O19" s="37">
        <f t="shared" si="3"/>
        <v>167305.2</v>
      </c>
      <c r="P19" s="191">
        <f t="shared" si="0"/>
        <v>0.0646766169154231</v>
      </c>
      <c r="Q19" s="2"/>
      <c r="S19" s="566"/>
    </row>
    <row r="20" spans="3:19" ht="15">
      <c r="C20" s="588"/>
      <c r="D20" s="2"/>
      <c r="E20"/>
      <c r="F20"/>
      <c r="G20"/>
      <c r="H20"/>
      <c r="J20" s="187">
        <v>500</v>
      </c>
      <c r="K20" s="37">
        <f t="shared" si="1"/>
        <v>9000</v>
      </c>
      <c r="L20" s="240">
        <f>L19+Rates!F$74</f>
        <v>11.249999999999998</v>
      </c>
      <c r="M20" s="240">
        <f>M19+Rates!G$74</f>
        <v>12.000000000000002</v>
      </c>
      <c r="N20" s="37">
        <f t="shared" si="2"/>
        <v>101249.99999999999</v>
      </c>
      <c r="O20" s="37">
        <f t="shared" si="3"/>
        <v>108000.00000000001</v>
      </c>
      <c r="P20" s="191">
        <f t="shared" si="0"/>
        <v>0.066666666666667</v>
      </c>
      <c r="Q20" s="3"/>
      <c r="S20" s="566"/>
    </row>
    <row r="21" spans="2:19" ht="15">
      <c r="B21" s="1" t="s">
        <v>105</v>
      </c>
      <c r="C21" s="592">
        <v>644359</v>
      </c>
      <c r="D21" s="2"/>
      <c r="E21"/>
      <c r="F21"/>
      <c r="G21"/>
      <c r="H21"/>
      <c r="I21"/>
      <c r="J21" s="187">
        <v>600</v>
      </c>
      <c r="K21" s="37">
        <f t="shared" si="1"/>
        <v>5408</v>
      </c>
      <c r="L21" s="240">
        <f>L20+Rates!F$74</f>
        <v>12.449999999999998</v>
      </c>
      <c r="M21" s="240">
        <f>M20+Rates!G$74</f>
        <v>13.300000000000002</v>
      </c>
      <c r="N21" s="37">
        <f t="shared" si="2"/>
        <v>67329.59999999999</v>
      </c>
      <c r="O21" s="37">
        <f t="shared" si="3"/>
        <v>71926.40000000001</v>
      </c>
      <c r="P21" s="191">
        <f t="shared" si="0"/>
        <v>0.06827309236947833</v>
      </c>
      <c r="Q21" s="2"/>
      <c r="S21" s="566"/>
    </row>
    <row r="22" spans="3:19" ht="15">
      <c r="C22" s="589"/>
      <c r="D22" s="2"/>
      <c r="E22"/>
      <c r="F22"/>
      <c r="G22"/>
      <c r="H22"/>
      <c r="I22"/>
      <c r="J22" s="187">
        <v>700</v>
      </c>
      <c r="K22" s="37">
        <f t="shared" si="1"/>
        <v>3531</v>
      </c>
      <c r="L22" s="240">
        <f>L21+Rates!F$74</f>
        <v>13.649999999999997</v>
      </c>
      <c r="M22" s="240">
        <f>M21+Rates!G$74</f>
        <v>14.600000000000003</v>
      </c>
      <c r="N22" s="37">
        <f t="shared" si="2"/>
        <v>48198.14999999999</v>
      </c>
      <c r="O22" s="37">
        <f t="shared" si="3"/>
        <v>51552.60000000001</v>
      </c>
      <c r="P22" s="191">
        <f t="shared" si="0"/>
        <v>0.06959706959707009</v>
      </c>
      <c r="Q22" s="2"/>
      <c r="S22" s="566"/>
    </row>
    <row r="23" spans="2:19" ht="15">
      <c r="B23" s="1" t="s">
        <v>444</v>
      </c>
      <c r="C23" s="592">
        <v>4666581</v>
      </c>
      <c r="D23" s="2"/>
      <c r="E23"/>
      <c r="F23"/>
      <c r="G23"/>
      <c r="H23"/>
      <c r="I23"/>
      <c r="J23" s="187">
        <v>800</v>
      </c>
      <c r="K23" s="37">
        <f t="shared" si="1"/>
        <v>2753</v>
      </c>
      <c r="L23" s="240">
        <f>L22+Rates!F$74</f>
        <v>14.849999999999996</v>
      </c>
      <c r="M23" s="240">
        <f>M22+Rates!G$74</f>
        <v>15.900000000000004</v>
      </c>
      <c r="N23" s="37">
        <f t="shared" si="2"/>
        <v>40882.04999999999</v>
      </c>
      <c r="O23" s="37">
        <f t="shared" si="3"/>
        <v>43772.70000000001</v>
      </c>
      <c r="P23" s="191">
        <f t="shared" si="0"/>
        <v>0.07070707070707125</v>
      </c>
      <c r="Q23" s="2"/>
      <c r="S23" s="566"/>
    </row>
    <row r="24" spans="3:19" ht="15">
      <c r="C24" s="581"/>
      <c r="D24" s="2"/>
      <c r="E24" s="109"/>
      <c r="F24"/>
      <c r="G24" s="109"/>
      <c r="H24" s="109"/>
      <c r="I24"/>
      <c r="J24" s="187">
        <v>900</v>
      </c>
      <c r="K24" s="37">
        <f t="shared" si="1"/>
        <v>2007</v>
      </c>
      <c r="L24" s="240">
        <f>L23+Rates!F$74</f>
        <v>16.049999999999997</v>
      </c>
      <c r="M24" s="240">
        <f>M23+Rates!G$74</f>
        <v>17.200000000000003</v>
      </c>
      <c r="N24" s="37">
        <f t="shared" si="2"/>
        <v>32212.349999999995</v>
      </c>
      <c r="O24" s="37">
        <f t="shared" si="3"/>
        <v>34520.40000000001</v>
      </c>
      <c r="P24" s="191">
        <f t="shared" si="0"/>
        <v>0.0716510903426795</v>
      </c>
      <c r="Q24" s="2"/>
      <c r="S24" s="566"/>
    </row>
    <row r="25" spans="2:19" ht="15">
      <c r="B25" s="1" t="s">
        <v>259</v>
      </c>
      <c r="C25" s="589"/>
      <c r="D25" s="2"/>
      <c r="E25" s="104"/>
      <c r="F25" s="109"/>
      <c r="G25" s="104"/>
      <c r="H25" s="104"/>
      <c r="I25"/>
      <c r="J25" s="187">
        <v>1000</v>
      </c>
      <c r="K25" s="37">
        <f t="shared" si="1"/>
        <v>3581</v>
      </c>
      <c r="L25" s="240">
        <f>L24+Rates!F$74</f>
        <v>17.249999999999996</v>
      </c>
      <c r="M25" s="240">
        <f>M24+Rates!G$74</f>
        <v>18.500000000000004</v>
      </c>
      <c r="N25" s="37">
        <f t="shared" si="2"/>
        <v>61772.249999999985</v>
      </c>
      <c r="O25" s="37">
        <f t="shared" si="3"/>
        <v>66248.50000000001</v>
      </c>
      <c r="P25" s="191">
        <f t="shared" si="0"/>
        <v>0.07246376811594246</v>
      </c>
      <c r="Q25" s="2"/>
      <c r="S25" s="566"/>
    </row>
    <row r="26" spans="2:17" ht="15">
      <c r="B26" s="1" t="s">
        <v>446</v>
      </c>
      <c r="C26" s="592">
        <v>508049</v>
      </c>
      <c r="D26" s="2"/>
      <c r="E26" s="104"/>
      <c r="F26" s="104"/>
      <c r="G26" s="104"/>
      <c r="H26" s="104"/>
      <c r="I26"/>
      <c r="J26" s="187"/>
      <c r="K26" s="37"/>
      <c r="L26" s="240"/>
      <c r="M26" s="240"/>
      <c r="N26" s="37"/>
      <c r="O26" s="37"/>
      <c r="P26" s="191"/>
      <c r="Q26" s="2"/>
    </row>
    <row r="27" spans="2:17" ht="15">
      <c r="B27" s="1" t="s">
        <v>422</v>
      </c>
      <c r="C27" s="592">
        <v>3333950</v>
      </c>
      <c r="D27" s="2"/>
      <c r="E27" s="104"/>
      <c r="F27" s="104"/>
      <c r="G27" s="104"/>
      <c r="H27" s="104"/>
      <c r="I27"/>
      <c r="J27" s="187" t="s">
        <v>259</v>
      </c>
      <c r="K27" s="88">
        <f>+C26</f>
        <v>508049</v>
      </c>
      <c r="L27" s="240">
        <f>+Rates!F75</f>
        <v>6.562260726819657</v>
      </c>
      <c r="M27" s="240">
        <f>+Rates!G75</f>
        <v>6.942529430837675</v>
      </c>
      <c r="N27" s="37">
        <f>+L27*K27</f>
        <v>3333950</v>
      </c>
      <c r="O27" s="37">
        <f>+M27*K27</f>
        <v>3527145.13480765</v>
      </c>
      <c r="P27" s="191">
        <f>+M27/L27-1</f>
        <v>0.05794782009557742</v>
      </c>
      <c r="Q27" s="2"/>
    </row>
    <row r="28" spans="2:17" ht="15">
      <c r="B28" s="104"/>
      <c r="C28" s="590"/>
      <c r="D28" s="2"/>
      <c r="E28" s="104"/>
      <c r="F28" s="104"/>
      <c r="G28" s="104"/>
      <c r="H28" s="104"/>
      <c r="I28"/>
      <c r="J28" s="187"/>
      <c r="K28" s="37"/>
      <c r="L28" s="240"/>
      <c r="M28" s="240"/>
      <c r="N28" s="37"/>
      <c r="O28" s="37"/>
      <c r="P28" s="191"/>
      <c r="Q28" s="2"/>
    </row>
    <row r="29" spans="2:17" ht="15">
      <c r="B29" s="104" t="s">
        <v>445</v>
      </c>
      <c r="C29" s="591"/>
      <c r="D29" s="2"/>
      <c r="E29" s="104"/>
      <c r="F29" s="104"/>
      <c r="G29" s="104"/>
      <c r="H29" s="104"/>
      <c r="I29"/>
      <c r="J29" s="187" t="s">
        <v>260</v>
      </c>
      <c r="K29" s="37">
        <f>SUM(K15:K28)</f>
        <v>1152408</v>
      </c>
      <c r="L29" s="240"/>
      <c r="M29" s="240"/>
      <c r="N29" s="37">
        <f>SUM(N15:N28)</f>
        <v>8093251.549999999</v>
      </c>
      <c r="O29" s="37">
        <f>SUM(O15:O28)</f>
        <v>8562237.834807651</v>
      </c>
      <c r="P29" s="191"/>
      <c r="Q29" s="2"/>
    </row>
    <row r="30" spans="2:17" ht="15">
      <c r="B30" s="104" t="s">
        <v>446</v>
      </c>
      <c r="C30" s="592">
        <v>2618</v>
      </c>
      <c r="D30" s="2"/>
      <c r="E30" s="104"/>
      <c r="F30" s="104"/>
      <c r="G30" s="104"/>
      <c r="H30" s="104"/>
      <c r="I30"/>
      <c r="J30" s="187"/>
      <c r="K30" s="37"/>
      <c r="L30" s="240"/>
      <c r="M30" s="240"/>
      <c r="N30" s="37"/>
      <c r="O30" s="37"/>
      <c r="P30" s="191"/>
      <c r="Q30" s="2"/>
    </row>
    <row r="31" spans="2:17" ht="15">
      <c r="B31" s="104" t="s">
        <v>422</v>
      </c>
      <c r="C31" s="592">
        <v>12009</v>
      </c>
      <c r="D31" s="2"/>
      <c r="E31" s="104"/>
      <c r="F31" s="104"/>
      <c r="G31" s="104"/>
      <c r="H31" s="104"/>
      <c r="I31"/>
      <c r="J31" s="187"/>
      <c r="K31" s="36"/>
      <c r="L31" s="36"/>
      <c r="M31" s="36"/>
      <c r="N31" s="36"/>
      <c r="O31" s="36"/>
      <c r="P31" s="189"/>
      <c r="Q31" s="2"/>
    </row>
    <row r="32" spans="2:16" ht="15">
      <c r="B32" s="104"/>
      <c r="C32" s="593"/>
      <c r="D32" s="2"/>
      <c r="E32" s="104"/>
      <c r="F32" s="104"/>
      <c r="G32" s="126"/>
      <c r="H32" s="104"/>
      <c r="I32"/>
      <c r="J32" s="292" t="s">
        <v>447</v>
      </c>
      <c r="K32" s="37"/>
      <c r="L32" s="38"/>
      <c r="M32" s="38"/>
      <c r="N32" s="37"/>
      <c r="O32" s="37"/>
      <c r="P32" s="191"/>
    </row>
    <row r="33" spans="2:16" ht="15">
      <c r="B33" s="104" t="s">
        <v>448</v>
      </c>
      <c r="C33" s="148"/>
      <c r="D33" s="2"/>
      <c r="E33" s="104"/>
      <c r="F33" s="104"/>
      <c r="G33" s="126"/>
      <c r="H33" s="126"/>
      <c r="I33"/>
      <c r="J33" s="347"/>
      <c r="K33" s="348"/>
      <c r="L33" s="349"/>
      <c r="M33" s="349"/>
      <c r="N33" s="348"/>
      <c r="O33" s="348"/>
      <c r="P33" s="350"/>
    </row>
    <row r="34" spans="2:16" ht="15">
      <c r="B34" s="104" t="s">
        <v>446</v>
      </c>
      <c r="C34" s="592">
        <v>36178</v>
      </c>
      <c r="D34" s="2"/>
      <c r="E34" s="104"/>
      <c r="F34" s="104"/>
      <c r="G34" s="126"/>
      <c r="H34" s="126"/>
      <c r="I34"/>
      <c r="J34" s="321" t="s">
        <v>445</v>
      </c>
      <c r="K34" s="348">
        <f>+C30</f>
        <v>2618</v>
      </c>
      <c r="L34" s="351">
        <f>+Rates!F77</f>
        <v>4.65</v>
      </c>
      <c r="M34" s="351">
        <f>+Rates!G77</f>
        <v>4.85</v>
      </c>
      <c r="N34" s="37">
        <f>+L34*K34</f>
        <v>12173.7</v>
      </c>
      <c r="O34" s="37">
        <f>+M34*K34</f>
        <v>12697.3</v>
      </c>
      <c r="P34" s="350">
        <f>(M34-L34)/L34</f>
        <v>0.04301075268817189</v>
      </c>
    </row>
    <row r="35" spans="2:16" ht="15">
      <c r="B35" s="104" t="s">
        <v>422</v>
      </c>
      <c r="C35" s="592">
        <v>123008</v>
      </c>
      <c r="D35" s="2"/>
      <c r="E35" s="104"/>
      <c r="F35" s="104"/>
      <c r="G35" s="126"/>
      <c r="H35" s="126"/>
      <c r="I35"/>
      <c r="J35" s="321"/>
      <c r="K35" s="348"/>
      <c r="L35" s="349"/>
      <c r="M35" s="349"/>
      <c r="N35" s="348"/>
      <c r="O35" s="348"/>
      <c r="P35" s="350"/>
    </row>
    <row r="36" spans="2:17" ht="15">
      <c r="B36" s="104"/>
      <c r="C36" s="591"/>
      <c r="D36" s="2"/>
      <c r="E36" s="104"/>
      <c r="F36" s="104"/>
      <c r="G36" s="126"/>
      <c r="H36" s="126"/>
      <c r="I36"/>
      <c r="J36" s="321" t="s">
        <v>448</v>
      </c>
      <c r="K36" s="348">
        <f>+C34</f>
        <v>36178</v>
      </c>
      <c r="L36" s="351">
        <f>+Rates!F78</f>
        <v>3.7</v>
      </c>
      <c r="M36" s="351">
        <f>+Rates!G78</f>
        <v>3.85</v>
      </c>
      <c r="N36" s="37">
        <f>+L36*K36</f>
        <v>133858.6</v>
      </c>
      <c r="O36" s="37">
        <f>+M36*K36</f>
        <v>139285.30000000002</v>
      </c>
      <c r="P36" s="350">
        <f>(M36-L36)/L36</f>
        <v>0.040540540540540515</v>
      </c>
      <c r="Q36" s="2"/>
    </row>
    <row r="37" spans="2:17" s="104" customFormat="1" ht="15">
      <c r="B37" s="1" t="s">
        <v>450</v>
      </c>
      <c r="C37" s="589"/>
      <c r="D37" s="127"/>
      <c r="G37" s="126"/>
      <c r="H37" s="126"/>
      <c r="I37" s="109"/>
      <c r="J37" s="321"/>
      <c r="K37" s="348"/>
      <c r="L37" s="349"/>
      <c r="M37" s="349"/>
      <c r="N37" s="348"/>
      <c r="O37" s="348"/>
      <c r="P37" s="350"/>
      <c r="Q37" s="127"/>
    </row>
    <row r="38" spans="2:17" s="104" customFormat="1" ht="15">
      <c r="B38" s="104" t="s">
        <v>446</v>
      </c>
      <c r="C38" s="587">
        <v>0</v>
      </c>
      <c r="D38" s="127"/>
      <c r="G38" s="126"/>
      <c r="H38" s="126"/>
      <c r="J38" s="187" t="s">
        <v>450</v>
      </c>
      <c r="K38" s="313">
        <f>+C38</f>
        <v>0</v>
      </c>
      <c r="L38" s="351">
        <f>+Rates!F79</f>
        <v>3.7</v>
      </c>
      <c r="M38" s="351">
        <f>+Rates!G79</f>
        <v>3.85</v>
      </c>
      <c r="N38" s="37">
        <f>+L38*K38</f>
        <v>0</v>
      </c>
      <c r="O38" s="37">
        <f>+M38*K38</f>
        <v>0</v>
      </c>
      <c r="P38" s="350">
        <f>(M38-L38)/L38</f>
        <v>0.040540540540540515</v>
      </c>
      <c r="Q38" s="127"/>
    </row>
    <row r="39" spans="2:17" s="104" customFormat="1" ht="15">
      <c r="B39" s="104" t="s">
        <v>422</v>
      </c>
      <c r="C39" s="713">
        <v>0</v>
      </c>
      <c r="D39" s="127"/>
      <c r="G39" s="126"/>
      <c r="H39" s="126"/>
      <c r="J39" s="321"/>
      <c r="K39" s="348"/>
      <c r="L39" s="348"/>
      <c r="M39" s="348"/>
      <c r="N39" s="348"/>
      <c r="O39" s="348"/>
      <c r="P39" s="350"/>
      <c r="Q39" s="127"/>
    </row>
    <row r="40" spans="3:17" s="104" customFormat="1" ht="15">
      <c r="C40" s="590"/>
      <c r="D40" s="127"/>
      <c r="G40" s="126"/>
      <c r="H40" s="126"/>
      <c r="J40" s="321" t="s">
        <v>105</v>
      </c>
      <c r="K40" s="313">
        <f>SUM(K34:K39)</f>
        <v>38796</v>
      </c>
      <c r="L40" s="145"/>
      <c r="M40" s="145"/>
      <c r="N40" s="313">
        <f>SUM(N34:N39)</f>
        <v>146032.30000000002</v>
      </c>
      <c r="O40" s="313">
        <f>SUM(O34:O39)</f>
        <v>151982.6</v>
      </c>
      <c r="P40" s="350"/>
      <c r="Q40" s="127"/>
    </row>
    <row r="41" spans="2:17" s="104" customFormat="1" ht="15">
      <c r="B41" s="1" t="s">
        <v>454</v>
      </c>
      <c r="C41" s="239">
        <v>1191204</v>
      </c>
      <c r="D41" s="127"/>
      <c r="G41" s="126"/>
      <c r="H41" s="126"/>
      <c r="J41" s="187"/>
      <c r="K41" s="37"/>
      <c r="L41" s="36"/>
      <c r="M41" s="36"/>
      <c r="N41" s="37"/>
      <c r="O41" s="37"/>
      <c r="P41" s="191"/>
      <c r="Q41" s="127"/>
    </row>
    <row r="42" spans="2:17" s="104" customFormat="1" ht="15">
      <c r="B42" s="104" t="s">
        <v>453</v>
      </c>
      <c r="C42" s="239">
        <v>8135548</v>
      </c>
      <c r="D42" s="127"/>
      <c r="E42" s="1"/>
      <c r="G42" s="1"/>
      <c r="H42" s="1"/>
      <c r="J42" s="187" t="s">
        <v>118</v>
      </c>
      <c r="K42" s="37">
        <f>+K40+K29</f>
        <v>1191204</v>
      </c>
      <c r="L42" s="36"/>
      <c r="M42" s="36"/>
      <c r="N42" s="37">
        <f>+N40+N29</f>
        <v>8239283.849999999</v>
      </c>
      <c r="O42" s="37">
        <f>+O40+O29</f>
        <v>8714220.43480765</v>
      </c>
      <c r="P42" s="191"/>
      <c r="Q42" s="127"/>
    </row>
    <row r="43" spans="4:17" s="104" customFormat="1" ht="15">
      <c r="D43" s="127"/>
      <c r="E43" s="1"/>
      <c r="F43" s="1"/>
      <c r="G43" s="1"/>
      <c r="H43" s="1"/>
      <c r="J43" s="187"/>
      <c r="K43" s="37"/>
      <c r="L43" s="36"/>
      <c r="M43" s="36"/>
      <c r="N43" s="37"/>
      <c r="O43" s="37"/>
      <c r="P43" s="191"/>
      <c r="Q43" s="127"/>
    </row>
    <row r="44" spans="4:17" s="104" customFormat="1" ht="15.75" thickBot="1">
      <c r="D44" s="127"/>
      <c r="E44" s="1"/>
      <c r="F44" s="1"/>
      <c r="G44" s="1"/>
      <c r="H44" s="1"/>
      <c r="J44" s="227" t="s">
        <v>138</v>
      </c>
      <c r="K44" s="197" t="s">
        <v>138</v>
      </c>
      <c r="L44" s="197"/>
      <c r="M44" s="197"/>
      <c r="N44" s="228" t="s">
        <v>138</v>
      </c>
      <c r="O44" s="228" t="s">
        <v>138</v>
      </c>
      <c r="P44" s="229"/>
      <c r="Q44" s="127"/>
    </row>
    <row r="45" spans="4:17" s="104" customFormat="1" ht="15.75" thickTop="1">
      <c r="D45" s="127"/>
      <c r="E45" s="1"/>
      <c r="F45" s="1"/>
      <c r="G45" s="1"/>
      <c r="H45" s="1"/>
      <c r="J45" s="184" t="s">
        <v>691</v>
      </c>
      <c r="K45" s="199"/>
      <c r="L45" s="199"/>
      <c r="M45" s="199"/>
      <c r="N45" s="199"/>
      <c r="O45" s="241"/>
      <c r="P45" s="242"/>
      <c r="Q45" s="127"/>
    </row>
    <row r="46" spans="4:17" s="104" customFormat="1" ht="15.75" thickBot="1">
      <c r="D46" s="127"/>
      <c r="E46" s="1"/>
      <c r="F46" s="1"/>
      <c r="G46" s="1"/>
      <c r="H46" s="1"/>
      <c r="J46" s="227"/>
      <c r="K46" s="197"/>
      <c r="L46" s="197"/>
      <c r="M46" s="197"/>
      <c r="N46" s="197"/>
      <c r="O46" s="228" t="s">
        <v>138</v>
      </c>
      <c r="P46" s="229"/>
      <c r="Q46" s="127"/>
    </row>
    <row r="47" spans="4:17" s="104" customFormat="1" ht="15.75" thickTop="1">
      <c r="D47" s="127"/>
      <c r="E47" s="1"/>
      <c r="F47" s="1"/>
      <c r="G47" s="1"/>
      <c r="H47" s="1"/>
      <c r="J47" s="1"/>
      <c r="K47" s="1"/>
      <c r="L47" s="1"/>
      <c r="M47" s="1"/>
      <c r="N47" s="1"/>
      <c r="O47" s="5"/>
      <c r="P47" s="30"/>
      <c r="Q47" s="127"/>
    </row>
    <row r="48" spans="4:17" s="104" customFormat="1" ht="15">
      <c r="D48" s="127"/>
      <c r="E48" s="1"/>
      <c r="F48" s="1"/>
      <c r="G48" s="1"/>
      <c r="H48" s="1"/>
      <c r="J48" s="21"/>
      <c r="K48" s="21"/>
      <c r="L48" s="1"/>
      <c r="M48" s="1"/>
      <c r="N48" s="1"/>
      <c r="O48" s="1"/>
      <c r="P48" s="1"/>
      <c r="Q48" s="127"/>
    </row>
    <row r="49" spans="4:17" s="104" customFormat="1" ht="15">
      <c r="D49" s="127"/>
      <c r="E49" s="1"/>
      <c r="F49" s="1"/>
      <c r="G49" s="1"/>
      <c r="H49" s="1"/>
      <c r="J49" s="36"/>
      <c r="K49" s="36"/>
      <c r="L49" s="1"/>
      <c r="M49" s="1"/>
      <c r="N49" s="1"/>
      <c r="O49" s="1"/>
      <c r="P49" s="1"/>
      <c r="Q49" s="127"/>
    </row>
    <row r="50" spans="4:17" ht="15">
      <c r="D50" s="2"/>
      <c r="I50" s="104"/>
      <c r="Q50" s="2"/>
    </row>
    <row r="51" spans="4:17" ht="15">
      <c r="D51" s="2"/>
      <c r="I51" s="104"/>
      <c r="Q51" s="2"/>
    </row>
    <row r="52" spans="4:17" ht="15">
      <c r="D52" s="2"/>
      <c r="I52" s="104"/>
      <c r="Q52" s="2"/>
    </row>
    <row r="53" spans="4:17" ht="15">
      <c r="D53" s="2"/>
      <c r="I53" s="104"/>
      <c r="Q53" s="2"/>
    </row>
    <row r="54" spans="4:17" ht="15">
      <c r="D54" s="2"/>
      <c r="I54" s="104"/>
      <c r="O54" s="5"/>
      <c r="Q54" s="2"/>
    </row>
    <row r="55" spans="4:17" ht="15">
      <c r="D55" s="2"/>
      <c r="O55" s="12"/>
      <c r="Q55" s="2"/>
    </row>
    <row r="56" spans="4:17" ht="15">
      <c r="D56" s="2"/>
      <c r="Q56" s="2"/>
    </row>
    <row r="57" spans="4:17" ht="15">
      <c r="D57" s="2"/>
      <c r="Q57" s="2"/>
    </row>
    <row r="58" spans="4:17" ht="15">
      <c r="D58" s="2"/>
      <c r="Q58" s="2"/>
    </row>
    <row r="59" spans="4:17" ht="15">
      <c r="D59" s="2"/>
      <c r="Q59" s="2"/>
    </row>
    <row r="60" spans="4:17" ht="15">
      <c r="D60" s="2"/>
      <c r="Q60" s="2"/>
    </row>
    <row r="61" spans="4:17" ht="15">
      <c r="D61" s="2"/>
      <c r="Q61" s="2"/>
    </row>
  </sheetData>
  <mergeCells count="7">
    <mergeCell ref="N9:O9"/>
    <mergeCell ref="P9:P11"/>
    <mergeCell ref="B4:C4"/>
    <mergeCell ref="B5:C5"/>
    <mergeCell ref="J7:P7"/>
    <mergeCell ref="J8:P8"/>
    <mergeCell ref="L9:M9"/>
  </mergeCells>
  <printOptions horizontalCentered="1"/>
  <pageMargins left="0.5" right="0.5" top="0.5" bottom="0.5" header="0.5" footer="0.5"/>
  <pageSetup fitToHeight="1" fitToWidth="1" horizontalDpi="600" verticalDpi="600" orientation="landscape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P47"/>
  <sheetViews>
    <sheetView zoomScale="70" zoomScaleNormal="70" workbookViewId="0" topLeftCell="E4">
      <selection activeCell="G23" sqref="G23"/>
    </sheetView>
  </sheetViews>
  <sheetFormatPr defaultColWidth="9.140625" defaultRowHeight="12.75"/>
  <cols>
    <col min="2" max="2" width="26.7109375" style="0" bestFit="1" customWidth="1"/>
    <col min="3" max="3" width="18.28125" style="0" customWidth="1"/>
    <col min="4" max="4" width="16.421875" style="0" bestFit="1" customWidth="1"/>
    <col min="5" max="5" width="3.8515625" style="109" customWidth="1"/>
    <col min="6" max="6" width="26.7109375" style="0" bestFit="1" customWidth="1"/>
    <col min="7" max="7" width="18.28125" style="0" customWidth="1"/>
    <col min="8" max="9" width="9.140625" style="130" customWidth="1"/>
    <col min="10" max="10" width="20.28125" style="0" customWidth="1"/>
    <col min="11" max="16" width="14.7109375" style="0" customWidth="1"/>
  </cols>
  <sheetData>
    <row r="1" ht="12.75">
      <c r="E1" s="672"/>
    </row>
    <row r="2" ht="12.75">
      <c r="E2" s="672"/>
    </row>
    <row r="3" spans="4:5" ht="15">
      <c r="D3" s="314" t="s">
        <v>672</v>
      </c>
      <c r="E3" s="672"/>
    </row>
    <row r="4" spans="1:15" ht="18">
      <c r="A4" s="1"/>
      <c r="B4" s="771" t="s">
        <v>175</v>
      </c>
      <c r="C4" s="771"/>
      <c r="D4" s="771"/>
      <c r="E4" s="673"/>
      <c r="F4" s="771" t="s">
        <v>722</v>
      </c>
      <c r="G4" s="771"/>
      <c r="J4" s="24"/>
      <c r="K4" s="1"/>
      <c r="L4" s="20"/>
      <c r="M4" s="20"/>
      <c r="N4" s="1"/>
      <c r="O4" s="1"/>
    </row>
    <row r="5" spans="1:16" ht="15.75">
      <c r="A5" s="1"/>
      <c r="B5" s="772" t="s">
        <v>700</v>
      </c>
      <c r="C5" s="772"/>
      <c r="D5" s="772"/>
      <c r="E5" s="673"/>
      <c r="F5" s="772" t="s">
        <v>700</v>
      </c>
      <c r="G5" s="772"/>
      <c r="J5" s="1"/>
      <c r="K5" s="1"/>
      <c r="L5" s="1"/>
      <c r="M5" s="1"/>
      <c r="N5" s="1"/>
      <c r="O5" s="1"/>
      <c r="P5" s="1" t="str">
        <f>WN</f>
        <v>February 2009</v>
      </c>
    </row>
    <row r="6" spans="1:16" ht="15.75" thickBot="1">
      <c r="A6" s="1"/>
      <c r="B6" s="1"/>
      <c r="C6" s="1"/>
      <c r="D6" s="2"/>
      <c r="E6" s="673"/>
      <c r="F6" s="1"/>
      <c r="G6" s="1"/>
      <c r="J6" s="1"/>
      <c r="K6" s="1"/>
      <c r="L6" s="1"/>
      <c r="M6" s="1"/>
      <c r="N6" s="1"/>
      <c r="O6" s="1"/>
      <c r="P6" s="1"/>
    </row>
    <row r="7" spans="1:16" ht="16.5" thickTop="1">
      <c r="A7" s="1"/>
      <c r="B7" s="1"/>
      <c r="C7" s="2" t="s">
        <v>423</v>
      </c>
      <c r="D7" s="2" t="s">
        <v>237</v>
      </c>
      <c r="E7" s="128"/>
      <c r="F7" s="1"/>
      <c r="G7" s="2" t="s">
        <v>423</v>
      </c>
      <c r="J7" s="780" t="s">
        <v>175</v>
      </c>
      <c r="K7" s="781"/>
      <c r="L7" s="781"/>
      <c r="M7" s="781"/>
      <c r="N7" s="781"/>
      <c r="O7" s="781"/>
      <c r="P7" s="782"/>
    </row>
    <row r="8" spans="1:16" ht="15.75" thickBot="1">
      <c r="A8" s="1"/>
      <c r="B8" s="1"/>
      <c r="C8" s="142"/>
      <c r="D8" s="142"/>
      <c r="E8" s="145"/>
      <c r="F8" s="1"/>
      <c r="G8" s="142"/>
      <c r="J8" s="783" t="str">
        <f>"Fiscal Year 2008 "</f>
        <v>Fiscal Year 2008 </v>
      </c>
      <c r="K8" s="784"/>
      <c r="L8" s="784"/>
      <c r="M8" s="784"/>
      <c r="N8" s="784"/>
      <c r="O8" s="784"/>
      <c r="P8" s="785"/>
    </row>
    <row r="9" spans="1:16" ht="15.75" thickTop="1">
      <c r="A9" s="1"/>
      <c r="B9" s="36" t="s">
        <v>673</v>
      </c>
      <c r="C9" s="72">
        <v>22</v>
      </c>
      <c r="D9" s="144">
        <v>44000</v>
      </c>
      <c r="E9" s="145"/>
      <c r="F9" s="1" t="s">
        <v>721</v>
      </c>
      <c r="G9" s="72">
        <v>7</v>
      </c>
      <c r="J9" s="184"/>
      <c r="K9" s="575" t="s">
        <v>423</v>
      </c>
      <c r="L9" s="786" t="s">
        <v>234</v>
      </c>
      <c r="M9" s="770"/>
      <c r="N9" s="786" t="s">
        <v>528</v>
      </c>
      <c r="O9" s="787"/>
      <c r="P9" s="777" t="s">
        <v>209</v>
      </c>
    </row>
    <row r="10" spans="1:16" ht="15">
      <c r="A10" s="1"/>
      <c r="B10" s="36" t="s">
        <v>674</v>
      </c>
      <c r="C10" s="72">
        <v>0</v>
      </c>
      <c r="D10" s="144">
        <v>0</v>
      </c>
      <c r="E10" s="145"/>
      <c r="F10" s="1" t="s">
        <v>724</v>
      </c>
      <c r="G10" s="72">
        <v>0</v>
      </c>
      <c r="J10" s="187"/>
      <c r="K10" s="207"/>
      <c r="L10" s="72"/>
      <c r="M10" s="72"/>
      <c r="N10" s="207"/>
      <c r="O10" s="215"/>
      <c r="P10" s="778"/>
    </row>
    <row r="11" spans="1:16" ht="15.75" thickBot="1">
      <c r="A11" s="36"/>
      <c r="B11" s="36"/>
      <c r="C11" s="72"/>
      <c r="D11" s="144"/>
      <c r="E11" s="145"/>
      <c r="F11" s="1"/>
      <c r="G11" s="72"/>
      <c r="J11" s="227"/>
      <c r="K11" s="293" t="str">
        <f>"FY "&amp;FY</f>
        <v>FY </v>
      </c>
      <c r="L11" s="295" t="s">
        <v>206</v>
      </c>
      <c r="M11" s="295" t="s">
        <v>683</v>
      </c>
      <c r="N11" s="296" t="s">
        <v>640</v>
      </c>
      <c r="O11" s="294" t="s">
        <v>683</v>
      </c>
      <c r="P11" s="779"/>
    </row>
    <row r="12" spans="1:16" ht="15.75" thickTop="1">
      <c r="A12" s="36"/>
      <c r="B12" s="36" t="s">
        <v>675</v>
      </c>
      <c r="C12" s="72">
        <v>129</v>
      </c>
      <c r="D12" s="144">
        <v>762000</v>
      </c>
      <c r="E12" s="145"/>
      <c r="F12" s="36" t="s">
        <v>673</v>
      </c>
      <c r="G12" s="72">
        <v>20</v>
      </c>
      <c r="J12" s="184"/>
      <c r="K12" s="234"/>
      <c r="L12" s="185"/>
      <c r="M12" s="185"/>
      <c r="N12" s="206"/>
      <c r="O12" s="214"/>
      <c r="P12" s="186"/>
    </row>
    <row r="13" spans="1:16" ht="15">
      <c r="A13" s="36"/>
      <c r="B13" s="36" t="s">
        <v>674</v>
      </c>
      <c r="C13" s="72">
        <v>3</v>
      </c>
      <c r="D13" s="144">
        <v>9800</v>
      </c>
      <c r="E13" s="145"/>
      <c r="F13" s="36" t="s">
        <v>674</v>
      </c>
      <c r="G13" s="72">
        <v>0</v>
      </c>
      <c r="J13" s="187"/>
      <c r="K13" s="235" t="s">
        <v>78</v>
      </c>
      <c r="L13" s="72" t="s">
        <v>79</v>
      </c>
      <c r="M13" s="72" t="s">
        <v>80</v>
      </c>
      <c r="N13" s="207" t="s">
        <v>81</v>
      </c>
      <c r="O13" s="215" t="s">
        <v>82</v>
      </c>
      <c r="P13" s="188" t="s">
        <v>83</v>
      </c>
    </row>
    <row r="14" spans="1:16" ht="15">
      <c r="A14" s="36"/>
      <c r="B14" s="36"/>
      <c r="C14" s="72"/>
      <c r="D14" s="144"/>
      <c r="E14" s="128"/>
      <c r="F14" s="36"/>
      <c r="G14" s="72"/>
      <c r="J14" s="250"/>
      <c r="K14" s="344" t="s">
        <v>138</v>
      </c>
      <c r="L14" s="36"/>
      <c r="M14" s="36"/>
      <c r="N14" s="329"/>
      <c r="O14" s="337"/>
      <c r="P14" s="189"/>
    </row>
    <row r="15" spans="1:16" ht="15">
      <c r="A15" s="36"/>
      <c r="B15" s="36" t="s">
        <v>676</v>
      </c>
      <c r="C15" s="182">
        <v>51</v>
      </c>
      <c r="D15" s="144">
        <v>1062500</v>
      </c>
      <c r="E15" s="128"/>
      <c r="F15" s="36" t="s">
        <v>675</v>
      </c>
      <c r="G15" s="72"/>
      <c r="J15" s="187" t="s">
        <v>721</v>
      </c>
      <c r="K15" s="344">
        <v>2</v>
      </c>
      <c r="L15" s="510">
        <f>+Rates!F83</f>
        <v>2000</v>
      </c>
      <c r="M15" s="510">
        <f>+Rates!G83</f>
        <v>1000</v>
      </c>
      <c r="N15" s="253">
        <f>+L15*K15</f>
        <v>4000</v>
      </c>
      <c r="O15" s="259">
        <f>+M15*K15</f>
        <v>2000</v>
      </c>
      <c r="P15" s="318">
        <f>+M15/L15-1</f>
        <v>-0.5</v>
      </c>
    </row>
    <row r="16" spans="1:16" ht="15">
      <c r="A16" s="36"/>
      <c r="B16" s="36"/>
      <c r="C16" s="106"/>
      <c r="D16" s="144"/>
      <c r="E16" s="128"/>
      <c r="F16" s="36" t="s">
        <v>723</v>
      </c>
      <c r="G16" s="72">
        <v>80</v>
      </c>
      <c r="J16" s="187"/>
      <c r="K16" s="344">
        <v>5</v>
      </c>
      <c r="L16" s="510">
        <v>6500</v>
      </c>
      <c r="M16" s="510">
        <v>1000</v>
      </c>
      <c r="N16" s="253">
        <f>+L16*K16</f>
        <v>32500</v>
      </c>
      <c r="O16" s="259">
        <f>+M16*K16</f>
        <v>5000</v>
      </c>
      <c r="P16" s="318">
        <f>+M16/L16-1</f>
        <v>-0.8461538461538461</v>
      </c>
    </row>
    <row r="17" spans="1:16" ht="15">
      <c r="A17" s="36"/>
      <c r="B17" s="36" t="s">
        <v>176</v>
      </c>
      <c r="C17" s="106">
        <v>202</v>
      </c>
      <c r="D17" s="144"/>
      <c r="E17" s="145"/>
      <c r="F17" s="36" t="s">
        <v>398</v>
      </c>
      <c r="G17" s="72">
        <v>50</v>
      </c>
      <c r="J17" s="187" t="s">
        <v>724</v>
      </c>
      <c r="K17" s="344">
        <v>0</v>
      </c>
      <c r="L17" s="510">
        <f>+Rates!F84</f>
        <v>500</v>
      </c>
      <c r="M17" s="510">
        <f>+Rates!G84</f>
        <v>250</v>
      </c>
      <c r="N17" s="253">
        <f>+L17*K17</f>
        <v>0</v>
      </c>
      <c r="O17" s="259">
        <f>+M17*K17</f>
        <v>0</v>
      </c>
      <c r="P17" s="318">
        <f>+M17/L17-1</f>
        <v>-0.5</v>
      </c>
    </row>
    <row r="18" spans="1:16" ht="15">
      <c r="A18" s="36"/>
      <c r="B18" s="36"/>
      <c r="C18" s="72"/>
      <c r="D18" s="144"/>
      <c r="E18" s="145"/>
      <c r="F18" s="36" t="s">
        <v>674</v>
      </c>
      <c r="G18" s="72">
        <v>20</v>
      </c>
      <c r="J18" s="250"/>
      <c r="K18" s="344"/>
      <c r="L18" s="36"/>
      <c r="M18" s="36"/>
      <c r="N18" s="329"/>
      <c r="O18" s="337"/>
      <c r="P18" s="189"/>
    </row>
    <row r="19" spans="1:16" ht="15">
      <c r="A19" s="36"/>
      <c r="B19" s="36" t="s">
        <v>677</v>
      </c>
      <c r="C19" s="72"/>
      <c r="D19" s="144"/>
      <c r="E19" s="145"/>
      <c r="F19" s="36"/>
      <c r="G19" s="72"/>
      <c r="J19" s="187" t="s">
        <v>673</v>
      </c>
      <c r="K19" s="237">
        <f>+G12</f>
        <v>20</v>
      </c>
      <c r="L19" s="510">
        <f>+Rates!F86</f>
        <v>2000</v>
      </c>
      <c r="M19" s="510">
        <f>+Rates!G86</f>
        <v>2000</v>
      </c>
      <c r="N19" s="253">
        <f>+L19*K19</f>
        <v>40000</v>
      </c>
      <c r="O19" s="259">
        <f>+M19*K19</f>
        <v>40000</v>
      </c>
      <c r="P19" s="318">
        <f>+M19/L19-1</f>
        <v>0</v>
      </c>
    </row>
    <row r="20" spans="1:16" ht="15">
      <c r="A20" s="36"/>
      <c r="B20" s="145" t="s">
        <v>678</v>
      </c>
      <c r="C20" s="146">
        <v>74</v>
      </c>
      <c r="D20" s="144">
        <v>58350</v>
      </c>
      <c r="E20" s="674"/>
      <c r="F20" s="36" t="s">
        <v>676</v>
      </c>
      <c r="G20" s="106"/>
      <c r="J20" s="187" t="s">
        <v>674</v>
      </c>
      <c r="K20" s="237">
        <f>+G13</f>
        <v>0</v>
      </c>
      <c r="L20" s="510">
        <f>+Rates!F87</f>
        <v>500</v>
      </c>
      <c r="M20" s="510">
        <f>+Rates!G87</f>
        <v>500</v>
      </c>
      <c r="N20" s="253">
        <f>+L20*K20</f>
        <v>0</v>
      </c>
      <c r="O20" s="259">
        <f>+M20*K20</f>
        <v>0</v>
      </c>
      <c r="P20" s="318">
        <f>+M20/L20-1</f>
        <v>0</v>
      </c>
    </row>
    <row r="21" spans="1:16" ht="15">
      <c r="A21" s="36"/>
      <c r="B21" s="145" t="s">
        <v>679</v>
      </c>
      <c r="C21" s="146">
        <v>309</v>
      </c>
      <c r="D21" s="315">
        <v>679500</v>
      </c>
      <c r="E21" s="674"/>
      <c r="F21" s="36" t="s">
        <v>723</v>
      </c>
      <c r="G21" s="106">
        <v>30</v>
      </c>
      <c r="J21" s="187"/>
      <c r="K21" s="237"/>
      <c r="L21" s="510"/>
      <c r="M21" s="510"/>
      <c r="N21" s="333"/>
      <c r="O21" s="340"/>
      <c r="P21" s="319"/>
    </row>
    <row r="22" spans="1:16" ht="15">
      <c r="A22" s="36"/>
      <c r="B22" s="36"/>
      <c r="C22" s="37"/>
      <c r="D22" s="94"/>
      <c r="E22" s="145"/>
      <c r="F22" s="36" t="s">
        <v>398</v>
      </c>
      <c r="G22" s="106">
        <v>15</v>
      </c>
      <c r="J22" s="187" t="s">
        <v>675</v>
      </c>
      <c r="K22" s="237"/>
      <c r="L22" s="510"/>
      <c r="M22" s="510"/>
      <c r="N22" s="253"/>
      <c r="O22" s="259"/>
      <c r="P22" s="318"/>
    </row>
    <row r="23" spans="2:16" ht="15">
      <c r="B23" s="36" t="s">
        <v>105</v>
      </c>
      <c r="D23" s="144">
        <v>2616150</v>
      </c>
      <c r="E23" s="672"/>
      <c r="F23" s="36"/>
      <c r="G23" s="106"/>
      <c r="J23" s="321" t="s">
        <v>723</v>
      </c>
      <c r="K23" s="237">
        <f>+G16</f>
        <v>80</v>
      </c>
      <c r="L23" s="510">
        <f>+Rates!F89</f>
        <v>6500</v>
      </c>
      <c r="M23" s="510">
        <f>+Rates!G89</f>
        <v>7500</v>
      </c>
      <c r="N23" s="253">
        <f>+L23*K23</f>
        <v>520000</v>
      </c>
      <c r="O23" s="259">
        <f>+M23*K23</f>
        <v>600000</v>
      </c>
      <c r="P23" s="318">
        <f>+M23/L23-1</f>
        <v>0.15384615384615374</v>
      </c>
    </row>
    <row r="24" spans="2:16" ht="15">
      <c r="B24" s="36"/>
      <c r="E24" s="672"/>
      <c r="F24" s="36" t="s">
        <v>176</v>
      </c>
      <c r="G24" s="106">
        <f>+G22+G21+G17+G16+G12+G9</f>
        <v>202</v>
      </c>
      <c r="J24" s="321" t="s">
        <v>398</v>
      </c>
      <c r="K24" s="237">
        <f>+G17</f>
        <v>50</v>
      </c>
      <c r="L24" s="510">
        <f>+Rates!F90</f>
        <v>6500</v>
      </c>
      <c r="M24" s="510">
        <f>+Rates!G90</f>
        <v>10000</v>
      </c>
      <c r="N24" s="253">
        <f>+L24*K24</f>
        <v>325000</v>
      </c>
      <c r="O24" s="259">
        <f>+M24*K24</f>
        <v>500000</v>
      </c>
      <c r="P24" s="318">
        <f>+M24/L24-1</f>
        <v>0.5384615384615385</v>
      </c>
    </row>
    <row r="25" spans="5:16" ht="15">
      <c r="E25" s="672"/>
      <c r="F25" s="36"/>
      <c r="G25" s="72"/>
      <c r="J25" s="187" t="s">
        <v>674</v>
      </c>
      <c r="K25" s="237">
        <f>+G18</f>
        <v>20</v>
      </c>
      <c r="L25" s="510">
        <f>+Rates!F91</f>
        <v>800</v>
      </c>
      <c r="M25" s="510">
        <f>+Rates!G91</f>
        <v>800</v>
      </c>
      <c r="N25" s="253">
        <f>+L25*K25</f>
        <v>16000</v>
      </c>
      <c r="O25" s="259">
        <f>+M25*K25</f>
        <v>16000</v>
      </c>
      <c r="P25" s="318">
        <f>+M25/L25-1</f>
        <v>0</v>
      </c>
    </row>
    <row r="26" spans="5:16" ht="15">
      <c r="E26" s="672"/>
      <c r="F26" s="36" t="s">
        <v>677</v>
      </c>
      <c r="G26" s="72"/>
      <c r="J26" s="187"/>
      <c r="K26" s="237"/>
      <c r="L26" s="510"/>
      <c r="M26" s="510"/>
      <c r="N26" s="333"/>
      <c r="O26" s="340"/>
      <c r="P26" s="319"/>
    </row>
    <row r="27" spans="5:16" ht="15">
      <c r="E27" s="672"/>
      <c r="F27" s="145" t="s">
        <v>678</v>
      </c>
      <c r="G27" s="146">
        <v>74</v>
      </c>
      <c r="J27" s="187" t="s">
        <v>676</v>
      </c>
      <c r="K27" s="237"/>
      <c r="L27" s="510"/>
      <c r="M27" s="510"/>
      <c r="N27" s="253"/>
      <c r="O27" s="259"/>
      <c r="P27" s="318"/>
    </row>
    <row r="28" spans="5:16" ht="15">
      <c r="E28" s="672"/>
      <c r="F28" s="145" t="s">
        <v>679</v>
      </c>
      <c r="G28" s="146">
        <v>309</v>
      </c>
      <c r="J28" s="321" t="s">
        <v>723</v>
      </c>
      <c r="K28" s="237">
        <f>+G21</f>
        <v>30</v>
      </c>
      <c r="L28" s="510">
        <f>+Rates!F93</f>
        <v>23500</v>
      </c>
      <c r="M28" s="510">
        <f>+Rates!G93</f>
        <v>25000</v>
      </c>
      <c r="N28" s="253">
        <f>+L28*K28</f>
        <v>705000</v>
      </c>
      <c r="O28" s="259">
        <f>+M28*K28</f>
        <v>750000</v>
      </c>
      <c r="P28" s="318">
        <f>+M28/L28-1</f>
        <v>0.06382978723404253</v>
      </c>
    </row>
    <row r="29" spans="5:16" ht="15">
      <c r="E29" s="672"/>
      <c r="F29" s="36"/>
      <c r="G29" s="37"/>
      <c r="J29" s="321" t="s">
        <v>735</v>
      </c>
      <c r="K29" s="237">
        <f>+G22</f>
        <v>15</v>
      </c>
      <c r="L29" s="510">
        <f>+Rates!F94</f>
        <v>23500</v>
      </c>
      <c r="M29" s="510">
        <f>+Rates!G94</f>
        <v>250000</v>
      </c>
      <c r="N29" s="253">
        <f>+L29*K29</f>
        <v>352500</v>
      </c>
      <c r="O29" s="259">
        <f>+M29*K29</f>
        <v>3750000</v>
      </c>
      <c r="P29" s="318">
        <f>+M29/L29-1</f>
        <v>9.638297872340425</v>
      </c>
    </row>
    <row r="30" spans="5:16" ht="15">
      <c r="E30" s="672"/>
      <c r="F30" s="36"/>
      <c r="J30" s="187"/>
      <c r="K30" s="237"/>
      <c r="L30" s="510"/>
      <c r="M30" s="510"/>
      <c r="N30" s="332"/>
      <c r="O30" s="339"/>
      <c r="P30" s="320"/>
    </row>
    <row r="31" spans="5:16" ht="15">
      <c r="E31" s="672"/>
      <c r="F31" s="36"/>
      <c r="J31" s="321" t="s">
        <v>677</v>
      </c>
      <c r="K31" s="237"/>
      <c r="L31" s="510"/>
      <c r="M31" s="510"/>
      <c r="N31" s="334"/>
      <c r="O31" s="341"/>
      <c r="P31" s="322"/>
    </row>
    <row r="32" spans="5:16" ht="15">
      <c r="E32" s="672"/>
      <c r="J32" s="321" t="s">
        <v>679</v>
      </c>
      <c r="K32" s="237">
        <f>+C20</f>
        <v>74</v>
      </c>
      <c r="L32" s="510">
        <f>+Rates!F96</f>
        <v>2500</v>
      </c>
      <c r="M32" s="510">
        <f>+Rates!G96</f>
        <v>2500</v>
      </c>
      <c r="N32" s="253">
        <f>+L32*K32</f>
        <v>185000</v>
      </c>
      <c r="O32" s="259">
        <f>+M32*K32</f>
        <v>185000</v>
      </c>
      <c r="P32" s="318">
        <f>+M32/L32-1</f>
        <v>0</v>
      </c>
    </row>
    <row r="33" spans="5:16" ht="15">
      <c r="E33" s="672"/>
      <c r="J33" s="321" t="s">
        <v>678</v>
      </c>
      <c r="K33" s="237">
        <f>+C21</f>
        <v>309</v>
      </c>
      <c r="L33" s="510">
        <f>+Rates!F97</f>
        <v>900</v>
      </c>
      <c r="M33" s="510">
        <f>+Rates!G97</f>
        <v>900</v>
      </c>
      <c r="N33" s="253">
        <f>+L33*K33</f>
        <v>278100</v>
      </c>
      <c r="O33" s="259">
        <f>+M33*K33</f>
        <v>278100</v>
      </c>
      <c r="P33" s="318">
        <f>+M33/L33-1</f>
        <v>0</v>
      </c>
    </row>
    <row r="34" spans="5:16" ht="15">
      <c r="E34" s="672"/>
      <c r="J34" s="321"/>
      <c r="K34" s="237"/>
      <c r="L34" s="510"/>
      <c r="M34" s="510"/>
      <c r="N34" s="332"/>
      <c r="O34" s="339"/>
      <c r="P34" s="318"/>
    </row>
    <row r="35" spans="5:16" ht="15">
      <c r="E35" s="672"/>
      <c r="J35" s="321" t="s">
        <v>123</v>
      </c>
      <c r="K35" s="237"/>
      <c r="L35" s="510"/>
      <c r="M35" s="510"/>
      <c r="N35" s="332"/>
      <c r="O35" s="339"/>
      <c r="P35" s="318"/>
    </row>
    <row r="36" spans="5:16" ht="15">
      <c r="E36" s="672"/>
      <c r="J36" s="321" t="s">
        <v>47</v>
      </c>
      <c r="K36" s="237">
        <f>+K29+K28+K23+K24+K19+K15+K16</f>
        <v>202</v>
      </c>
      <c r="L36" s="510"/>
      <c r="M36" s="510"/>
      <c r="N36" s="332">
        <f>+N29+N28+N23+N24+N19+N15+N16</f>
        <v>1979000</v>
      </c>
      <c r="O36" s="339">
        <f>+O29+O28+O23+O24+O19+O15+O16</f>
        <v>5647000</v>
      </c>
      <c r="P36" s="318"/>
    </row>
    <row r="37" spans="5:16" ht="15">
      <c r="E37" s="672"/>
      <c r="J37" s="321" t="s">
        <v>48</v>
      </c>
      <c r="K37" s="237">
        <f>+K25+K20+K17</f>
        <v>20</v>
      </c>
      <c r="L37" s="510"/>
      <c r="M37" s="510"/>
      <c r="N37" s="332">
        <f>+N25+N20+N17</f>
        <v>16000</v>
      </c>
      <c r="O37" s="339">
        <f>+O25+O20+O17</f>
        <v>16000</v>
      </c>
      <c r="P37" s="318"/>
    </row>
    <row r="38" spans="5:16" ht="15">
      <c r="E38" s="672"/>
      <c r="J38" s="321" t="s">
        <v>46</v>
      </c>
      <c r="K38" s="237">
        <f>+K32+K33</f>
        <v>383</v>
      </c>
      <c r="L38" s="510"/>
      <c r="M38" s="510"/>
      <c r="N38" s="335">
        <f>+N32+N33</f>
        <v>463100</v>
      </c>
      <c r="O38" s="342">
        <f>+O32+O33</f>
        <v>463100</v>
      </c>
      <c r="P38" s="318"/>
    </row>
    <row r="39" spans="5:16" ht="15">
      <c r="E39" s="672"/>
      <c r="J39" s="187"/>
      <c r="K39" s="237"/>
      <c r="L39" s="323"/>
      <c r="M39" s="323"/>
      <c r="N39" s="336"/>
      <c r="O39" s="341"/>
      <c r="P39" s="324"/>
    </row>
    <row r="40" spans="5:16" ht="15">
      <c r="E40" s="672"/>
      <c r="J40" s="321" t="s">
        <v>105</v>
      </c>
      <c r="K40" s="345"/>
      <c r="L40" s="130"/>
      <c r="M40" s="130"/>
      <c r="N40" s="336">
        <f>SUM(N36:N39)</f>
        <v>2458100</v>
      </c>
      <c r="O40" s="343">
        <f>SUM(O36:O39)</f>
        <v>6126100</v>
      </c>
      <c r="P40" s="324"/>
    </row>
    <row r="41" spans="5:16" ht="12.75">
      <c r="E41" s="672"/>
      <c r="J41" s="325"/>
      <c r="K41" s="345"/>
      <c r="L41" s="130"/>
      <c r="M41" s="130"/>
      <c r="N41" s="330"/>
      <c r="O41" s="316"/>
      <c r="P41" s="324"/>
    </row>
    <row r="42" spans="5:16" ht="13.5" thickBot="1">
      <c r="E42" s="672"/>
      <c r="J42" s="326"/>
      <c r="K42" s="346"/>
      <c r="L42" s="327"/>
      <c r="M42" s="327"/>
      <c r="N42" s="331"/>
      <c r="O42" s="338"/>
      <c r="P42" s="328"/>
    </row>
    <row r="43" spans="5:16" ht="15.75" thickTop="1">
      <c r="E43" s="672"/>
      <c r="J43" s="184" t="s">
        <v>691</v>
      </c>
      <c r="K43" s="241"/>
      <c r="L43" s="199"/>
      <c r="M43" s="199"/>
      <c r="N43" s="241"/>
      <c r="O43" s="241"/>
      <c r="P43" s="242"/>
    </row>
    <row r="44" spans="5:16" ht="15.75" thickBot="1">
      <c r="E44" s="672"/>
      <c r="J44" s="312"/>
      <c r="K44" s="228"/>
      <c r="L44" s="197"/>
      <c r="M44" s="197"/>
      <c r="N44" s="228"/>
      <c r="O44" s="228"/>
      <c r="P44" s="229"/>
    </row>
    <row r="45" ht="13.5" thickTop="1">
      <c r="E45" s="672"/>
    </row>
    <row r="46" ht="12.75">
      <c r="E46" s="672"/>
    </row>
    <row r="47" ht="12.75">
      <c r="E47" s="672"/>
    </row>
  </sheetData>
  <mergeCells count="9">
    <mergeCell ref="L9:M9"/>
    <mergeCell ref="N9:O9"/>
    <mergeCell ref="P9:P11"/>
    <mergeCell ref="B4:D4"/>
    <mergeCell ref="B5:D5"/>
    <mergeCell ref="J7:P7"/>
    <mergeCell ref="J8:P8"/>
    <mergeCell ref="F4:G4"/>
    <mergeCell ref="F5:G5"/>
  </mergeCells>
  <printOptions/>
  <pageMargins left="0.5" right="0.5" top="0.75" bottom="0.5" header="0.5" footer="0.5"/>
  <pageSetup fitToHeight="1" fitToWidth="1" horizontalDpi="1200" verticalDpi="12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P294"/>
  <sheetViews>
    <sheetView zoomScale="70" zoomScaleNormal="70" workbookViewId="0" topLeftCell="A1">
      <selection activeCell="O6" sqref="O6"/>
    </sheetView>
  </sheetViews>
  <sheetFormatPr defaultColWidth="7.8515625" defaultRowHeight="12.75"/>
  <cols>
    <col min="1" max="1" width="4.140625" style="43" customWidth="1"/>
    <col min="2" max="3" width="7.8515625" style="43" customWidth="1"/>
    <col min="4" max="4" width="14.421875" style="43" customWidth="1"/>
    <col min="5" max="6" width="7.8515625" style="43" customWidth="1"/>
    <col min="7" max="7" width="5.28125" style="43" customWidth="1"/>
    <col min="8" max="8" width="4.140625" style="43" customWidth="1"/>
    <col min="9" max="9" width="25.28125" style="43" customWidth="1"/>
    <col min="10" max="15" width="15.00390625" style="43" customWidth="1"/>
    <col min="16" max="16" width="3.7109375" style="43" customWidth="1"/>
    <col min="17" max="16384" width="7.8515625" style="43" customWidth="1"/>
  </cols>
  <sheetData>
    <row r="1" spans="8:16" ht="12.75">
      <c r="H1" s="44" t="s">
        <v>65</v>
      </c>
      <c r="P1" s="44"/>
    </row>
    <row r="2" spans="8:16" ht="12.75">
      <c r="H2" s="44" t="s">
        <v>65</v>
      </c>
      <c r="P2" s="44"/>
    </row>
    <row r="3" spans="8:16" ht="12.75">
      <c r="H3" s="44" t="s">
        <v>65</v>
      </c>
      <c r="I3" s="46"/>
      <c r="K3" s="354"/>
      <c r="L3" s="354"/>
      <c r="P3" s="44"/>
    </row>
    <row r="4" spans="8:16" ht="12.75">
      <c r="H4" s="44" t="s">
        <v>65</v>
      </c>
      <c r="P4" s="44"/>
    </row>
    <row r="5" spans="1:16" ht="15">
      <c r="A5" s="44"/>
      <c r="H5" s="44" t="s">
        <v>65</v>
      </c>
      <c r="I5" s="1"/>
      <c r="J5" s="1"/>
      <c r="K5" s="1"/>
      <c r="L5" s="1"/>
      <c r="M5" s="1"/>
      <c r="N5" s="1"/>
      <c r="O5" s="9" t="str">
        <f>WN</f>
        <v>February 2009</v>
      </c>
      <c r="P5" s="44"/>
    </row>
    <row r="6" spans="1:16" ht="15.75" thickBot="1">
      <c r="A6" s="44"/>
      <c r="H6" s="44" t="s">
        <v>65</v>
      </c>
      <c r="I6" s="1"/>
      <c r="J6" s="1"/>
      <c r="K6" s="1"/>
      <c r="L6" s="1"/>
      <c r="M6" s="1"/>
      <c r="N6" s="1"/>
      <c r="O6" s="9"/>
      <c r="P6" s="44"/>
    </row>
    <row r="7" spans="1:16" ht="16.5" thickTop="1">
      <c r="A7" s="44"/>
      <c r="H7" s="44" t="s">
        <v>65</v>
      </c>
      <c r="I7" s="780" t="s">
        <v>455</v>
      </c>
      <c r="J7" s="781"/>
      <c r="K7" s="781"/>
      <c r="L7" s="781"/>
      <c r="M7" s="781"/>
      <c r="N7" s="781"/>
      <c r="O7" s="782"/>
      <c r="P7" s="44"/>
    </row>
    <row r="8" spans="1:16" ht="15.75" thickBot="1">
      <c r="A8" s="44"/>
      <c r="H8" s="44" t="s">
        <v>65</v>
      </c>
      <c r="I8" s="783" t="str">
        <f>"Fiscal Year 2008 "</f>
        <v>Fiscal Year 2008 </v>
      </c>
      <c r="J8" s="784"/>
      <c r="K8" s="784"/>
      <c r="L8" s="784"/>
      <c r="M8" s="784"/>
      <c r="N8" s="784"/>
      <c r="O8" s="785"/>
      <c r="P8" s="44"/>
    </row>
    <row r="9" spans="1:16" ht="15.75" thickTop="1">
      <c r="A9" s="44"/>
      <c r="H9" s="44" t="s">
        <v>65</v>
      </c>
      <c r="I9" s="184"/>
      <c r="J9" s="575" t="s">
        <v>423</v>
      </c>
      <c r="K9" s="786" t="s">
        <v>263</v>
      </c>
      <c r="L9" s="770"/>
      <c r="M9" s="786" t="s">
        <v>528</v>
      </c>
      <c r="N9" s="787"/>
      <c r="O9" s="777" t="s">
        <v>207</v>
      </c>
      <c r="P9" s="44"/>
    </row>
    <row r="10" spans="1:16" ht="15">
      <c r="A10" s="89"/>
      <c r="B10" s="43" t="s">
        <v>72</v>
      </c>
      <c r="F10" s="89"/>
      <c r="G10" s="89"/>
      <c r="H10" s="44" t="s">
        <v>65</v>
      </c>
      <c r="I10" s="187"/>
      <c r="J10" s="207"/>
      <c r="K10" s="72"/>
      <c r="L10" s="72"/>
      <c r="M10" s="207"/>
      <c r="N10" s="215"/>
      <c r="O10" s="778"/>
      <c r="P10" s="44"/>
    </row>
    <row r="11" spans="1:16" ht="15.75" thickBot="1">
      <c r="A11" s="44"/>
      <c r="B11" s="47" t="s">
        <v>67</v>
      </c>
      <c r="C11" s="47" t="s">
        <v>67</v>
      </c>
      <c r="D11" s="47" t="s">
        <v>67</v>
      </c>
      <c r="E11" s="47" t="s">
        <v>67</v>
      </c>
      <c r="F11" s="47" t="s">
        <v>67</v>
      </c>
      <c r="H11" s="44" t="s">
        <v>65</v>
      </c>
      <c r="I11" s="227"/>
      <c r="J11" s="293" t="str">
        <f>"FY "&amp;FY&amp;" 1/"</f>
        <v>FY  1/</v>
      </c>
      <c r="K11" s="295" t="s">
        <v>206</v>
      </c>
      <c r="L11" s="295" t="s">
        <v>683</v>
      </c>
      <c r="M11" s="296" t="s">
        <v>640</v>
      </c>
      <c r="N11" s="294" t="s">
        <v>683</v>
      </c>
      <c r="O11" s="779"/>
      <c r="P11" s="44"/>
    </row>
    <row r="12" spans="1:16" ht="15.75" thickTop="1">
      <c r="A12" s="44"/>
      <c r="H12" s="44" t="s">
        <v>65</v>
      </c>
      <c r="I12" s="184"/>
      <c r="J12" s="234"/>
      <c r="K12" s="185"/>
      <c r="L12" s="185"/>
      <c r="M12" s="206"/>
      <c r="N12" s="214"/>
      <c r="O12" s="186"/>
      <c r="P12" s="44"/>
    </row>
    <row r="13" spans="1:16" ht="15">
      <c r="A13" s="44"/>
      <c r="B13" s="43" t="s">
        <v>456</v>
      </c>
      <c r="H13" s="44" t="s">
        <v>65</v>
      </c>
      <c r="I13" s="187"/>
      <c r="J13" s="235" t="s">
        <v>78</v>
      </c>
      <c r="K13" s="72" t="s">
        <v>79</v>
      </c>
      <c r="L13" s="72" t="s">
        <v>80</v>
      </c>
      <c r="M13" s="207" t="s">
        <v>81</v>
      </c>
      <c r="N13" s="233" t="s">
        <v>82</v>
      </c>
      <c r="O13" s="226" t="s">
        <v>83</v>
      </c>
      <c r="P13" s="44"/>
    </row>
    <row r="14" spans="1:16" ht="15">
      <c r="A14" s="44"/>
      <c r="H14" s="44" t="s">
        <v>65</v>
      </c>
      <c r="I14" s="187"/>
      <c r="J14" s="236"/>
      <c r="K14" s="36"/>
      <c r="L14" s="36"/>
      <c r="M14" s="208"/>
      <c r="N14" s="216"/>
      <c r="O14" s="189"/>
      <c r="P14" s="44"/>
    </row>
    <row r="15" spans="1:16" ht="15">
      <c r="A15" s="44"/>
      <c r="B15" s="43" t="s">
        <v>457</v>
      </c>
      <c r="H15" s="44" t="s">
        <v>65</v>
      </c>
      <c r="I15" s="187" t="s">
        <v>460</v>
      </c>
      <c r="J15" s="237">
        <f>D31/K15</f>
        <v>40101.17270588235</v>
      </c>
      <c r="K15" s="201">
        <f>+Rates!F99</f>
        <v>0.34</v>
      </c>
      <c r="L15" s="201">
        <f>+Rates!G99</f>
        <v>0.35</v>
      </c>
      <c r="M15" s="253">
        <f>+K15*J15</f>
        <v>13634.398720000001</v>
      </c>
      <c r="N15" s="259">
        <f>+L15*J15</f>
        <v>14035.410447058823</v>
      </c>
      <c r="O15" s="204">
        <f>(L15-K15)/K15</f>
        <v>0.029411764705882214</v>
      </c>
      <c r="P15" s="44"/>
    </row>
    <row r="16" spans="1:16" ht="15">
      <c r="A16" s="44"/>
      <c r="B16" s="43" t="s">
        <v>458</v>
      </c>
      <c r="H16" s="44" t="s">
        <v>65</v>
      </c>
      <c r="I16" s="187"/>
      <c r="J16" s="237"/>
      <c r="K16" s="36"/>
      <c r="L16" s="36"/>
      <c r="M16" s="209"/>
      <c r="N16" s="217"/>
      <c r="O16" s="191"/>
      <c r="P16" s="44"/>
    </row>
    <row r="17" spans="1:16" ht="15.75" thickBot="1">
      <c r="A17" s="44"/>
      <c r="B17" s="43" t="s">
        <v>602</v>
      </c>
      <c r="H17" s="44" t="s">
        <v>65</v>
      </c>
      <c r="I17" s="227"/>
      <c r="J17" s="237"/>
      <c r="K17" s="38"/>
      <c r="L17" s="38"/>
      <c r="M17" s="209"/>
      <c r="N17" s="217"/>
      <c r="O17" s="191"/>
      <c r="P17" s="44"/>
    </row>
    <row r="18" spans="1:16" ht="15.75" thickTop="1">
      <c r="A18" s="44"/>
      <c r="D18" s="43" t="s">
        <v>459</v>
      </c>
      <c r="H18" s="44" t="s">
        <v>65</v>
      </c>
      <c r="I18" s="230" t="s">
        <v>463</v>
      </c>
      <c r="J18" s="199"/>
      <c r="K18" s="199"/>
      <c r="L18" s="199"/>
      <c r="M18" s="199"/>
      <c r="N18" s="199"/>
      <c r="O18" s="200"/>
      <c r="P18" s="44"/>
    </row>
    <row r="19" spans="1:16" ht="15">
      <c r="A19" s="44"/>
      <c r="B19" s="43" t="s">
        <v>424</v>
      </c>
      <c r="H19" s="44" t="s">
        <v>65</v>
      </c>
      <c r="I19" s="308" t="s">
        <v>465</v>
      </c>
      <c r="J19" s="36"/>
      <c r="K19" s="36"/>
      <c r="L19" s="36"/>
      <c r="M19" s="36"/>
      <c r="N19" s="36"/>
      <c r="O19" s="189"/>
      <c r="P19" s="50"/>
    </row>
    <row r="20" spans="1:16" ht="15">
      <c r="A20" s="44"/>
      <c r="B20" s="43" t="s">
        <v>76</v>
      </c>
      <c r="D20" s="51">
        <v>14692.24</v>
      </c>
      <c r="H20" s="44" t="s">
        <v>65</v>
      </c>
      <c r="I20" s="187" t="s">
        <v>466</v>
      </c>
      <c r="J20" s="36"/>
      <c r="K20" s="36"/>
      <c r="L20" s="36"/>
      <c r="M20" s="36"/>
      <c r="N20" s="36"/>
      <c r="O20" s="189"/>
      <c r="P20" s="44"/>
    </row>
    <row r="21" spans="1:16" ht="15">
      <c r="A21" s="44"/>
      <c r="H21" s="44" t="s">
        <v>65</v>
      </c>
      <c r="I21" s="187" t="s">
        <v>690</v>
      </c>
      <c r="J21" s="36"/>
      <c r="K21" s="36"/>
      <c r="L21" s="36"/>
      <c r="M21" s="36"/>
      <c r="N21" s="36"/>
      <c r="O21" s="189"/>
      <c r="P21" s="44"/>
    </row>
    <row r="22" spans="1:16" ht="15.75" thickBot="1">
      <c r="A22" s="44"/>
      <c r="B22" s="47" t="s">
        <v>77</v>
      </c>
      <c r="C22" s="47" t="s">
        <v>77</v>
      </c>
      <c r="D22" s="47" t="s">
        <v>77</v>
      </c>
      <c r="E22" s="47" t="s">
        <v>77</v>
      </c>
      <c r="F22" s="47" t="s">
        <v>77</v>
      </c>
      <c r="H22" s="44" t="s">
        <v>65</v>
      </c>
      <c r="I22" s="227"/>
      <c r="J22" s="197"/>
      <c r="K22" s="197"/>
      <c r="L22" s="197"/>
      <c r="M22" s="197"/>
      <c r="N22" s="197"/>
      <c r="O22" s="198"/>
      <c r="P22" s="44"/>
    </row>
    <row r="23" spans="1:16" ht="13.5" thickTop="1">
      <c r="A23" s="44"/>
      <c r="H23" s="44" t="s">
        <v>65</v>
      </c>
      <c r="P23" s="44"/>
    </row>
    <row r="24" spans="1:16" ht="12.75">
      <c r="A24" s="44"/>
      <c r="B24" s="43" t="s">
        <v>461</v>
      </c>
      <c r="H24" s="44" t="s">
        <v>65</v>
      </c>
      <c r="P24" s="44"/>
    </row>
    <row r="25" spans="1:16" ht="12.75">
      <c r="A25" s="44"/>
      <c r="H25" s="44" t="s">
        <v>65</v>
      </c>
      <c r="P25" s="44"/>
    </row>
    <row r="26" spans="1:16" ht="12.75">
      <c r="A26" s="44"/>
      <c r="B26" s="43" t="s">
        <v>462</v>
      </c>
      <c r="D26" s="52">
        <v>0.928</v>
      </c>
      <c r="H26" s="44" t="s">
        <v>65</v>
      </c>
      <c r="P26" s="44"/>
    </row>
    <row r="27" spans="1:16" ht="12.75">
      <c r="A27" s="44"/>
      <c r="H27" s="44" t="s">
        <v>65</v>
      </c>
      <c r="P27" s="44"/>
    </row>
    <row r="28" spans="1:16" ht="12.75">
      <c r="A28" s="44"/>
      <c r="H28" s="44" t="s">
        <v>65</v>
      </c>
      <c r="P28" s="44"/>
    </row>
    <row r="29" spans="1:16" ht="12.75">
      <c r="A29" s="44"/>
      <c r="B29" s="43" t="s">
        <v>464</v>
      </c>
      <c r="H29" s="44" t="s">
        <v>65</v>
      </c>
      <c r="P29" s="44"/>
    </row>
    <row r="30" spans="1:16" ht="12.75">
      <c r="A30" s="44"/>
      <c r="H30" s="44" t="s">
        <v>65</v>
      </c>
      <c r="P30" s="44"/>
    </row>
    <row r="31" spans="1:16" ht="12.75">
      <c r="A31" s="44"/>
      <c r="B31" s="43" t="s">
        <v>467</v>
      </c>
      <c r="D31" s="101">
        <f>D20*D26</f>
        <v>13634.398720000001</v>
      </c>
      <c r="H31" s="44" t="s">
        <v>65</v>
      </c>
      <c r="P31" s="44"/>
    </row>
    <row r="32" spans="1:16" ht="12.75">
      <c r="A32" s="44"/>
      <c r="H32" s="44" t="s">
        <v>65</v>
      </c>
      <c r="P32" s="44"/>
    </row>
    <row r="33" spans="1:16" ht="12.75">
      <c r="A33" s="44"/>
      <c r="D33" s="101">
        <f>+D20-D31</f>
        <v>1057.8412799999987</v>
      </c>
      <c r="H33" s="44" t="s">
        <v>65</v>
      </c>
      <c r="P33" s="44"/>
    </row>
    <row r="34" spans="1:16" ht="12.75">
      <c r="A34" s="44"/>
      <c r="H34" s="44" t="s">
        <v>65</v>
      </c>
      <c r="P34" s="44"/>
    </row>
    <row r="35" spans="1:16" ht="12.75">
      <c r="A35" s="44"/>
      <c r="H35" s="44" t="s">
        <v>65</v>
      </c>
      <c r="P35" s="44"/>
    </row>
    <row r="36" spans="1:8" ht="12.75">
      <c r="A36" s="44"/>
      <c r="H36" s="44" t="s">
        <v>65</v>
      </c>
    </row>
    <row r="37" spans="1:8" ht="12.75">
      <c r="A37" s="44"/>
      <c r="H37" s="44" t="s">
        <v>65</v>
      </c>
    </row>
    <row r="38" spans="1:8" ht="12.75">
      <c r="A38" s="44"/>
      <c r="H38" s="44" t="s">
        <v>65</v>
      </c>
    </row>
    <row r="39" spans="1:8" ht="12.75">
      <c r="A39" s="44"/>
      <c r="H39" s="44" t="s">
        <v>65</v>
      </c>
    </row>
    <row r="40" spans="1:8" ht="12.75">
      <c r="A40" s="44"/>
      <c r="H40" s="44" t="s">
        <v>65</v>
      </c>
    </row>
    <row r="41" ht="12.75">
      <c r="A41" s="44"/>
    </row>
    <row r="42" ht="12.75">
      <c r="A42" s="44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292" ht="12.75">
      <c r="B292" s="87"/>
    </row>
    <row r="293" spans="1:2" ht="12.75">
      <c r="A293" s="86"/>
      <c r="B293" s="87"/>
    </row>
    <row r="294" ht="12.75">
      <c r="B294" s="87"/>
    </row>
  </sheetData>
  <mergeCells count="5">
    <mergeCell ref="I7:O7"/>
    <mergeCell ref="I8:O8"/>
    <mergeCell ref="K9:L9"/>
    <mergeCell ref="M9:N9"/>
    <mergeCell ref="O9:O11"/>
  </mergeCells>
  <printOptions horizont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3:N44"/>
  <sheetViews>
    <sheetView zoomScale="70" zoomScaleNormal="70" workbookViewId="0" topLeftCell="D1">
      <selection activeCell="M6" sqref="M6"/>
    </sheetView>
  </sheetViews>
  <sheetFormatPr defaultColWidth="9.140625" defaultRowHeight="12.75"/>
  <cols>
    <col min="1" max="1" width="9.140625" style="1" customWidth="1"/>
    <col min="2" max="2" width="42.00390625" style="1" customWidth="1"/>
    <col min="3" max="3" width="15.00390625" style="36" customWidth="1"/>
    <col min="4" max="4" width="15.140625" style="36" customWidth="1"/>
    <col min="5" max="5" width="9.140625" style="36" customWidth="1"/>
    <col min="6" max="6" width="6.7109375" style="1" customWidth="1"/>
    <col min="7" max="7" width="39.28125" style="1" customWidth="1"/>
    <col min="8" max="13" width="15.57421875" style="1" customWidth="1"/>
    <col min="14" max="14" width="3.28125" style="1" customWidth="1"/>
    <col min="15" max="16384" width="9.140625" style="1" customWidth="1"/>
  </cols>
  <sheetData>
    <row r="3" spans="3:4" ht="15">
      <c r="C3" s="1"/>
      <c r="D3" s="9" t="s">
        <v>468</v>
      </c>
    </row>
    <row r="4" spans="2:10" ht="18">
      <c r="B4" s="771" t="s">
        <v>31</v>
      </c>
      <c r="C4" s="771"/>
      <c r="D4" s="771"/>
      <c r="E4" s="54"/>
      <c r="I4" s="20"/>
      <c r="J4" s="20"/>
    </row>
    <row r="5" spans="2:13" ht="15.75">
      <c r="B5" s="772" t="s">
        <v>700</v>
      </c>
      <c r="C5" s="772"/>
      <c r="D5" s="772"/>
      <c r="E5" s="54"/>
      <c r="M5" s="1" t="str">
        <f>WN</f>
        <v>February 2009</v>
      </c>
    </row>
    <row r="6" spans="3:4" ht="15.75" thickBot="1">
      <c r="C6" s="1"/>
      <c r="D6" s="1"/>
    </row>
    <row r="7" spans="3:13" ht="16.5" thickTop="1">
      <c r="C7" s="34" t="s">
        <v>423</v>
      </c>
      <c r="D7" s="42" t="s">
        <v>237</v>
      </c>
      <c r="G7" s="780" t="s">
        <v>31</v>
      </c>
      <c r="H7" s="781"/>
      <c r="I7" s="781"/>
      <c r="J7" s="781"/>
      <c r="K7" s="781"/>
      <c r="L7" s="781"/>
      <c r="M7" s="782"/>
    </row>
    <row r="8" spans="3:13" ht="15.75" thickBot="1">
      <c r="C8" s="1"/>
      <c r="D8" s="1"/>
      <c r="E8" s="81"/>
      <c r="G8" s="783" t="str">
        <f>"Fiscal Year 2008 "</f>
        <v>Fiscal Year 2008 </v>
      </c>
      <c r="H8" s="784"/>
      <c r="I8" s="784"/>
      <c r="J8" s="784"/>
      <c r="K8" s="784"/>
      <c r="L8" s="784"/>
      <c r="M8" s="785"/>
    </row>
    <row r="9" spans="2:13" ht="15.75" thickTop="1">
      <c r="B9" s="1" t="s">
        <v>163</v>
      </c>
      <c r="C9" s="1"/>
      <c r="D9" s="1"/>
      <c r="G9" s="184"/>
      <c r="H9" s="575" t="s">
        <v>423</v>
      </c>
      <c r="I9" s="786" t="s">
        <v>234</v>
      </c>
      <c r="J9" s="770"/>
      <c r="K9" s="786" t="s">
        <v>528</v>
      </c>
      <c r="L9" s="787"/>
      <c r="M9" s="777" t="s">
        <v>209</v>
      </c>
    </row>
    <row r="10" spans="2:13" ht="15">
      <c r="B10" s="1" t="s">
        <v>164</v>
      </c>
      <c r="C10" s="16">
        <v>19530855</v>
      </c>
      <c r="D10" s="16">
        <v>14648141</v>
      </c>
      <c r="G10" s="187"/>
      <c r="H10" s="207"/>
      <c r="I10" s="72"/>
      <c r="J10" s="72"/>
      <c r="K10" s="207"/>
      <c r="L10" s="215"/>
      <c r="M10" s="778"/>
    </row>
    <row r="11" spans="2:13" ht="15.75" customHeight="1" thickBot="1">
      <c r="B11" s="1" t="s">
        <v>165</v>
      </c>
      <c r="C11" s="100">
        <v>32600311</v>
      </c>
      <c r="D11" s="100">
        <v>5868056</v>
      </c>
      <c r="G11" s="227"/>
      <c r="H11" s="293" t="str">
        <f>"FY "&amp;FY</f>
        <v>FY </v>
      </c>
      <c r="I11" s="295" t="s">
        <v>206</v>
      </c>
      <c r="J11" s="295" t="s">
        <v>683</v>
      </c>
      <c r="K11" s="296" t="s">
        <v>640</v>
      </c>
      <c r="L11" s="294" t="s">
        <v>683</v>
      </c>
      <c r="M11" s="779"/>
    </row>
    <row r="12" spans="2:13" ht="15.75" thickTop="1">
      <c r="B12" s="1" t="s">
        <v>166</v>
      </c>
      <c r="C12" s="16">
        <v>52131166</v>
      </c>
      <c r="D12" s="16">
        <v>20516197</v>
      </c>
      <c r="G12" s="184"/>
      <c r="H12" s="368" t="s">
        <v>78</v>
      </c>
      <c r="I12" s="356" t="s">
        <v>79</v>
      </c>
      <c r="J12" s="356" t="s">
        <v>80</v>
      </c>
      <c r="K12" s="365" t="s">
        <v>81</v>
      </c>
      <c r="L12" s="366" t="s">
        <v>82</v>
      </c>
      <c r="M12" s="357" t="s">
        <v>83</v>
      </c>
    </row>
    <row r="13" spans="3:14" ht="15">
      <c r="C13" s="16"/>
      <c r="D13" s="16"/>
      <c r="G13" s="187" t="s">
        <v>163</v>
      </c>
      <c r="H13" s="236"/>
      <c r="I13" s="36"/>
      <c r="J13" s="307"/>
      <c r="K13" s="208"/>
      <c r="L13" s="216"/>
      <c r="M13" s="189"/>
      <c r="N13" s="10"/>
    </row>
    <row r="14" spans="2:13" ht="15">
      <c r="B14" s="1" t="s">
        <v>7</v>
      </c>
      <c r="C14" s="16"/>
      <c r="D14" s="16"/>
      <c r="G14" s="187" t="s">
        <v>164</v>
      </c>
      <c r="H14" s="369">
        <f>+C10</f>
        <v>19530855</v>
      </c>
      <c r="I14" s="358">
        <f>+Rates!F102</f>
        <v>0.75</v>
      </c>
      <c r="J14" s="358">
        <f>+Rates!G102</f>
        <v>0.8</v>
      </c>
      <c r="K14" s="253">
        <f>+I14*H14</f>
        <v>14648141.25</v>
      </c>
      <c r="L14" s="259">
        <f>+J14*H14</f>
        <v>15624684</v>
      </c>
      <c r="M14" s="359">
        <f>+(J14-I14)/I14</f>
        <v>0.06666666666666672</v>
      </c>
    </row>
    <row r="15" spans="2:13" ht="15">
      <c r="B15" s="1" t="s">
        <v>670</v>
      </c>
      <c r="C15" s="16">
        <v>78897981</v>
      </c>
      <c r="D15" s="16">
        <v>51283687</v>
      </c>
      <c r="G15" s="187" t="s">
        <v>165</v>
      </c>
      <c r="H15" s="370">
        <f>+C11</f>
        <v>32600311</v>
      </c>
      <c r="I15" s="358">
        <f>+Rates!F103</f>
        <v>0.18</v>
      </c>
      <c r="J15" s="358">
        <f>+Rates!G103</f>
        <v>0.19</v>
      </c>
      <c r="K15" s="253">
        <f>+I15*H15</f>
        <v>5868055.9799999995</v>
      </c>
      <c r="L15" s="259">
        <f>+J15*H15</f>
        <v>6194059.09</v>
      </c>
      <c r="M15" s="359">
        <f>+(J15-I15)/I15</f>
        <v>0.05555555555555561</v>
      </c>
    </row>
    <row r="16" spans="2:13" ht="15">
      <c r="B16" s="1" t="s">
        <v>669</v>
      </c>
      <c r="C16" s="100">
        <v>235223981</v>
      </c>
      <c r="D16" s="100">
        <v>0</v>
      </c>
      <c r="G16" s="187" t="s">
        <v>166</v>
      </c>
      <c r="H16" s="369">
        <f>+H14+H15</f>
        <v>52131166</v>
      </c>
      <c r="I16" s="360"/>
      <c r="J16" s="360"/>
      <c r="K16" s="253">
        <f>+K14+K15</f>
        <v>20516197.23</v>
      </c>
      <c r="L16" s="259">
        <f>+L14+L15</f>
        <v>21818743.09</v>
      </c>
      <c r="M16" s="205"/>
    </row>
    <row r="17" spans="2:13" ht="15">
      <c r="B17" s="1" t="s">
        <v>167</v>
      </c>
      <c r="C17" s="16">
        <v>314121962</v>
      </c>
      <c r="D17" s="16">
        <v>51283687</v>
      </c>
      <c r="G17" s="187"/>
      <c r="H17" s="369"/>
      <c r="I17" s="360"/>
      <c r="J17" s="360"/>
      <c r="K17" s="253"/>
      <c r="L17" s="259"/>
      <c r="M17" s="205"/>
    </row>
    <row r="18" spans="3:13" ht="15">
      <c r="C18" s="16"/>
      <c r="D18" s="16"/>
      <c r="G18" s="187" t="s">
        <v>7</v>
      </c>
      <c r="H18" s="236"/>
      <c r="I18" s="360"/>
      <c r="J18" s="360"/>
      <c r="K18" s="253"/>
      <c r="L18" s="259"/>
      <c r="M18" s="205"/>
    </row>
    <row r="19" spans="2:13" ht="15">
      <c r="B19" s="1" t="s">
        <v>168</v>
      </c>
      <c r="C19" s="16">
        <v>95739448</v>
      </c>
      <c r="D19" s="16">
        <v>17233101</v>
      </c>
      <c r="G19" s="187" t="s">
        <v>670</v>
      </c>
      <c r="H19" s="371">
        <f>+C15</f>
        <v>78897981</v>
      </c>
      <c r="I19" s="358">
        <f>+Rates!F104</f>
        <v>0.65</v>
      </c>
      <c r="J19" s="358">
        <f>+Rates!G104</f>
        <v>0.7</v>
      </c>
      <c r="K19" s="253">
        <f>+I19*H19</f>
        <v>51283687.65</v>
      </c>
      <c r="L19" s="259">
        <f>+J19*H19</f>
        <v>55228586.699999996</v>
      </c>
      <c r="M19" s="359">
        <f>+(J19-I19)/I19</f>
        <v>0.07692307692307682</v>
      </c>
    </row>
    <row r="20" spans="3:13" ht="15">
      <c r="C20" s="16"/>
      <c r="D20" s="16"/>
      <c r="G20" s="187" t="s">
        <v>669</v>
      </c>
      <c r="H20" s="372">
        <f>+C16</f>
        <v>235223981</v>
      </c>
      <c r="I20" s="358">
        <f>+Rates!F105</f>
        <v>0</v>
      </c>
      <c r="J20" s="358">
        <f>+Rates!G105</f>
        <v>0</v>
      </c>
      <c r="K20" s="253">
        <f>+I20*H20</f>
        <v>0</v>
      </c>
      <c r="L20" s="259">
        <f>+J20*H20</f>
        <v>0</v>
      </c>
      <c r="M20" s="205"/>
    </row>
    <row r="21" spans="2:13" ht="15">
      <c r="B21" s="1" t="s">
        <v>109</v>
      </c>
      <c r="C21" s="16"/>
      <c r="D21" s="16"/>
      <c r="G21" s="187" t="s">
        <v>167</v>
      </c>
      <c r="H21" s="371">
        <f>H19+H20</f>
        <v>314121962</v>
      </c>
      <c r="I21" s="360"/>
      <c r="J21" s="360"/>
      <c r="K21" s="375">
        <f>K19+K20</f>
        <v>51283687.65</v>
      </c>
      <c r="L21" s="376">
        <f>L19+L20</f>
        <v>55228586.699999996</v>
      </c>
      <c r="M21" s="205"/>
    </row>
    <row r="22" spans="2:13" ht="15">
      <c r="B22" s="1" t="s">
        <v>169</v>
      </c>
      <c r="C22" s="16">
        <v>227041369</v>
      </c>
      <c r="D22" s="16">
        <v>0</v>
      </c>
      <c r="G22" s="187"/>
      <c r="H22" s="236"/>
      <c r="I22" s="360"/>
      <c r="J22" s="360"/>
      <c r="K22" s="253"/>
      <c r="L22" s="259"/>
      <c r="M22" s="205"/>
    </row>
    <row r="23" spans="2:13" ht="15">
      <c r="B23" s="1" t="s">
        <v>170</v>
      </c>
      <c r="C23" s="16">
        <v>15756494</v>
      </c>
      <c r="D23" s="16">
        <v>11817371</v>
      </c>
      <c r="G23" s="187" t="s">
        <v>168</v>
      </c>
      <c r="H23" s="369">
        <f>+C19</f>
        <v>95739448</v>
      </c>
      <c r="I23" s="358">
        <f>+I15</f>
        <v>0.18</v>
      </c>
      <c r="J23" s="360">
        <f>J15</f>
        <v>0.19</v>
      </c>
      <c r="K23" s="253">
        <f>+I23*H23</f>
        <v>17233100.64</v>
      </c>
      <c r="L23" s="259">
        <f>+J23*H23</f>
        <v>18190495.12</v>
      </c>
      <c r="M23" s="359">
        <f>+(J23-I23)/I23</f>
        <v>0.05555555555555561</v>
      </c>
    </row>
    <row r="24" spans="2:13" ht="15">
      <c r="B24" s="1" t="s">
        <v>171</v>
      </c>
      <c r="C24" s="100">
        <v>255983659</v>
      </c>
      <c r="D24" s="100">
        <v>46077059</v>
      </c>
      <c r="G24" s="187"/>
      <c r="H24" s="369"/>
      <c r="I24" s="358"/>
      <c r="J24" s="360"/>
      <c r="K24" s="253"/>
      <c r="L24" s="259"/>
      <c r="M24" s="359"/>
    </row>
    <row r="25" spans="2:13" ht="15">
      <c r="B25" s="1" t="s">
        <v>213</v>
      </c>
      <c r="C25" s="100">
        <v>498781522</v>
      </c>
      <c r="D25" s="100">
        <v>57894430</v>
      </c>
      <c r="G25" s="187" t="s">
        <v>109</v>
      </c>
      <c r="H25" s="369"/>
      <c r="I25" s="358"/>
      <c r="J25" s="360"/>
      <c r="K25" s="253"/>
      <c r="L25" s="259"/>
      <c r="M25" s="359"/>
    </row>
    <row r="26" spans="3:13" ht="15">
      <c r="C26" s="93"/>
      <c r="D26" s="181"/>
      <c r="G26" s="187" t="s">
        <v>169</v>
      </c>
      <c r="H26" s="373">
        <f>+C22</f>
        <v>227041369</v>
      </c>
      <c r="I26" s="358">
        <f>+I20</f>
        <v>0</v>
      </c>
      <c r="J26" s="358">
        <f>+J20</f>
        <v>0</v>
      </c>
      <c r="K26" s="253">
        <f>+I26*H26</f>
        <v>0</v>
      </c>
      <c r="L26" s="259">
        <f>+J26*H26</f>
        <v>0</v>
      </c>
      <c r="M26" s="359">
        <v>0</v>
      </c>
    </row>
    <row r="27" spans="2:13" ht="15">
      <c r="B27" s="1" t="s">
        <v>264</v>
      </c>
      <c r="C27" s="93">
        <v>960774098</v>
      </c>
      <c r="D27" s="93">
        <v>146927415</v>
      </c>
      <c r="G27" s="187" t="s">
        <v>170</v>
      </c>
      <c r="H27" s="371">
        <f>+C23</f>
        <v>15756494</v>
      </c>
      <c r="I27" s="358">
        <f>+I14</f>
        <v>0.75</v>
      </c>
      <c r="J27" s="360">
        <f>J14</f>
        <v>0.8</v>
      </c>
      <c r="K27" s="253">
        <f>+I27*H27</f>
        <v>11817370.5</v>
      </c>
      <c r="L27" s="259">
        <f>+J27*H27</f>
        <v>12605195.200000001</v>
      </c>
      <c r="M27" s="359">
        <f>+(J27-I27)/I27</f>
        <v>0.06666666666666672</v>
      </c>
    </row>
    <row r="28" spans="3:13" ht="15">
      <c r="C28" s="16"/>
      <c r="D28" s="16"/>
      <c r="G28" s="187" t="s">
        <v>171</v>
      </c>
      <c r="H28" s="372">
        <f>+C24</f>
        <v>255983659</v>
      </c>
      <c r="I28" s="358">
        <f>+I15</f>
        <v>0.18</v>
      </c>
      <c r="J28" s="360">
        <f>J15</f>
        <v>0.19</v>
      </c>
      <c r="K28" s="253">
        <f>+I28*H28</f>
        <v>46077058.62</v>
      </c>
      <c r="L28" s="259">
        <f>+J28*H28</f>
        <v>48636895.21</v>
      </c>
      <c r="M28" s="359">
        <f>+(J28-I28)/I28</f>
        <v>0.05555555555555561</v>
      </c>
    </row>
    <row r="29" spans="2:13" ht="15">
      <c r="B29" s="1" t="s">
        <v>574</v>
      </c>
      <c r="C29" s="100">
        <v>11496908</v>
      </c>
      <c r="D29" s="355" t="s">
        <v>750</v>
      </c>
      <c r="G29" s="187" t="s">
        <v>213</v>
      </c>
      <c r="H29" s="374">
        <f>H28+H27</f>
        <v>271740153</v>
      </c>
      <c r="I29" s="307"/>
      <c r="J29" s="193"/>
      <c r="K29" s="377">
        <f>+K28+K27</f>
        <v>57894429.12</v>
      </c>
      <c r="L29" s="378">
        <f>+L28+L27</f>
        <v>61242090.410000004</v>
      </c>
      <c r="M29" s="362"/>
    </row>
    <row r="30" spans="2:13" ht="15">
      <c r="B30" s="1" t="s">
        <v>91</v>
      </c>
      <c r="C30" s="16"/>
      <c r="D30" s="16"/>
      <c r="G30" s="187"/>
      <c r="H30" s="236"/>
      <c r="I30" s="307"/>
      <c r="J30" s="307"/>
      <c r="K30" s="253"/>
      <c r="L30" s="259"/>
      <c r="M30" s="189"/>
    </row>
    <row r="31" spans="2:13" ht="15">
      <c r="B31" s="1" t="s">
        <v>265</v>
      </c>
      <c r="C31" s="16">
        <v>972271006</v>
      </c>
      <c r="D31" s="16">
        <v>146927415</v>
      </c>
      <c r="G31" s="187" t="s">
        <v>118</v>
      </c>
      <c r="H31" s="269">
        <f>H16+H21+H23+H29+H26</f>
        <v>960774098</v>
      </c>
      <c r="I31" s="36"/>
      <c r="J31" s="36"/>
      <c r="K31" s="253">
        <f>K16+K21+K23+K29+K26</f>
        <v>146927414.64</v>
      </c>
      <c r="L31" s="259">
        <f>L16+L21+L23+L29+L26</f>
        <v>156479915.32</v>
      </c>
      <c r="M31" s="362"/>
    </row>
    <row r="32" spans="7:13" ht="15">
      <c r="G32" s="187"/>
      <c r="H32" s="269"/>
      <c r="I32" s="36"/>
      <c r="J32" s="36"/>
      <c r="K32" s="212"/>
      <c r="L32" s="219"/>
      <c r="M32" s="362"/>
    </row>
    <row r="33" spans="7:13" ht="15.75" thickBot="1">
      <c r="G33" s="227"/>
      <c r="H33" s="270"/>
      <c r="I33" s="197"/>
      <c r="J33" s="197"/>
      <c r="K33" s="223"/>
      <c r="L33" s="220"/>
      <c r="M33" s="198"/>
    </row>
    <row r="34" spans="7:13" ht="15.75" thickTop="1">
      <c r="G34" s="230" t="s">
        <v>691</v>
      </c>
      <c r="H34" s="199"/>
      <c r="I34" s="199"/>
      <c r="J34" s="199"/>
      <c r="K34" s="199"/>
      <c r="L34" s="199"/>
      <c r="M34" s="200"/>
    </row>
    <row r="35" spans="7:13" ht="15.75" thickBot="1">
      <c r="G35" s="364"/>
      <c r="H35" s="197"/>
      <c r="I35" s="197"/>
      <c r="J35" s="197"/>
      <c r="K35" s="197"/>
      <c r="L35" s="197"/>
      <c r="M35" s="198"/>
    </row>
    <row r="36" spans="7:8" ht="15.75" thickTop="1">
      <c r="G36" s="110"/>
      <c r="H36" s="104"/>
    </row>
    <row r="37" spans="7:8" ht="15">
      <c r="G37" s="110"/>
      <c r="H37" s="104"/>
    </row>
    <row r="41" ht="15">
      <c r="G41" s="10"/>
    </row>
    <row r="42" spans="7:14" ht="15">
      <c r="G42" s="104"/>
      <c r="H42" s="104"/>
      <c r="I42" s="104"/>
      <c r="J42" s="104"/>
      <c r="K42" s="104"/>
      <c r="L42" s="104"/>
      <c r="N42" s="1" t="s">
        <v>480</v>
      </c>
    </row>
    <row r="43" ht="15">
      <c r="G43" s="78"/>
    </row>
    <row r="44" ht="15">
      <c r="G44" s="16"/>
    </row>
  </sheetData>
  <mergeCells count="7">
    <mergeCell ref="I9:J9"/>
    <mergeCell ref="K9:L9"/>
    <mergeCell ref="M9:M11"/>
    <mergeCell ref="B4:D4"/>
    <mergeCell ref="B5:D5"/>
    <mergeCell ref="G7:M7"/>
    <mergeCell ref="G8:M8"/>
  </mergeCells>
  <printOptions horizontalCentered="1"/>
  <pageMargins left="0.25" right="0.25" top="0.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D13" sqref="D12:D13"/>
    </sheetView>
  </sheetViews>
  <sheetFormatPr defaultColWidth="9.140625" defaultRowHeight="12.75"/>
  <cols>
    <col min="2" max="2" width="32.8515625" style="0" bestFit="1" customWidth="1"/>
    <col min="3" max="3" width="15.421875" style="0" bestFit="1" customWidth="1"/>
    <col min="4" max="4" width="21.00390625" style="0" customWidth="1"/>
    <col min="5" max="5" width="4.140625" style="0" customWidth="1"/>
    <col min="6" max="6" width="34.8515625" style="131" customWidth="1"/>
    <col min="7" max="7" width="10.57421875" style="132" bestFit="1" customWidth="1"/>
    <col min="8" max="8" width="11.57421875" style="132" bestFit="1" customWidth="1"/>
    <col min="9" max="9" width="16.8515625" style="132" bestFit="1" customWidth="1"/>
  </cols>
  <sheetData>
    <row r="1" ht="13.5" thickBot="1"/>
    <row r="2" spans="5:10" ht="16.5" thickTop="1">
      <c r="E2" s="656" t="s">
        <v>6</v>
      </c>
      <c r="F2" s="657"/>
      <c r="G2" s="658"/>
      <c r="H2" s="658"/>
      <c r="I2" s="658"/>
      <c r="J2" s="538"/>
    </row>
    <row r="3" spans="2:10" ht="15">
      <c r="B3" s="18"/>
      <c r="C3" s="689"/>
      <c r="E3" s="511" t="s">
        <v>639</v>
      </c>
      <c r="F3" s="653"/>
      <c r="G3" s="659" t="s">
        <v>686</v>
      </c>
      <c r="H3" s="659" t="s">
        <v>687</v>
      </c>
      <c r="I3" s="659" t="s">
        <v>144</v>
      </c>
      <c r="J3" s="324"/>
    </row>
    <row r="4" spans="2:10" ht="12.75">
      <c r="B4" s="18"/>
      <c r="C4" s="689"/>
      <c r="E4" s="325" t="s">
        <v>29</v>
      </c>
      <c r="F4" s="660"/>
      <c r="G4" s="661"/>
      <c r="H4" s="661"/>
      <c r="I4" s="661"/>
      <c r="J4" s="324"/>
    </row>
    <row r="5" spans="2:10" ht="15">
      <c r="B5" s="18"/>
      <c r="C5" s="689"/>
      <c r="E5" s="325"/>
      <c r="F5" s="103" t="s">
        <v>195</v>
      </c>
      <c r="G5" s="661"/>
      <c r="H5" s="661"/>
      <c r="I5" s="661"/>
      <c r="J5" s="324"/>
    </row>
    <row r="6" spans="2:10" ht="15.75" thickBot="1">
      <c r="B6" s="18"/>
      <c r="C6" s="690"/>
      <c r="E6" s="325"/>
      <c r="F6" s="103" t="s">
        <v>196</v>
      </c>
      <c r="G6" s="661">
        <v>160</v>
      </c>
      <c r="H6" s="661">
        <v>175</v>
      </c>
      <c r="I6" s="667">
        <f>+G6*$C$16+H6*$C$17</f>
        <v>165.8112582781457</v>
      </c>
      <c r="J6" s="324"/>
    </row>
    <row r="7" spans="1:10" ht="15.75" thickBot="1">
      <c r="A7" t="s">
        <v>637</v>
      </c>
      <c r="B7" s="18" t="s">
        <v>699</v>
      </c>
      <c r="C7" s="721" t="s">
        <v>730</v>
      </c>
      <c r="E7" s="325"/>
      <c r="F7" s="103" t="s">
        <v>197</v>
      </c>
      <c r="G7" s="661">
        <v>500</v>
      </c>
      <c r="H7" s="661">
        <v>550</v>
      </c>
      <c r="I7" s="667">
        <f>+G7*$C$16+H7*$C$17</f>
        <v>519.3708609271523</v>
      </c>
      <c r="J7" s="324"/>
    </row>
    <row r="8" spans="2:10" ht="15">
      <c r="B8" s="18"/>
      <c r="C8" s="689"/>
      <c r="E8" s="325"/>
      <c r="F8" s="103" t="s">
        <v>198</v>
      </c>
      <c r="G8" s="661">
        <v>1900</v>
      </c>
      <c r="H8" s="661">
        <v>1800</v>
      </c>
      <c r="I8" s="667">
        <f>+G8*$C$16+H8*$C$17</f>
        <v>1861.2582781456954</v>
      </c>
      <c r="J8" s="324"/>
    </row>
    <row r="9" spans="2:10" ht="15">
      <c r="B9" s="18"/>
      <c r="C9" s="689"/>
      <c r="E9" s="325"/>
      <c r="F9" s="103" t="s">
        <v>199</v>
      </c>
      <c r="G9" s="661">
        <v>790</v>
      </c>
      <c r="H9" s="661">
        <v>900</v>
      </c>
      <c r="I9" s="667">
        <f>+G9*$C$16+H9*$C$17</f>
        <v>832.615894039735</v>
      </c>
      <c r="J9" s="324"/>
    </row>
    <row r="10" spans="5:10" ht="15">
      <c r="E10" s="325" t="s">
        <v>203</v>
      </c>
      <c r="F10" s="660"/>
      <c r="G10" s="661"/>
      <c r="H10" s="661"/>
      <c r="I10" s="659"/>
      <c r="J10" s="324"/>
    </row>
    <row r="11" spans="2:10" ht="15.75" thickBot="1">
      <c r="B11" s="561"/>
      <c r="E11" s="326"/>
      <c r="F11" s="662" t="s">
        <v>66</v>
      </c>
      <c r="G11" s="663">
        <v>0.28</v>
      </c>
      <c r="H11" s="663">
        <v>0.32</v>
      </c>
      <c r="I11" s="664">
        <f>+G11*$C$16+H11*$C$17</f>
        <v>0.29549668874172186</v>
      </c>
      <c r="J11" s="328"/>
    </row>
    <row r="12" ht="13.5" thickTop="1">
      <c r="B12" s="561"/>
    </row>
    <row r="13" ht="12.75">
      <c r="B13" s="561"/>
    </row>
    <row r="14" ht="12.75">
      <c r="B14" s="561"/>
    </row>
    <row r="15" ht="13.5" thickBot="1"/>
    <row r="16" spans="2:3" ht="12.75">
      <c r="B16" s="561" t="s">
        <v>684</v>
      </c>
      <c r="C16" s="665">
        <v>0.612582781456954</v>
      </c>
    </row>
    <row r="17" spans="2:3" ht="13.5" thickBot="1">
      <c r="B17" s="561" t="s">
        <v>685</v>
      </c>
      <c r="C17" s="666">
        <f>1-C16</f>
        <v>0.387417218543046</v>
      </c>
    </row>
    <row r="20" spans="2:3" ht="12.75">
      <c r="B20" s="707"/>
      <c r="C20" s="18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L47"/>
  <sheetViews>
    <sheetView zoomScale="75" zoomScaleNormal="75" workbookViewId="0" topLeftCell="D1">
      <selection activeCell="F5" sqref="F5:L20"/>
    </sheetView>
  </sheetViews>
  <sheetFormatPr defaultColWidth="12.57421875" defaultRowHeight="12.75"/>
  <cols>
    <col min="1" max="1" width="10.7109375" style="1" customWidth="1"/>
    <col min="2" max="2" width="48.421875" style="1" customWidth="1"/>
    <col min="3" max="3" width="20.57421875" style="1" customWidth="1"/>
    <col min="4" max="5" width="4.8515625" style="1" customWidth="1"/>
    <col min="6" max="6" width="16.7109375" style="1" customWidth="1"/>
    <col min="7" max="9" width="20.00390625" style="1" customWidth="1"/>
    <col min="10" max="12" width="15.7109375" style="1" customWidth="1"/>
    <col min="13" max="16384" width="12.57421875" style="1" customWidth="1"/>
  </cols>
  <sheetData>
    <row r="1" ht="15">
      <c r="E1" s="2"/>
    </row>
    <row r="2" ht="15">
      <c r="E2" s="2"/>
    </row>
    <row r="3" spans="3:6" ht="15">
      <c r="C3" s="9" t="s">
        <v>484</v>
      </c>
      <c r="E3" s="2"/>
      <c r="F3" s="24"/>
    </row>
    <row r="4" spans="2:6" ht="18">
      <c r="B4" s="771" t="s">
        <v>266</v>
      </c>
      <c r="C4" s="771"/>
      <c r="E4" s="2"/>
      <c r="F4" s="25"/>
    </row>
    <row r="5" spans="1:12" ht="15.75">
      <c r="A5" s="90"/>
      <c r="B5" s="772" t="s">
        <v>700</v>
      </c>
      <c r="C5" s="772"/>
      <c r="D5" s="90"/>
      <c r="E5" s="2"/>
      <c r="L5" s="1" t="str">
        <f>WN</f>
        <v>February 2009</v>
      </c>
    </row>
    <row r="6" spans="4:5" ht="15.75" thickBot="1">
      <c r="D6" s="2"/>
      <c r="E6" s="2"/>
    </row>
    <row r="7" spans="2:12" ht="16.5" thickTop="1">
      <c r="B7" s="1" t="s">
        <v>267</v>
      </c>
      <c r="C7" s="33">
        <v>8487289.57</v>
      </c>
      <c r="D7" s="2"/>
      <c r="E7" s="2"/>
      <c r="F7" s="780" t="s">
        <v>655</v>
      </c>
      <c r="G7" s="781"/>
      <c r="H7" s="781"/>
      <c r="I7" s="781"/>
      <c r="J7" s="781"/>
      <c r="K7" s="781"/>
      <c r="L7" s="782"/>
    </row>
    <row r="8" spans="4:12" ht="15.75" thickBot="1">
      <c r="D8" s="2"/>
      <c r="E8" s="2"/>
      <c r="F8" s="783" t="str">
        <f>"Fiscal Year 2008 "</f>
        <v>Fiscal Year 2008 </v>
      </c>
      <c r="G8" s="784"/>
      <c r="H8" s="784"/>
      <c r="I8" s="784"/>
      <c r="J8" s="784"/>
      <c r="K8" s="784"/>
      <c r="L8" s="785"/>
    </row>
    <row r="9" spans="2:12" ht="15.75" thickTop="1">
      <c r="B9" s="1" t="s">
        <v>268</v>
      </c>
      <c r="C9" s="5">
        <v>47967.078175108094</v>
      </c>
      <c r="D9" s="2"/>
      <c r="E9" s="2"/>
      <c r="F9" s="184"/>
      <c r="G9" s="575" t="s">
        <v>423</v>
      </c>
      <c r="H9" s="786" t="s">
        <v>234</v>
      </c>
      <c r="I9" s="770"/>
      <c r="J9" s="786" t="s">
        <v>528</v>
      </c>
      <c r="K9" s="787"/>
      <c r="L9" s="777" t="s">
        <v>233</v>
      </c>
    </row>
    <row r="10" spans="4:12" ht="15">
      <c r="D10" s="2"/>
      <c r="E10" s="2"/>
      <c r="F10" s="187"/>
      <c r="G10" s="207"/>
      <c r="H10" s="72"/>
      <c r="I10" s="72"/>
      <c r="J10" s="207"/>
      <c r="K10" s="215"/>
      <c r="L10" s="778"/>
    </row>
    <row r="11" spans="2:12" ht="15.75" thickBot="1">
      <c r="B11" s="35"/>
      <c r="D11" s="2"/>
      <c r="E11" s="2"/>
      <c r="F11" s="227"/>
      <c r="G11" s="293" t="str">
        <f>"FY "&amp;FY&amp;" 1/"</f>
        <v>FY  1/</v>
      </c>
      <c r="H11" s="295" t="s">
        <v>206</v>
      </c>
      <c r="I11" s="295" t="s">
        <v>683</v>
      </c>
      <c r="J11" s="296" t="s">
        <v>640</v>
      </c>
      <c r="K11" s="294" t="s">
        <v>683</v>
      </c>
      <c r="L11" s="779"/>
    </row>
    <row r="12" spans="2:12" ht="15.75" thickTop="1">
      <c r="B12" s="1" t="s">
        <v>130</v>
      </c>
      <c r="D12" s="2"/>
      <c r="E12" s="2"/>
      <c r="F12" s="184"/>
      <c r="G12" s="234"/>
      <c r="H12" s="185"/>
      <c r="I12" s="185"/>
      <c r="J12" s="206"/>
      <c r="K12" s="214"/>
      <c r="L12" s="186"/>
    </row>
    <row r="13" spans="2:12" ht="15">
      <c r="B13" s="36"/>
      <c r="C13" s="36"/>
      <c r="D13" s="2"/>
      <c r="E13" s="2"/>
      <c r="F13" s="187"/>
      <c r="G13" s="235" t="s">
        <v>78</v>
      </c>
      <c r="H13" s="72" t="s">
        <v>79</v>
      </c>
      <c r="I13" s="72" t="s">
        <v>80</v>
      </c>
      <c r="J13" s="207" t="s">
        <v>81</v>
      </c>
      <c r="K13" s="233" t="s">
        <v>82</v>
      </c>
      <c r="L13" s="226" t="s">
        <v>83</v>
      </c>
    </row>
    <row r="14" spans="2:12" ht="15">
      <c r="B14" s="36"/>
      <c r="C14" s="36"/>
      <c r="D14" s="2"/>
      <c r="E14" s="2"/>
      <c r="F14" s="187"/>
      <c r="G14" s="236"/>
      <c r="H14" s="36"/>
      <c r="I14" s="36"/>
      <c r="J14" s="208"/>
      <c r="K14" s="216"/>
      <c r="L14" s="189"/>
    </row>
    <row r="15" spans="2:12" ht="15">
      <c r="B15" s="36"/>
      <c r="C15" s="36"/>
      <c r="D15" s="2"/>
      <c r="E15" s="2"/>
      <c r="F15" s="187" t="s">
        <v>105</v>
      </c>
      <c r="G15" s="237">
        <f>+C9</f>
        <v>47967.078175108094</v>
      </c>
      <c r="H15" s="201">
        <f>PermC</f>
        <v>180</v>
      </c>
      <c r="I15" s="201">
        <f>PermP</f>
        <v>185</v>
      </c>
      <c r="J15" s="253">
        <f>+H15*G15</f>
        <v>8634074.071519457</v>
      </c>
      <c r="K15" s="259">
        <f>+I15*G15</f>
        <v>8873909.462394997</v>
      </c>
      <c r="L15" s="204">
        <f>(I15-H15)/H15</f>
        <v>0.027777777777777776</v>
      </c>
    </row>
    <row r="16" spans="2:12" ht="15">
      <c r="B16" s="21"/>
      <c r="C16" s="21"/>
      <c r="D16" s="2"/>
      <c r="E16" s="2"/>
      <c r="F16" s="187"/>
      <c r="G16" s="237"/>
      <c r="H16" s="36"/>
      <c r="I16" s="36"/>
      <c r="J16" s="209"/>
      <c r="K16" s="217"/>
      <c r="L16" s="191"/>
    </row>
    <row r="17" spans="2:12" ht="15.75" thickBot="1">
      <c r="B17" s="36"/>
      <c r="C17" s="36"/>
      <c r="D17" s="2"/>
      <c r="E17" s="2"/>
      <c r="F17" s="187"/>
      <c r="G17" s="237"/>
      <c r="H17" s="38"/>
      <c r="I17" s="38"/>
      <c r="J17" s="209"/>
      <c r="K17" s="217"/>
      <c r="L17" s="191"/>
    </row>
    <row r="18" spans="2:12" ht="15.75" thickTop="1">
      <c r="B18" s="36"/>
      <c r="C18" s="36"/>
      <c r="D18" s="2"/>
      <c r="E18" s="2"/>
      <c r="F18" s="184" t="s">
        <v>486</v>
      </c>
      <c r="G18" s="199"/>
      <c r="H18" s="199"/>
      <c r="I18" s="199"/>
      <c r="J18" s="199"/>
      <c r="K18" s="199"/>
      <c r="L18" s="200"/>
    </row>
    <row r="19" spans="4:12" ht="15">
      <c r="D19" s="2"/>
      <c r="E19" s="2"/>
      <c r="F19" s="187" t="s">
        <v>692</v>
      </c>
      <c r="G19" s="36"/>
      <c r="H19" s="36"/>
      <c r="I19" s="36"/>
      <c r="J19" s="36"/>
      <c r="K19" s="36"/>
      <c r="L19" s="189"/>
    </row>
    <row r="20" spans="4:12" ht="15.75" thickBot="1">
      <c r="D20" s="2"/>
      <c r="E20" s="2"/>
      <c r="F20" s="227"/>
      <c r="G20" s="197"/>
      <c r="H20" s="197"/>
      <c r="I20" s="197"/>
      <c r="J20" s="197"/>
      <c r="K20" s="197"/>
      <c r="L20" s="198"/>
    </row>
    <row r="21" spans="4:5" ht="15.75" thickTop="1">
      <c r="D21" s="2"/>
      <c r="E21" s="2"/>
    </row>
    <row r="22" spans="4:5" ht="15">
      <c r="D22" s="2"/>
      <c r="E22" s="2"/>
    </row>
    <row r="23" spans="4:5" ht="15">
      <c r="D23" s="2"/>
      <c r="E23" s="2"/>
    </row>
    <row r="24" spans="4:5" ht="15">
      <c r="D24" s="2"/>
      <c r="E24" s="2"/>
    </row>
    <row r="25" spans="4:7" ht="15">
      <c r="D25" s="2"/>
      <c r="E25" s="2"/>
      <c r="G25" s="33"/>
    </row>
    <row r="26" spans="4:5" ht="15">
      <c r="D26" s="2"/>
      <c r="E26" s="2"/>
    </row>
    <row r="27" spans="4:5" ht="15">
      <c r="D27" s="2"/>
      <c r="E27" s="2"/>
    </row>
    <row r="28" spans="4:5" ht="15">
      <c r="D28" s="2"/>
      <c r="E28" s="2"/>
    </row>
    <row r="29" spans="4:5" ht="15">
      <c r="D29" s="2"/>
      <c r="E29" s="2"/>
    </row>
    <row r="30" spans="4:5" ht="15">
      <c r="D30" s="2"/>
      <c r="E30" s="2"/>
    </row>
    <row r="31" spans="4:5" ht="15">
      <c r="D31" s="2"/>
      <c r="E31" s="2"/>
    </row>
    <row r="32" spans="4:10" ht="15">
      <c r="D32" s="2"/>
      <c r="E32" s="2"/>
      <c r="J32" s="17"/>
    </row>
    <row r="33" spans="4:10" ht="15">
      <c r="D33" s="2"/>
      <c r="E33" s="2"/>
      <c r="J33" s="17"/>
    </row>
    <row r="34" spans="4:10" ht="15">
      <c r="D34" s="2"/>
      <c r="E34" s="2"/>
      <c r="J34" s="17"/>
    </row>
    <row r="35" spans="4:10" ht="15">
      <c r="D35" s="2"/>
      <c r="J35" s="17"/>
    </row>
    <row r="36" spans="4:10" ht="15">
      <c r="D36" s="2"/>
      <c r="J36" s="17"/>
    </row>
    <row r="37" ht="15">
      <c r="D37" s="2"/>
    </row>
    <row r="38" ht="15">
      <c r="D38" s="2"/>
    </row>
    <row r="39" ht="15">
      <c r="D39" s="2"/>
    </row>
    <row r="40" ht="15">
      <c r="D40" s="2"/>
    </row>
    <row r="41" ht="15">
      <c r="D41" s="2"/>
    </row>
    <row r="42" ht="15">
      <c r="D42" s="2"/>
    </row>
    <row r="43" ht="15">
      <c r="D43" s="2"/>
    </row>
    <row r="44" ht="15">
      <c r="D44" s="2"/>
    </row>
    <row r="45" ht="15">
      <c r="D45" s="2"/>
    </row>
    <row r="46" ht="15">
      <c r="D46" s="2"/>
    </row>
    <row r="47" ht="15">
      <c r="D47" s="2"/>
    </row>
  </sheetData>
  <mergeCells count="7">
    <mergeCell ref="H9:I9"/>
    <mergeCell ref="J9:K9"/>
    <mergeCell ref="L9:L11"/>
    <mergeCell ref="B4:C4"/>
    <mergeCell ref="B5:C5"/>
    <mergeCell ref="F7:L7"/>
    <mergeCell ref="F8:L8"/>
  </mergeCells>
  <printOptions horizontalCentered="1"/>
  <pageMargins left="0.25" right="0.25" top="1.5" bottom="0.75" header="0.5" footer="0.5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9"/>
  </sheetPr>
  <dimension ref="A1:U287"/>
  <sheetViews>
    <sheetView zoomScale="70" zoomScaleNormal="70" workbookViewId="0" topLeftCell="G1">
      <selection activeCell="S90" sqref="R90:S90"/>
    </sheetView>
  </sheetViews>
  <sheetFormatPr defaultColWidth="12.57421875" defaultRowHeight="12.75"/>
  <cols>
    <col min="1" max="1" width="8.7109375" style="1" customWidth="1"/>
    <col min="2" max="3" width="18.421875" style="36" customWidth="1"/>
    <col min="4" max="4" width="2.28125" style="36" customWidth="1"/>
    <col min="5" max="6" width="18.421875" style="36" customWidth="1"/>
    <col min="7" max="7" width="4.8515625" style="1" customWidth="1"/>
    <col min="8" max="8" width="16.140625" style="1" customWidth="1"/>
    <col min="9" max="9" width="16.421875" style="1" customWidth="1"/>
    <col min="10" max="10" width="4.8515625" style="1" customWidth="1"/>
    <col min="11" max="11" width="16.7109375" style="1" bestFit="1" customWidth="1"/>
    <col min="12" max="12" width="4.8515625" style="1" customWidth="1"/>
    <col min="13" max="13" width="3.57421875" style="1" customWidth="1"/>
    <col min="14" max="14" width="28.00390625" style="1" customWidth="1"/>
    <col min="15" max="17" width="14.7109375" style="1" customWidth="1"/>
    <col min="18" max="19" width="15.28125" style="1" customWidth="1"/>
    <col min="20" max="20" width="14.7109375" style="1" customWidth="1"/>
    <col min="21" max="21" width="3.28125" style="1" customWidth="1"/>
    <col min="22" max="16384" width="12.57421875" style="1" customWidth="1"/>
  </cols>
  <sheetData>
    <row r="1" ht="15">
      <c r="G1" s="2"/>
    </row>
    <row r="2" spans="2:7" ht="15">
      <c r="B2" s="1"/>
      <c r="C2" s="1"/>
      <c r="D2" s="1"/>
      <c r="E2" s="1"/>
      <c r="F2" s="9" t="s">
        <v>488</v>
      </c>
      <c r="G2" s="2"/>
    </row>
    <row r="3" spans="2:14" ht="18">
      <c r="B3" s="771" t="s">
        <v>269</v>
      </c>
      <c r="C3" s="771"/>
      <c r="D3" s="771"/>
      <c r="E3" s="771"/>
      <c r="F3" s="771"/>
      <c r="G3" s="2"/>
      <c r="N3" s="24"/>
    </row>
    <row r="4" spans="2:20" ht="15.75">
      <c r="B4" s="772" t="s">
        <v>700</v>
      </c>
      <c r="C4" s="772"/>
      <c r="D4" s="772"/>
      <c r="E4" s="772"/>
      <c r="F4" s="772"/>
      <c r="G4" s="2"/>
      <c r="H4" s="1" t="s">
        <v>3</v>
      </c>
      <c r="P4" s="20"/>
      <c r="Q4" s="20"/>
      <c r="T4" s="1" t="str">
        <f>WN</f>
        <v>February 2009</v>
      </c>
    </row>
    <row r="5" spans="2:17" ht="15">
      <c r="B5" s="1"/>
      <c r="C5" s="1"/>
      <c r="D5" s="1"/>
      <c r="E5" s="1"/>
      <c r="F5" s="1"/>
      <c r="G5" s="2"/>
      <c r="P5" s="243"/>
      <c r="Q5" s="243"/>
    </row>
    <row r="6" spans="2:20" ht="15.75" thickBot="1">
      <c r="B6" s="42"/>
      <c r="C6" s="42"/>
      <c r="D6" s="57"/>
      <c r="E6" s="42"/>
      <c r="F6" s="42"/>
      <c r="G6" s="2"/>
      <c r="H6" s="1" t="s">
        <v>377</v>
      </c>
      <c r="K6" s="581">
        <f>+F27/F26</f>
        <v>4.06717162143228</v>
      </c>
      <c r="T6" s="1" t="s">
        <v>489</v>
      </c>
    </row>
    <row r="7" spans="2:20" ht="16.5" thickTop="1">
      <c r="B7" s="36" t="s">
        <v>491</v>
      </c>
      <c r="C7" s="36" t="s">
        <v>423</v>
      </c>
      <c r="E7" s="103" t="s">
        <v>491</v>
      </c>
      <c r="F7" s="36" t="s">
        <v>423</v>
      </c>
      <c r="G7" s="2"/>
      <c r="H7" s="1" t="s">
        <v>381</v>
      </c>
      <c r="K7" s="566">
        <f>SUM(S14:S47,S59:S75)/SUM(R14:R47,R59:R75)-1</f>
        <v>0.03831162595766213</v>
      </c>
      <c r="N7" s="780" t="s">
        <v>32</v>
      </c>
      <c r="O7" s="781"/>
      <c r="P7" s="781"/>
      <c r="Q7" s="781"/>
      <c r="R7" s="781"/>
      <c r="S7" s="781"/>
      <c r="T7" s="782"/>
    </row>
    <row r="8" spans="2:20" ht="15.75" thickBot="1">
      <c r="B8" s="120"/>
      <c r="C8" s="5"/>
      <c r="D8" s="5"/>
      <c r="E8" s="151"/>
      <c r="F8" s="5"/>
      <c r="G8" s="2"/>
      <c r="H8" s="149" t="s">
        <v>379</v>
      </c>
      <c r="K8" s="583">
        <f>+K6*(1+K7)</f>
        <v>4.222991579298212</v>
      </c>
      <c r="N8" s="783" t="str">
        <f>"Fiscal Year 2008 "</f>
        <v>Fiscal Year 2008 </v>
      </c>
      <c r="O8" s="784"/>
      <c r="P8" s="784"/>
      <c r="Q8" s="784"/>
      <c r="R8" s="784"/>
      <c r="S8" s="784"/>
      <c r="T8" s="785"/>
    </row>
    <row r="9" spans="2:20" ht="15.75" thickTop="1">
      <c r="B9" s="151">
        <v>50</v>
      </c>
      <c r="C9" s="5">
        <v>20442453</v>
      </c>
      <c r="D9" s="5"/>
      <c r="E9" s="151">
        <v>3600</v>
      </c>
      <c r="F9" s="5">
        <v>1402.9357333507714</v>
      </c>
      <c r="G9" s="2"/>
      <c r="N9" s="184"/>
      <c r="O9" s="575" t="s">
        <v>423</v>
      </c>
      <c r="P9" s="786" t="s">
        <v>234</v>
      </c>
      <c r="Q9" s="770"/>
      <c r="R9" s="786" t="s">
        <v>528</v>
      </c>
      <c r="S9" s="787"/>
      <c r="T9" s="777" t="s">
        <v>209</v>
      </c>
    </row>
    <row r="10" spans="2:20" ht="15">
      <c r="B10" s="151">
        <v>100</v>
      </c>
      <c r="C10" s="5">
        <v>12988660</v>
      </c>
      <c r="D10" s="5"/>
      <c r="E10" s="151">
        <v>3700</v>
      </c>
      <c r="F10" s="5">
        <v>927.8201175834176</v>
      </c>
      <c r="G10" s="2"/>
      <c r="K10" s="32"/>
      <c r="N10" s="187"/>
      <c r="O10" s="207"/>
      <c r="P10" s="72"/>
      <c r="Q10" s="72"/>
      <c r="R10" s="207"/>
      <c r="S10" s="215"/>
      <c r="T10" s="778"/>
    </row>
    <row r="11" spans="2:20" ht="15.75" thickBot="1">
      <c r="B11" s="151">
        <v>200</v>
      </c>
      <c r="C11" s="5">
        <v>8960683</v>
      </c>
      <c r="D11" s="5"/>
      <c r="E11" s="151">
        <v>3800</v>
      </c>
      <c r="F11" s="5">
        <v>1055.5634671057724</v>
      </c>
      <c r="G11" s="2"/>
      <c r="K11" s="32"/>
      <c r="N11" s="227"/>
      <c r="O11" s="293" t="str">
        <f>"FY "&amp;FY</f>
        <v>FY </v>
      </c>
      <c r="P11" s="295" t="s">
        <v>206</v>
      </c>
      <c r="Q11" s="295" t="s">
        <v>683</v>
      </c>
      <c r="R11" s="296" t="s">
        <v>640</v>
      </c>
      <c r="S11" s="294" t="s">
        <v>683</v>
      </c>
      <c r="T11" s="779"/>
    </row>
    <row r="12" spans="2:20" ht="15.75" thickTop="1">
      <c r="B12" s="151">
        <v>300</v>
      </c>
      <c r="C12" s="5">
        <v>3598594</v>
      </c>
      <c r="D12" s="5"/>
      <c r="E12" s="151">
        <v>3900</v>
      </c>
      <c r="F12" s="5">
        <v>663.3689729581922</v>
      </c>
      <c r="G12" s="2"/>
      <c r="N12" s="184"/>
      <c r="O12" s="414" t="s">
        <v>78</v>
      </c>
      <c r="P12" s="383" t="s">
        <v>79</v>
      </c>
      <c r="Q12" s="383" t="s">
        <v>80</v>
      </c>
      <c r="R12" s="407" t="s">
        <v>81</v>
      </c>
      <c r="S12" s="408" t="s">
        <v>82</v>
      </c>
      <c r="T12" s="384" t="s">
        <v>83</v>
      </c>
    </row>
    <row r="13" spans="2:20" ht="15">
      <c r="B13" s="151">
        <v>400</v>
      </c>
      <c r="C13" s="5">
        <v>1531173</v>
      </c>
      <c r="D13" s="5"/>
      <c r="E13" s="151">
        <v>4000</v>
      </c>
      <c r="F13" s="5">
        <v>11196.592530064623</v>
      </c>
      <c r="G13" s="2"/>
      <c r="N13" s="187"/>
      <c r="O13" s="415"/>
      <c r="P13" s="38"/>
      <c r="Q13" s="38"/>
      <c r="R13" s="409"/>
      <c r="S13" s="410"/>
      <c r="T13" s="191"/>
    </row>
    <row r="14" spans="2:20" ht="15">
      <c r="B14" s="151">
        <v>500</v>
      </c>
      <c r="C14" s="5">
        <v>1557382</v>
      </c>
      <c r="D14" s="5"/>
      <c r="E14" s="151">
        <v>4100</v>
      </c>
      <c r="F14" s="5">
        <v>432.5344992599024</v>
      </c>
      <c r="G14" s="2"/>
      <c r="N14" s="385">
        <v>50</v>
      </c>
      <c r="O14" s="415">
        <f>+C9</f>
        <v>20442453</v>
      </c>
      <c r="P14" s="379">
        <f>+Rates!F113</f>
        <v>1.7</v>
      </c>
      <c r="Q14" s="387">
        <f>+Rates!G113</f>
        <v>1.75</v>
      </c>
      <c r="R14" s="253">
        <f aca="true" t="shared" si="0" ref="R14:R47">+P14*O14</f>
        <v>34752170.1</v>
      </c>
      <c r="S14" s="259">
        <f aca="true" t="shared" si="1" ref="S14:S47">+Q14*O14</f>
        <v>35774292.75</v>
      </c>
      <c r="T14" s="191">
        <f aca="true" t="shared" si="2" ref="T14:T47">(Q14-P14)/P14</f>
        <v>0.02941176470588238</v>
      </c>
    </row>
    <row r="15" spans="2:20" ht="15">
      <c r="B15" s="151">
        <v>600</v>
      </c>
      <c r="C15" s="5">
        <v>369923</v>
      </c>
      <c r="D15" s="5"/>
      <c r="E15" s="151">
        <v>4200</v>
      </c>
      <c r="F15" s="5">
        <v>633.1139691239505</v>
      </c>
      <c r="G15" s="2"/>
      <c r="N15" s="386">
        <v>100</v>
      </c>
      <c r="O15" s="415">
        <f aca="true" t="shared" si="3" ref="O15:O47">+C10</f>
        <v>12988660</v>
      </c>
      <c r="P15" s="379">
        <f>+Rates!F114</f>
        <v>2.15</v>
      </c>
      <c r="Q15" s="387">
        <f>+Rates!G114</f>
        <v>2.25</v>
      </c>
      <c r="R15" s="253">
        <f t="shared" si="0"/>
        <v>27925619</v>
      </c>
      <c r="S15" s="259">
        <f t="shared" si="1"/>
        <v>29224485</v>
      </c>
      <c r="T15" s="191">
        <f t="shared" si="2"/>
        <v>0.046511627906976785</v>
      </c>
    </row>
    <row r="16" spans="2:20" ht="15">
      <c r="B16" s="151">
        <v>700</v>
      </c>
      <c r="C16" s="5">
        <v>239543</v>
      </c>
      <c r="D16" s="5"/>
      <c r="E16" s="151">
        <v>4300</v>
      </c>
      <c r="F16" s="5">
        <v>546.8311804114828</v>
      </c>
      <c r="G16" s="2"/>
      <c r="N16" s="386">
        <v>200</v>
      </c>
      <c r="O16" s="415">
        <f t="shared" si="3"/>
        <v>8960683</v>
      </c>
      <c r="P16" s="379">
        <f>+Rates!F115</f>
        <v>2.6</v>
      </c>
      <c r="Q16" s="387">
        <f>+Rates!G115</f>
        <v>2.75</v>
      </c>
      <c r="R16" s="253">
        <f t="shared" si="0"/>
        <v>23297775.8</v>
      </c>
      <c r="S16" s="259">
        <f t="shared" si="1"/>
        <v>24641878.25</v>
      </c>
      <c r="T16" s="191">
        <f t="shared" si="2"/>
        <v>0.057692307692307654</v>
      </c>
    </row>
    <row r="17" spans="2:21" ht="15">
      <c r="B17" s="151">
        <v>800</v>
      </c>
      <c r="C17" s="5">
        <v>270179</v>
      </c>
      <c r="D17" s="5"/>
      <c r="E17" s="152">
        <v>4400</v>
      </c>
      <c r="F17" s="5">
        <v>403.400051123225</v>
      </c>
      <c r="G17" s="2"/>
      <c r="N17" s="386">
        <v>300</v>
      </c>
      <c r="O17" s="415">
        <f t="shared" si="3"/>
        <v>3598594</v>
      </c>
      <c r="P17" s="379">
        <f>+Rates!F116</f>
        <v>4.6</v>
      </c>
      <c r="Q17" s="387">
        <f>+Rates!G116</f>
        <v>4.7</v>
      </c>
      <c r="R17" s="253">
        <f t="shared" si="0"/>
        <v>16553532.399999999</v>
      </c>
      <c r="S17" s="259">
        <f t="shared" si="1"/>
        <v>16913391.8</v>
      </c>
      <c r="T17" s="191">
        <f t="shared" si="2"/>
        <v>0.021739130434782726</v>
      </c>
      <c r="U17" s="10"/>
    </row>
    <row r="18" spans="2:20" ht="15">
      <c r="B18" s="151">
        <v>900</v>
      </c>
      <c r="C18" s="5">
        <v>104642</v>
      </c>
      <c r="D18" s="5"/>
      <c r="E18" s="152">
        <v>4500</v>
      </c>
      <c r="F18" s="5">
        <v>2229.905838153383</v>
      </c>
      <c r="G18" s="2"/>
      <c r="N18" s="386">
        <v>400</v>
      </c>
      <c r="O18" s="415">
        <f t="shared" si="3"/>
        <v>1531173</v>
      </c>
      <c r="P18" s="379">
        <f>+P17+Rates!$F$117</f>
        <v>5.55</v>
      </c>
      <c r="Q18" s="379">
        <f>+Q17+Rates!$G$117</f>
        <v>5.7</v>
      </c>
      <c r="R18" s="253">
        <f t="shared" si="0"/>
        <v>8498010.15</v>
      </c>
      <c r="S18" s="259">
        <f t="shared" si="1"/>
        <v>8727686.1</v>
      </c>
      <c r="T18" s="191">
        <f t="shared" si="2"/>
        <v>0.02702702702702709</v>
      </c>
    </row>
    <row r="19" spans="2:20" ht="15">
      <c r="B19" s="151">
        <v>1000</v>
      </c>
      <c r="C19" s="5">
        <v>359830</v>
      </c>
      <c r="D19" s="5"/>
      <c r="E19" s="151">
        <v>4600</v>
      </c>
      <c r="F19" s="5">
        <v>434.7756106550314</v>
      </c>
      <c r="G19" s="2"/>
      <c r="N19" s="385">
        <v>500</v>
      </c>
      <c r="O19" s="415">
        <f t="shared" si="3"/>
        <v>1557382</v>
      </c>
      <c r="P19" s="379">
        <f>+P18+Rates!$F$117</f>
        <v>6.5</v>
      </c>
      <c r="Q19" s="379">
        <f>+Q18+Rates!$G$117</f>
        <v>6.7</v>
      </c>
      <c r="R19" s="253">
        <f t="shared" si="0"/>
        <v>10122983</v>
      </c>
      <c r="S19" s="259">
        <f t="shared" si="1"/>
        <v>10434459.4</v>
      </c>
      <c r="T19" s="191">
        <f t="shared" si="2"/>
        <v>0.030769230769230795</v>
      </c>
    </row>
    <row r="20" spans="2:21" ht="15">
      <c r="B20" s="151">
        <v>1100</v>
      </c>
      <c r="C20" s="5">
        <v>34082.82209712226</v>
      </c>
      <c r="D20" s="5"/>
      <c r="E20" s="151">
        <v>4700</v>
      </c>
      <c r="F20" s="5">
        <v>318.237818108322</v>
      </c>
      <c r="G20" s="2"/>
      <c r="K20" s="5"/>
      <c r="N20" s="386">
        <v>600</v>
      </c>
      <c r="O20" s="415">
        <f t="shared" si="3"/>
        <v>369923</v>
      </c>
      <c r="P20" s="379">
        <f>+P19+Rates!$F$117</f>
        <v>7.45</v>
      </c>
      <c r="Q20" s="379">
        <f>+Q19+Rates!$G$117</f>
        <v>7.7</v>
      </c>
      <c r="R20" s="253">
        <f t="shared" si="0"/>
        <v>2755926.35</v>
      </c>
      <c r="S20" s="259">
        <f t="shared" si="1"/>
        <v>2848407.1</v>
      </c>
      <c r="T20" s="191">
        <f t="shared" si="2"/>
        <v>0.03355704697986577</v>
      </c>
      <c r="U20" s="30"/>
    </row>
    <row r="21" spans="2:21" ht="15">
      <c r="B21" s="151">
        <v>1200</v>
      </c>
      <c r="C21" s="5">
        <v>66885.96958762585</v>
      </c>
      <c r="D21" s="5"/>
      <c r="E21" s="151">
        <v>4800</v>
      </c>
      <c r="F21" s="5">
        <v>543.4695133187894</v>
      </c>
      <c r="G21" s="2"/>
      <c r="H21"/>
      <c r="I21"/>
      <c r="J21"/>
      <c r="K21"/>
      <c r="L21"/>
      <c r="N21" s="386">
        <v>700</v>
      </c>
      <c r="O21" s="415">
        <f t="shared" si="3"/>
        <v>239543</v>
      </c>
      <c r="P21" s="379">
        <f>+P20+Rates!$F$117</f>
        <v>8.4</v>
      </c>
      <c r="Q21" s="379">
        <f>+Q20+Rates!$G$117</f>
        <v>8.7</v>
      </c>
      <c r="R21" s="253">
        <f t="shared" si="0"/>
        <v>2012161.2000000002</v>
      </c>
      <c r="S21" s="259">
        <f t="shared" si="1"/>
        <v>2084024.0999999999</v>
      </c>
      <c r="T21" s="191">
        <f t="shared" si="2"/>
        <v>0.03571428571428559</v>
      </c>
      <c r="U21" s="30"/>
    </row>
    <row r="22" spans="2:21" ht="15">
      <c r="B22" s="151">
        <v>1300</v>
      </c>
      <c r="C22" s="5">
        <v>34607.24216358246</v>
      </c>
      <c r="D22" s="5"/>
      <c r="E22" s="151">
        <v>4900</v>
      </c>
      <c r="F22" s="5">
        <v>264.4511446252253</v>
      </c>
      <c r="G22" s="2"/>
      <c r="N22" s="386">
        <v>800</v>
      </c>
      <c r="O22" s="415">
        <f t="shared" si="3"/>
        <v>270179</v>
      </c>
      <c r="P22" s="379">
        <f>+P21+Rates!$F$117</f>
        <v>9.35</v>
      </c>
      <c r="Q22" s="379">
        <f>+Q21+Rates!$G$117</f>
        <v>9.7</v>
      </c>
      <c r="R22" s="253">
        <f t="shared" si="0"/>
        <v>2526173.65</v>
      </c>
      <c r="S22" s="259">
        <f t="shared" si="1"/>
        <v>2620736.3</v>
      </c>
      <c r="T22" s="191">
        <f t="shared" si="2"/>
        <v>0.037433155080213866</v>
      </c>
      <c r="U22" s="30"/>
    </row>
    <row r="23" spans="2:21" ht="15">
      <c r="B23" s="151">
        <v>1400</v>
      </c>
      <c r="C23" s="5">
        <v>26577.340034835146</v>
      </c>
      <c r="D23" s="5"/>
      <c r="E23" s="151">
        <v>5000</v>
      </c>
      <c r="F23" s="5">
        <v>25974.481069545436</v>
      </c>
      <c r="G23" s="2"/>
      <c r="N23" s="386">
        <v>900</v>
      </c>
      <c r="O23" s="415">
        <f t="shared" si="3"/>
        <v>104642</v>
      </c>
      <c r="P23" s="379">
        <f>+P22+Rates!$F$117</f>
        <v>10.299999999999999</v>
      </c>
      <c r="Q23" s="379">
        <f>+Q22+Rates!$G$117</f>
        <v>10.7</v>
      </c>
      <c r="R23" s="253">
        <f t="shared" si="0"/>
        <v>1077812.5999999999</v>
      </c>
      <c r="S23" s="259">
        <f t="shared" si="1"/>
        <v>1119669.4</v>
      </c>
      <c r="T23" s="191">
        <f t="shared" si="2"/>
        <v>0.03883495145631072</v>
      </c>
      <c r="U23" s="30"/>
    </row>
    <row r="24" spans="2:21" ht="15">
      <c r="B24" s="151">
        <v>1500</v>
      </c>
      <c r="C24" s="5">
        <v>101074.12392031917</v>
      </c>
      <c r="D24" s="5"/>
      <c r="E24" s="1"/>
      <c r="F24" s="105"/>
      <c r="G24" s="2"/>
      <c r="N24" s="388">
        <v>1000</v>
      </c>
      <c r="O24" s="415">
        <f t="shared" si="3"/>
        <v>359830</v>
      </c>
      <c r="P24" s="379">
        <f>+P23+Rates!$F$117</f>
        <v>11.249999999999998</v>
      </c>
      <c r="Q24" s="379">
        <f>+Q23+Rates!$G$117</f>
        <v>11.7</v>
      </c>
      <c r="R24" s="253">
        <f t="shared" si="0"/>
        <v>4048087.4999999995</v>
      </c>
      <c r="S24" s="259">
        <f t="shared" si="1"/>
        <v>4210011</v>
      </c>
      <c r="T24" s="191">
        <f t="shared" si="2"/>
        <v>0.0400000000000001</v>
      </c>
      <c r="U24" s="30"/>
    </row>
    <row r="25" spans="2:21" ht="15">
      <c r="B25" s="151">
        <v>1600</v>
      </c>
      <c r="C25" s="5">
        <v>19410.26579321251</v>
      </c>
      <c r="D25" s="5"/>
      <c r="E25" s="1" t="s">
        <v>113</v>
      </c>
      <c r="G25" s="2"/>
      <c r="N25" s="388">
        <v>1100</v>
      </c>
      <c r="O25" s="415">
        <f t="shared" si="3"/>
        <v>34082.82209712226</v>
      </c>
      <c r="P25" s="379">
        <f>+P24+Rates!$F$117</f>
        <v>12.199999999999998</v>
      </c>
      <c r="Q25" s="379">
        <f>+Q24+Rates!$G$117</f>
        <v>12.7</v>
      </c>
      <c r="R25" s="253">
        <f t="shared" si="0"/>
        <v>415810.42958489154</v>
      </c>
      <c r="S25" s="259">
        <f t="shared" si="1"/>
        <v>432851.8406334527</v>
      </c>
      <c r="T25" s="191">
        <f t="shared" si="2"/>
        <v>0.040983606557377206</v>
      </c>
      <c r="U25" s="30"/>
    </row>
    <row r="26" spans="2:21" ht="15">
      <c r="B26" s="151">
        <v>1700</v>
      </c>
      <c r="C26" s="5">
        <v>14628.854631704731</v>
      </c>
      <c r="D26" s="5"/>
      <c r="E26" s="1" t="s">
        <v>446</v>
      </c>
      <c r="F26" s="5">
        <v>606655</v>
      </c>
      <c r="G26" s="2"/>
      <c r="N26" s="388">
        <v>1200</v>
      </c>
      <c r="O26" s="415">
        <f t="shared" si="3"/>
        <v>66885.96958762585</v>
      </c>
      <c r="P26" s="379">
        <f>+P25+Rates!$F$117</f>
        <v>13.149999999999997</v>
      </c>
      <c r="Q26" s="379">
        <f>+Q25+Rates!$G$117</f>
        <v>13.7</v>
      </c>
      <c r="R26" s="253">
        <f t="shared" si="0"/>
        <v>879550.5000772798</v>
      </c>
      <c r="S26" s="259">
        <f t="shared" si="1"/>
        <v>916337.7833504741</v>
      </c>
      <c r="T26" s="191">
        <f t="shared" si="2"/>
        <v>0.04182509505703442</v>
      </c>
      <c r="U26" s="30"/>
    </row>
    <row r="27" spans="2:21" ht="15">
      <c r="B27" s="151">
        <v>1800</v>
      </c>
      <c r="C27" s="5">
        <v>18530.62957062437</v>
      </c>
      <c r="D27" s="5"/>
      <c r="E27" s="1" t="s">
        <v>274</v>
      </c>
      <c r="F27" s="8">
        <v>2467370</v>
      </c>
      <c r="G27" s="2"/>
      <c r="N27" s="388">
        <v>1300</v>
      </c>
      <c r="O27" s="415">
        <f t="shared" si="3"/>
        <v>34607.24216358246</v>
      </c>
      <c r="P27" s="379">
        <f>+P26+Rates!$F$117</f>
        <v>14.099999999999996</v>
      </c>
      <c r="Q27" s="379">
        <f>+Q26+Rates!$G$117</f>
        <v>14.7</v>
      </c>
      <c r="R27" s="253">
        <f t="shared" si="0"/>
        <v>487962.11450651253</v>
      </c>
      <c r="S27" s="259">
        <f t="shared" si="1"/>
        <v>508726.4598046621</v>
      </c>
      <c r="T27" s="191">
        <f t="shared" si="2"/>
        <v>0.042553191489361944</v>
      </c>
      <c r="U27" s="30"/>
    </row>
    <row r="28" spans="2:21" ht="15">
      <c r="B28" s="151">
        <v>1900</v>
      </c>
      <c r="C28" s="5">
        <v>7087.514787095551</v>
      </c>
      <c r="D28" s="5"/>
      <c r="E28" s="1"/>
      <c r="F28" s="8"/>
      <c r="G28" s="2"/>
      <c r="N28" s="388">
        <v>1400</v>
      </c>
      <c r="O28" s="415">
        <f t="shared" si="3"/>
        <v>26577.340034835146</v>
      </c>
      <c r="P28" s="379">
        <f>+P27+Rates!$F$117</f>
        <v>15.049999999999995</v>
      </c>
      <c r="Q28" s="379">
        <f>+Q27+Rates!$G$117</f>
        <v>15.7</v>
      </c>
      <c r="R28" s="253">
        <f t="shared" si="0"/>
        <v>399988.96752426884</v>
      </c>
      <c r="S28" s="259">
        <f t="shared" si="1"/>
        <v>417264.2385469118</v>
      </c>
      <c r="T28" s="191">
        <f t="shared" si="2"/>
        <v>0.043189368770764396</v>
      </c>
      <c r="U28" s="30"/>
    </row>
    <row r="29" spans="2:21" ht="15">
      <c r="B29" s="151">
        <v>2000</v>
      </c>
      <c r="C29" s="5">
        <v>92118.64278538358</v>
      </c>
      <c r="D29" s="5"/>
      <c r="E29" s="59"/>
      <c r="F29" s="5"/>
      <c r="G29" s="2"/>
      <c r="N29" s="388">
        <v>1500</v>
      </c>
      <c r="O29" s="415">
        <f t="shared" si="3"/>
        <v>101074.12392031917</v>
      </c>
      <c r="P29" s="379">
        <f>+P28+Rates!$F$117</f>
        <v>15.999999999999995</v>
      </c>
      <c r="Q29" s="379">
        <f>+Q28+Rates!$G$117</f>
        <v>16.7</v>
      </c>
      <c r="R29" s="253">
        <f t="shared" si="0"/>
        <v>1617185.9827251062</v>
      </c>
      <c r="S29" s="259">
        <f t="shared" si="1"/>
        <v>1687937.86946933</v>
      </c>
      <c r="T29" s="191">
        <f t="shared" si="2"/>
        <v>0.0437500000000003</v>
      </c>
      <c r="U29" s="30"/>
    </row>
    <row r="30" spans="2:21" ht="15">
      <c r="B30" s="151">
        <v>2100</v>
      </c>
      <c r="C30" s="5">
        <v>4718.6600424441685</v>
      </c>
      <c r="D30" s="5"/>
      <c r="E30" s="1" t="s">
        <v>494</v>
      </c>
      <c r="F30" s="5">
        <v>51595219.999999985</v>
      </c>
      <c r="G30" s="2"/>
      <c r="N30" s="388">
        <v>1600</v>
      </c>
      <c r="O30" s="415">
        <f t="shared" si="3"/>
        <v>19410.26579321251</v>
      </c>
      <c r="P30" s="379">
        <f>+P29+Rates!$F$117</f>
        <v>16.949999999999996</v>
      </c>
      <c r="Q30" s="379">
        <f>+Q29+Rates!$G$117</f>
        <v>17.7</v>
      </c>
      <c r="R30" s="253">
        <f t="shared" si="0"/>
        <v>329004.00519495195</v>
      </c>
      <c r="S30" s="259">
        <f t="shared" si="1"/>
        <v>343561.7045398614</v>
      </c>
      <c r="T30" s="191">
        <f t="shared" si="2"/>
        <v>0.04424778761061969</v>
      </c>
      <c r="U30" s="30"/>
    </row>
    <row r="31" spans="2:21" ht="15.75" thickBot="1">
      <c r="B31" s="151">
        <v>2200</v>
      </c>
      <c r="C31" s="5">
        <v>6467.847486342374</v>
      </c>
      <c r="D31" s="5"/>
      <c r="E31" s="1"/>
      <c r="F31" s="1"/>
      <c r="G31" s="2"/>
      <c r="N31" s="388">
        <v>1700</v>
      </c>
      <c r="O31" s="415">
        <f t="shared" si="3"/>
        <v>14628.854631704731</v>
      </c>
      <c r="P31" s="379">
        <f>+P30+Rates!$F$117</f>
        <v>17.899999999999995</v>
      </c>
      <c r="Q31" s="379">
        <f>+Q30+Rates!$G$117</f>
        <v>18.7</v>
      </c>
      <c r="R31" s="253">
        <f t="shared" si="0"/>
        <v>261856.49790751463</v>
      </c>
      <c r="S31" s="259">
        <f t="shared" si="1"/>
        <v>273559.5816128785</v>
      </c>
      <c r="T31" s="191">
        <f t="shared" si="2"/>
        <v>0.04469273743016785</v>
      </c>
      <c r="U31" s="30"/>
    </row>
    <row r="32" spans="2:21" ht="15">
      <c r="B32" s="151">
        <v>2300</v>
      </c>
      <c r="C32" s="5">
        <v>5057.067863108651</v>
      </c>
      <c r="D32" s="5"/>
      <c r="E32" s="60"/>
      <c r="F32" s="61"/>
      <c r="G32" s="2"/>
      <c r="N32" s="388">
        <v>1800</v>
      </c>
      <c r="O32" s="415">
        <f t="shared" si="3"/>
        <v>18530.62957062437</v>
      </c>
      <c r="P32" s="379">
        <f>+P31+Rates!$F$117</f>
        <v>18.849999999999994</v>
      </c>
      <c r="Q32" s="379">
        <f>+Q31+Rates!$G$117</f>
        <v>19.7</v>
      </c>
      <c r="R32" s="253">
        <f t="shared" si="0"/>
        <v>349302.36740626924</v>
      </c>
      <c r="S32" s="259">
        <f t="shared" si="1"/>
        <v>365053.40254130005</v>
      </c>
      <c r="T32" s="191">
        <f t="shared" si="2"/>
        <v>0.04509283819628675</v>
      </c>
      <c r="U32" s="30"/>
    </row>
    <row r="33" spans="2:21" ht="15.75" thickBot="1">
      <c r="B33" s="151">
        <v>2400</v>
      </c>
      <c r="C33" s="5">
        <v>4900.19006544962</v>
      </c>
      <c r="D33" s="5"/>
      <c r="E33" s="63" t="s">
        <v>495</v>
      </c>
      <c r="F33" s="64">
        <v>144581632</v>
      </c>
      <c r="G33" s="2"/>
      <c r="N33" s="388">
        <v>1900</v>
      </c>
      <c r="O33" s="415">
        <f t="shared" si="3"/>
        <v>7087.514787095551</v>
      </c>
      <c r="P33" s="379">
        <f>+P32+Rates!$F$117</f>
        <v>19.799999999999994</v>
      </c>
      <c r="Q33" s="379">
        <f>+Q32+Rates!$G$117</f>
        <v>20.7</v>
      </c>
      <c r="R33" s="253">
        <f t="shared" si="0"/>
        <v>140332.79278449184</v>
      </c>
      <c r="S33" s="259">
        <f t="shared" si="1"/>
        <v>146711.5560928779</v>
      </c>
      <c r="T33" s="191">
        <f t="shared" si="2"/>
        <v>0.045454545454545754</v>
      </c>
      <c r="U33" s="30"/>
    </row>
    <row r="34" spans="2:21" ht="15">
      <c r="B34" s="151">
        <v>2500</v>
      </c>
      <c r="C34" s="5">
        <v>26742.061722377126</v>
      </c>
      <c r="D34" s="5"/>
      <c r="E34" s="62" t="s">
        <v>138</v>
      </c>
      <c r="F34" s="66"/>
      <c r="G34" s="2"/>
      <c r="N34" s="388">
        <v>2000</v>
      </c>
      <c r="O34" s="415">
        <f t="shared" si="3"/>
        <v>92118.64278538358</v>
      </c>
      <c r="P34" s="379">
        <f>+P33+Rates!$F$117</f>
        <v>20.749999999999993</v>
      </c>
      <c r="Q34" s="379">
        <f>+Q33+Rates!$G$117</f>
        <v>21.7</v>
      </c>
      <c r="R34" s="253">
        <f t="shared" si="0"/>
        <v>1911461.8377967086</v>
      </c>
      <c r="S34" s="259">
        <f t="shared" si="1"/>
        <v>1998974.5484428236</v>
      </c>
      <c r="T34" s="191">
        <f t="shared" si="2"/>
        <v>0.045783132530120806</v>
      </c>
      <c r="U34" s="30"/>
    </row>
    <row r="35" spans="2:21" ht="15.75" thickBot="1">
      <c r="B35" s="151">
        <v>2600</v>
      </c>
      <c r="C35" s="5">
        <v>3306.759863512881</v>
      </c>
      <c r="D35" s="5"/>
      <c r="E35" s="67" t="s">
        <v>26</v>
      </c>
      <c r="F35" s="64">
        <v>51595219.999999985</v>
      </c>
      <c r="G35" s="2"/>
      <c r="N35" s="388">
        <v>2100</v>
      </c>
      <c r="O35" s="415">
        <f t="shared" si="3"/>
        <v>4718.6600424441685</v>
      </c>
      <c r="P35" s="379">
        <f>+P34+Rates!$F$117</f>
        <v>21.699999999999992</v>
      </c>
      <c r="Q35" s="379">
        <f>+Q34+Rates!$G$117</f>
        <v>22.7</v>
      </c>
      <c r="R35" s="253">
        <f t="shared" si="0"/>
        <v>102394.92292103842</v>
      </c>
      <c r="S35" s="259">
        <f t="shared" si="1"/>
        <v>107113.58296348262</v>
      </c>
      <c r="T35" s="191">
        <f t="shared" si="2"/>
        <v>0.0460829493087561</v>
      </c>
      <c r="U35" s="30"/>
    </row>
    <row r="36" spans="2:21" ht="15">
      <c r="B36" s="151">
        <v>2700</v>
      </c>
      <c r="C36" s="5">
        <v>3019.8976049363655</v>
      </c>
      <c r="D36" s="5"/>
      <c r="E36" s="1"/>
      <c r="F36" s="1"/>
      <c r="G36" s="2"/>
      <c r="N36" s="388">
        <v>2200</v>
      </c>
      <c r="O36" s="415">
        <f t="shared" si="3"/>
        <v>6467.847486342374</v>
      </c>
      <c r="P36" s="379">
        <f>+P35+Rates!$F$117</f>
        <v>22.64999999999999</v>
      </c>
      <c r="Q36" s="379">
        <f>+Q35+Rates!$G$117</f>
        <v>23.7</v>
      </c>
      <c r="R36" s="253">
        <f t="shared" si="0"/>
        <v>146496.74556565474</v>
      </c>
      <c r="S36" s="259">
        <f t="shared" si="1"/>
        <v>153287.98542631426</v>
      </c>
      <c r="T36" s="191">
        <f t="shared" si="2"/>
        <v>0.0463576158940401</v>
      </c>
      <c r="U36" s="30"/>
    </row>
    <row r="37" spans="2:21" ht="15">
      <c r="B37" s="151">
        <v>2800</v>
      </c>
      <c r="C37" s="5">
        <v>3390.8015408302194</v>
      </c>
      <c r="D37" s="5"/>
      <c r="E37" s="1"/>
      <c r="F37" s="1"/>
      <c r="G37" s="2"/>
      <c r="N37" s="388">
        <v>2300</v>
      </c>
      <c r="O37" s="415">
        <f t="shared" si="3"/>
        <v>5057.067863108651</v>
      </c>
      <c r="P37" s="379">
        <f>+P36+Rates!$F$117</f>
        <v>23.59999999999999</v>
      </c>
      <c r="Q37" s="379">
        <f>+Q36+Rates!$G$117</f>
        <v>24.7</v>
      </c>
      <c r="R37" s="253">
        <f t="shared" si="0"/>
        <v>119346.80156936412</v>
      </c>
      <c r="S37" s="259">
        <f t="shared" si="1"/>
        <v>124909.57621878368</v>
      </c>
      <c r="T37" s="191">
        <f t="shared" si="2"/>
        <v>0.046610169491525806</v>
      </c>
      <c r="U37" s="30"/>
    </row>
    <row r="38" spans="2:21" ht="15">
      <c r="B38" s="151">
        <v>2900</v>
      </c>
      <c r="C38" s="5">
        <v>1651.6990982100938</v>
      </c>
      <c r="D38" s="5"/>
      <c r="E38" s="1"/>
      <c r="F38" s="1"/>
      <c r="G38" s="2"/>
      <c r="N38" s="388">
        <v>2400</v>
      </c>
      <c r="O38" s="415">
        <f t="shared" si="3"/>
        <v>4900.19006544962</v>
      </c>
      <c r="P38" s="379">
        <f>+P37+Rates!$F$117</f>
        <v>24.54999999999999</v>
      </c>
      <c r="Q38" s="379">
        <f>+Q37+Rates!$G$117</f>
        <v>25.7</v>
      </c>
      <c r="R38" s="253">
        <f t="shared" si="0"/>
        <v>120299.66610678814</v>
      </c>
      <c r="S38" s="259">
        <f t="shared" si="1"/>
        <v>125934.88468205524</v>
      </c>
      <c r="T38" s="191">
        <f t="shared" si="2"/>
        <v>0.046843177189409765</v>
      </c>
      <c r="U38" s="30"/>
    </row>
    <row r="39" spans="2:21" ht="15">
      <c r="B39" s="151">
        <v>3000</v>
      </c>
      <c r="C39" s="5">
        <v>31953.766271749686</v>
      </c>
      <c r="D39" s="5"/>
      <c r="E39" s="1"/>
      <c r="F39" s="1"/>
      <c r="G39" s="2"/>
      <c r="N39" s="388">
        <v>2500</v>
      </c>
      <c r="O39" s="415">
        <f t="shared" si="3"/>
        <v>26742.061722377126</v>
      </c>
      <c r="P39" s="379">
        <f>+P38+Rates!$F$117</f>
        <v>25.49999999999999</v>
      </c>
      <c r="Q39" s="379">
        <f>+Q38+Rates!$G$117</f>
        <v>26.7</v>
      </c>
      <c r="R39" s="253">
        <f t="shared" si="0"/>
        <v>681922.5739206164</v>
      </c>
      <c r="S39" s="259">
        <f t="shared" si="1"/>
        <v>714013.0479874692</v>
      </c>
      <c r="T39" s="191">
        <f t="shared" si="2"/>
        <v>0.04705882352941217</v>
      </c>
      <c r="U39" s="30"/>
    </row>
    <row r="40" spans="2:21" ht="15">
      <c r="B40" s="151">
        <v>3100</v>
      </c>
      <c r="C40" s="5">
        <v>1061.1662455935948</v>
      </c>
      <c r="D40" s="5"/>
      <c r="E40" s="1"/>
      <c r="F40" s="1"/>
      <c r="G40" s="2"/>
      <c r="N40" s="388">
        <v>2600</v>
      </c>
      <c r="O40" s="415">
        <f t="shared" si="3"/>
        <v>3306.759863512881</v>
      </c>
      <c r="P40" s="379">
        <f>+P39+Rates!$F$117</f>
        <v>26.44999999999999</v>
      </c>
      <c r="Q40" s="379">
        <f>+Q39+Rates!$G$117</f>
        <v>27.7</v>
      </c>
      <c r="R40" s="253">
        <f t="shared" si="0"/>
        <v>87463.79838991567</v>
      </c>
      <c r="S40" s="259">
        <f t="shared" si="1"/>
        <v>91597.2482193068</v>
      </c>
      <c r="T40" s="191">
        <f t="shared" si="2"/>
        <v>0.04725897920604957</v>
      </c>
      <c r="U40" s="30"/>
    </row>
    <row r="41" spans="2:21" ht="15">
      <c r="B41" s="151">
        <v>3200</v>
      </c>
      <c r="C41" s="5">
        <v>1832.1085655179807</v>
      </c>
      <c r="D41" s="5"/>
      <c r="E41" s="1"/>
      <c r="F41" s="1"/>
      <c r="G41" s="2"/>
      <c r="N41" s="388">
        <v>2700</v>
      </c>
      <c r="O41" s="415">
        <f t="shared" si="3"/>
        <v>3019.8976049363655</v>
      </c>
      <c r="P41" s="379">
        <f>+P40+Rates!$F$117</f>
        <v>27.399999999999988</v>
      </c>
      <c r="Q41" s="379">
        <f>+Q40+Rates!$G$117</f>
        <v>28.7</v>
      </c>
      <c r="R41" s="253">
        <f t="shared" si="0"/>
        <v>82745.19437525638</v>
      </c>
      <c r="S41" s="259">
        <f t="shared" si="1"/>
        <v>86671.06126167369</v>
      </c>
      <c r="T41" s="191">
        <f t="shared" si="2"/>
        <v>0.04744525547445299</v>
      </c>
      <c r="U41" s="30"/>
    </row>
    <row r="42" spans="2:21" ht="15">
      <c r="B42" s="151">
        <v>3300</v>
      </c>
      <c r="C42" s="5">
        <v>1402.9357333507714</v>
      </c>
      <c r="D42" s="1"/>
      <c r="E42" s="1"/>
      <c r="F42" s="1"/>
      <c r="G42" s="2"/>
      <c r="N42" s="388">
        <v>2800</v>
      </c>
      <c r="O42" s="415">
        <f t="shared" si="3"/>
        <v>3390.8015408302194</v>
      </c>
      <c r="P42" s="379">
        <f>+P41+Rates!$F$117</f>
        <v>28.349999999999987</v>
      </c>
      <c r="Q42" s="379">
        <f>+Q41+Rates!$G$117</f>
        <v>29.7</v>
      </c>
      <c r="R42" s="253">
        <f t="shared" si="0"/>
        <v>96129.22368253667</v>
      </c>
      <c r="S42" s="259">
        <f t="shared" si="1"/>
        <v>100706.80576265752</v>
      </c>
      <c r="T42" s="191">
        <f t="shared" si="2"/>
        <v>0.04761904761904807</v>
      </c>
      <c r="U42" s="30"/>
    </row>
    <row r="43" spans="2:21" ht="15">
      <c r="B43" s="151">
        <v>3400</v>
      </c>
      <c r="C43" s="5">
        <v>1085.818470940014</v>
      </c>
      <c r="D43" s="1"/>
      <c r="E43" s="1"/>
      <c r="F43" s="1"/>
      <c r="G43" s="2"/>
      <c r="N43" s="388">
        <v>2900</v>
      </c>
      <c r="O43" s="415">
        <f t="shared" si="3"/>
        <v>1651.6990982100938</v>
      </c>
      <c r="P43" s="379">
        <f>+P42+Rates!$F$117</f>
        <v>29.299999999999986</v>
      </c>
      <c r="Q43" s="379">
        <f>+Q42+Rates!$G$117</f>
        <v>30.7</v>
      </c>
      <c r="R43" s="253">
        <f t="shared" si="0"/>
        <v>48394.783577555725</v>
      </c>
      <c r="S43" s="259">
        <f t="shared" si="1"/>
        <v>50707.16231504988</v>
      </c>
      <c r="T43" s="191">
        <f t="shared" si="2"/>
        <v>0.04778156996587077</v>
      </c>
      <c r="U43" s="30"/>
    </row>
    <row r="44" spans="2:21" ht="15">
      <c r="B44" s="151">
        <v>3500</v>
      </c>
      <c r="C44" s="5">
        <v>6881.332538743682</v>
      </c>
      <c r="D44" s="1"/>
      <c r="E44" s="1"/>
      <c r="F44" s="1"/>
      <c r="G44" s="2"/>
      <c r="N44" s="388">
        <v>3000</v>
      </c>
      <c r="O44" s="415">
        <f t="shared" si="3"/>
        <v>31953.766271749686</v>
      </c>
      <c r="P44" s="379">
        <f>+P43+Rates!$F$117</f>
        <v>30.249999999999986</v>
      </c>
      <c r="Q44" s="379">
        <f>+Q43+Rates!$G$117</f>
        <v>31.7</v>
      </c>
      <c r="R44" s="253">
        <f t="shared" si="0"/>
        <v>966601.4297204275</v>
      </c>
      <c r="S44" s="259">
        <f t="shared" si="1"/>
        <v>1012934.390814465</v>
      </c>
      <c r="T44" s="191">
        <f t="shared" si="2"/>
        <v>0.04793388429752113</v>
      </c>
      <c r="U44" s="30"/>
    </row>
    <row r="45" spans="4:20" ht="15">
      <c r="D45" s="71"/>
      <c r="E45" s="1"/>
      <c r="F45" s="1"/>
      <c r="G45" s="2"/>
      <c r="N45" s="388">
        <v>3100</v>
      </c>
      <c r="O45" s="415">
        <f t="shared" si="3"/>
        <v>1061.1662455935948</v>
      </c>
      <c r="P45" s="379">
        <f>+P44+Rates!$F$117</f>
        <v>31.199999999999985</v>
      </c>
      <c r="Q45" s="379">
        <f>+Q44+Rates!$G$117</f>
        <v>32.7</v>
      </c>
      <c r="R45" s="253">
        <f t="shared" si="0"/>
        <v>33108.38686252014</v>
      </c>
      <c r="S45" s="259">
        <f t="shared" si="1"/>
        <v>34700.13623091055</v>
      </c>
      <c r="T45" s="191">
        <f t="shared" si="2"/>
        <v>0.04807692307692367</v>
      </c>
    </row>
    <row r="46" spans="4:21" ht="15">
      <c r="D46" s="71"/>
      <c r="G46" s="2"/>
      <c r="N46" s="388">
        <v>3200</v>
      </c>
      <c r="O46" s="415">
        <f t="shared" si="3"/>
        <v>1832.1085655179807</v>
      </c>
      <c r="P46" s="379">
        <f>+P45+Rates!$F$117</f>
        <v>32.149999999999984</v>
      </c>
      <c r="Q46" s="379">
        <f>+Q45+Rates!$G$117</f>
        <v>33.7</v>
      </c>
      <c r="R46" s="253">
        <f t="shared" si="0"/>
        <v>58902.29038140305</v>
      </c>
      <c r="S46" s="259">
        <f t="shared" si="1"/>
        <v>61742.05865795595</v>
      </c>
      <c r="T46" s="191">
        <f t="shared" si="2"/>
        <v>0.048211508553655344</v>
      </c>
      <c r="U46" s="30"/>
    </row>
    <row r="47" spans="4:21" ht="15">
      <c r="D47" s="71"/>
      <c r="E47" s="1"/>
      <c r="F47" s="1"/>
      <c r="G47" s="2"/>
      <c r="N47" s="388">
        <v>3300</v>
      </c>
      <c r="O47" s="415">
        <f t="shared" si="3"/>
        <v>1402.9357333507714</v>
      </c>
      <c r="P47" s="379">
        <f>+P46+Rates!$F$117</f>
        <v>33.09999999999999</v>
      </c>
      <c r="Q47" s="379">
        <f>+Q46+Rates!$G$117</f>
        <v>34.7</v>
      </c>
      <c r="R47" s="253">
        <f t="shared" si="0"/>
        <v>46437.17277391052</v>
      </c>
      <c r="S47" s="259">
        <f t="shared" si="1"/>
        <v>48681.86994727177</v>
      </c>
      <c r="T47" s="191">
        <f t="shared" si="2"/>
        <v>0.048338368580060916</v>
      </c>
      <c r="U47" s="30"/>
    </row>
    <row r="48" spans="4:20" ht="16.5" thickBot="1">
      <c r="D48" s="71"/>
      <c r="E48" s="37"/>
      <c r="G48" s="2"/>
      <c r="N48" s="177"/>
      <c r="O48" s="416"/>
      <c r="P48" s="178"/>
      <c r="Q48" s="178"/>
      <c r="R48" s="412"/>
      <c r="S48" s="413"/>
      <c r="T48" s="198"/>
    </row>
    <row r="49" spans="4:20" ht="15.75" thickTop="1">
      <c r="D49" s="71"/>
      <c r="E49" s="37"/>
      <c r="G49" s="2"/>
      <c r="N49" s="2"/>
      <c r="P49" s="20"/>
      <c r="Q49" s="20"/>
      <c r="T49" s="1" t="str">
        <f>WN</f>
        <v>February 2009</v>
      </c>
    </row>
    <row r="50" spans="4:17" ht="15">
      <c r="D50" s="71"/>
      <c r="E50" s="37"/>
      <c r="F50" s="81"/>
      <c r="G50" s="2"/>
      <c r="N50" s="2"/>
      <c r="P50" s="243"/>
      <c r="Q50" s="243"/>
    </row>
    <row r="51" spans="4:20" ht="15.75" thickBot="1">
      <c r="D51" s="71"/>
      <c r="E51" s="37"/>
      <c r="G51" s="2"/>
      <c r="N51" s="2"/>
      <c r="T51" s="1" t="s">
        <v>496</v>
      </c>
    </row>
    <row r="52" spans="4:20" ht="16.5" thickTop="1">
      <c r="D52" s="71"/>
      <c r="E52" s="37"/>
      <c r="G52" s="2"/>
      <c r="N52" s="780" t="s">
        <v>32</v>
      </c>
      <c r="O52" s="781"/>
      <c r="P52" s="781"/>
      <c r="Q52" s="781"/>
      <c r="R52" s="781"/>
      <c r="S52" s="781"/>
      <c r="T52" s="782"/>
    </row>
    <row r="53" spans="5:20" ht="15.75" thickBot="1">
      <c r="E53" s="37"/>
      <c r="N53" s="783" t="str">
        <f>"Fiscal Year 2008 "</f>
        <v>Fiscal Year 2008 </v>
      </c>
      <c r="O53" s="784"/>
      <c r="P53" s="784"/>
      <c r="Q53" s="784"/>
      <c r="R53" s="784"/>
      <c r="S53" s="784"/>
      <c r="T53" s="785"/>
    </row>
    <row r="54" spans="5:20" ht="15.75" thickTop="1">
      <c r="E54" s="37"/>
      <c r="N54" s="184"/>
      <c r="O54" s="575" t="s">
        <v>423</v>
      </c>
      <c r="P54" s="786" t="s">
        <v>234</v>
      </c>
      <c r="Q54" s="770"/>
      <c r="R54" s="786" t="s">
        <v>528</v>
      </c>
      <c r="S54" s="787"/>
      <c r="T54" s="777" t="s">
        <v>209</v>
      </c>
    </row>
    <row r="55" spans="5:20" ht="15">
      <c r="E55" s="37"/>
      <c r="F55" s="81"/>
      <c r="G55" s="2"/>
      <c r="N55" s="187"/>
      <c r="O55" s="207"/>
      <c r="P55" s="72"/>
      <c r="Q55" s="72"/>
      <c r="R55" s="207"/>
      <c r="S55" s="215"/>
      <c r="T55" s="778"/>
    </row>
    <row r="56" spans="7:20" ht="15.75" thickBot="1">
      <c r="G56" s="2"/>
      <c r="N56" s="227"/>
      <c r="O56" s="293" t="str">
        <f>"FY "&amp;FY</f>
        <v>FY </v>
      </c>
      <c r="P56" s="295" t="s">
        <v>206</v>
      </c>
      <c r="Q56" s="295" t="s">
        <v>658</v>
      </c>
      <c r="R56" s="296" t="s">
        <v>492</v>
      </c>
      <c r="S56" s="294" t="s">
        <v>493</v>
      </c>
      <c r="T56" s="779"/>
    </row>
    <row r="57" spans="3:20" ht="15.75" thickTop="1">
      <c r="C57" s="114"/>
      <c r="D57" s="115"/>
      <c r="G57" s="2"/>
      <c r="N57" s="184"/>
      <c r="O57" s="414" t="s">
        <v>78</v>
      </c>
      <c r="P57" s="383" t="s">
        <v>79</v>
      </c>
      <c r="Q57" s="383" t="s">
        <v>80</v>
      </c>
      <c r="R57" s="407" t="s">
        <v>81</v>
      </c>
      <c r="S57" s="408" t="s">
        <v>82</v>
      </c>
      <c r="T57" s="384" t="s">
        <v>83</v>
      </c>
    </row>
    <row r="58" spans="4:20" ht="15">
      <c r="D58" s="71"/>
      <c r="G58" s="2"/>
      <c r="N58" s="187"/>
      <c r="O58" s="415"/>
      <c r="P58" s="38"/>
      <c r="Q58" s="38"/>
      <c r="R58" s="409"/>
      <c r="S58" s="410"/>
      <c r="T58" s="191"/>
    </row>
    <row r="59" spans="3:20" ht="15">
      <c r="C59" s="115"/>
      <c r="D59" s="115"/>
      <c r="G59" s="2"/>
      <c r="N59" s="388">
        <v>3400</v>
      </c>
      <c r="O59" s="415">
        <f>+C43</f>
        <v>1085.818470940014</v>
      </c>
      <c r="P59" s="379">
        <f>+P47+Rates!$F$117</f>
        <v>34.04999999999999</v>
      </c>
      <c r="Q59" s="379">
        <f>+Q47+Rates!$G$117</f>
        <v>35.7</v>
      </c>
      <c r="R59" s="253">
        <f aca="true" t="shared" si="4" ref="R59:R75">+P59*O59</f>
        <v>36972.11893550747</v>
      </c>
      <c r="S59" s="259">
        <f aca="true" t="shared" si="5" ref="S59:S75">+Q59*O59</f>
        <v>38763.71941255851</v>
      </c>
      <c r="T59" s="191">
        <f aca="true" t="shared" si="6" ref="T59:T77">(Q59-P59)/P59</f>
        <v>0.04845814977973607</v>
      </c>
    </row>
    <row r="60" spans="1:20" ht="15">
      <c r="A60" s="68"/>
      <c r="E60" s="116"/>
      <c r="G60" s="2"/>
      <c r="N60" s="388">
        <v>3500</v>
      </c>
      <c r="O60" s="415">
        <f>+C44</f>
        <v>6881.332538743682</v>
      </c>
      <c r="P60" s="379">
        <f>+P59+Rates!$F$117</f>
        <v>34.99999999999999</v>
      </c>
      <c r="Q60" s="379">
        <f>+Q59+Rates!$G$117</f>
        <v>36.7</v>
      </c>
      <c r="R60" s="253">
        <f t="shared" si="4"/>
        <v>240846.63885602882</v>
      </c>
      <c r="S60" s="259">
        <f t="shared" si="5"/>
        <v>252544.90417189314</v>
      </c>
      <c r="T60" s="191">
        <f t="shared" si="6"/>
        <v>0.04857142857142886</v>
      </c>
    </row>
    <row r="61" spans="5:20" ht="15">
      <c r="E61" s="37"/>
      <c r="G61" s="2"/>
      <c r="N61" s="388">
        <v>3600</v>
      </c>
      <c r="O61" s="415">
        <f>+F9</f>
        <v>1402.9357333507714</v>
      </c>
      <c r="P61" s="379">
        <f>+P60+Rates!$F$117</f>
        <v>35.949999999999996</v>
      </c>
      <c r="Q61" s="379">
        <f>+Q60+Rates!$G$117</f>
        <v>37.7</v>
      </c>
      <c r="R61" s="253">
        <f t="shared" si="4"/>
        <v>50435.53961396023</v>
      </c>
      <c r="S61" s="259">
        <f t="shared" si="5"/>
        <v>52890.67714732409</v>
      </c>
      <c r="T61" s="191">
        <f t="shared" si="6"/>
        <v>0.04867872044506279</v>
      </c>
    </row>
    <row r="62" spans="1:20" ht="15">
      <c r="A62" s="69"/>
      <c r="E62" s="116"/>
      <c r="G62" s="2"/>
      <c r="N62" s="388">
        <v>3700</v>
      </c>
      <c r="O62" s="415">
        <f>+F10</f>
        <v>927.8201175834176</v>
      </c>
      <c r="P62" s="379">
        <f>+P61+Rates!$F$117</f>
        <v>36.9</v>
      </c>
      <c r="Q62" s="379">
        <f>+Q61+Rates!$G$117</f>
        <v>38.7</v>
      </c>
      <c r="R62" s="253">
        <f t="shared" si="4"/>
        <v>34236.56233882811</v>
      </c>
      <c r="S62" s="259">
        <f t="shared" si="5"/>
        <v>35906.63855047827</v>
      </c>
      <c r="T62" s="191">
        <f t="shared" si="6"/>
        <v>0.04878048780487817</v>
      </c>
    </row>
    <row r="63" spans="7:20" ht="15">
      <c r="G63" s="2"/>
      <c r="N63" s="385">
        <v>3800</v>
      </c>
      <c r="O63" s="415">
        <f>+F11</f>
        <v>1055.5634671057724</v>
      </c>
      <c r="P63" s="379">
        <f>+P62+Rates!$F$117</f>
        <v>37.85</v>
      </c>
      <c r="Q63" s="379">
        <f>+Q62+Rates!$G$117</f>
        <v>39.7</v>
      </c>
      <c r="R63" s="253">
        <f t="shared" si="4"/>
        <v>39953.07722995349</v>
      </c>
      <c r="S63" s="259">
        <f t="shared" si="5"/>
        <v>41905.86964409916</v>
      </c>
      <c r="T63" s="191">
        <f t="shared" si="6"/>
        <v>0.04887714663143993</v>
      </c>
    </row>
    <row r="64" spans="7:20" ht="15">
      <c r="G64" s="2"/>
      <c r="N64" s="386">
        <v>3900</v>
      </c>
      <c r="O64" s="415">
        <f aca="true" t="shared" si="7" ref="O64:O75">+F12</f>
        <v>663.3689729581922</v>
      </c>
      <c r="P64" s="379">
        <f>P63+Rates!F$117</f>
        <v>38.800000000000004</v>
      </c>
      <c r="Q64" s="387">
        <f>Q63+Rates!G$117</f>
        <v>40.7</v>
      </c>
      <c r="R64" s="253">
        <f t="shared" si="4"/>
        <v>25738.716150777862</v>
      </c>
      <c r="S64" s="259">
        <f t="shared" si="5"/>
        <v>26999.117199398424</v>
      </c>
      <c r="T64" s="191">
        <f t="shared" si="6"/>
        <v>0.04896907216494841</v>
      </c>
    </row>
    <row r="65" spans="7:20" ht="15">
      <c r="G65" s="2"/>
      <c r="N65" s="386">
        <v>4000</v>
      </c>
      <c r="O65" s="415">
        <f t="shared" si="7"/>
        <v>11196.592530064623</v>
      </c>
      <c r="P65" s="379">
        <f>P64+Rates!F$117</f>
        <v>39.75000000000001</v>
      </c>
      <c r="Q65" s="379">
        <f>Q64+Rates!G$117</f>
        <v>41.7</v>
      </c>
      <c r="R65" s="253">
        <f t="shared" si="4"/>
        <v>445064.5530700688</v>
      </c>
      <c r="S65" s="259">
        <f t="shared" si="5"/>
        <v>466897.9085036948</v>
      </c>
      <c r="T65" s="191">
        <f t="shared" si="6"/>
        <v>0.04905660377358479</v>
      </c>
    </row>
    <row r="66" spans="2:20" ht="15">
      <c r="B66" s="380"/>
      <c r="G66" s="2"/>
      <c r="N66" s="386">
        <v>4100</v>
      </c>
      <c r="O66" s="415">
        <f t="shared" si="7"/>
        <v>432.5344992599024</v>
      </c>
      <c r="P66" s="379">
        <f>P65+Rates!F$117</f>
        <v>40.70000000000001</v>
      </c>
      <c r="Q66" s="379">
        <f>Q65+Rates!G$117</f>
        <v>42.7</v>
      </c>
      <c r="R66" s="253">
        <f t="shared" si="4"/>
        <v>17604.154119878032</v>
      </c>
      <c r="S66" s="259">
        <f t="shared" si="5"/>
        <v>18469.223118397833</v>
      </c>
      <c r="T66" s="191">
        <f t="shared" si="6"/>
        <v>0.04914004914004896</v>
      </c>
    </row>
    <row r="67" spans="7:21" ht="15">
      <c r="G67" s="2"/>
      <c r="N67" s="386">
        <v>4200</v>
      </c>
      <c r="O67" s="415">
        <f t="shared" si="7"/>
        <v>633.1139691239505</v>
      </c>
      <c r="P67" s="379">
        <f>P66+Rates!F$117</f>
        <v>41.65000000000001</v>
      </c>
      <c r="Q67" s="379">
        <f>Q66+Rates!G$117</f>
        <v>43.7</v>
      </c>
      <c r="R67" s="253">
        <f t="shared" si="4"/>
        <v>26369.196814012546</v>
      </c>
      <c r="S67" s="259">
        <f t="shared" si="5"/>
        <v>27667.08045071664</v>
      </c>
      <c r="T67" s="191">
        <f t="shared" si="6"/>
        <v>0.049219687875149805</v>
      </c>
      <c r="U67" s="10"/>
    </row>
    <row r="68" spans="7:20" ht="15">
      <c r="G68" s="2"/>
      <c r="N68" s="385">
        <v>4300</v>
      </c>
      <c r="O68" s="415">
        <f t="shared" si="7"/>
        <v>546.8311804114828</v>
      </c>
      <c r="P68" s="379">
        <f>P67+Rates!F$117</f>
        <v>42.600000000000016</v>
      </c>
      <c r="Q68" s="379">
        <f>Q67+Rates!G$117</f>
        <v>44.7</v>
      </c>
      <c r="R68" s="253">
        <f t="shared" si="4"/>
        <v>23295.008285529177</v>
      </c>
      <c r="S68" s="259">
        <f t="shared" si="5"/>
        <v>24443.353764393283</v>
      </c>
      <c r="T68" s="191">
        <f t="shared" si="6"/>
        <v>0.04929577464788701</v>
      </c>
    </row>
    <row r="69" spans="7:20" ht="15">
      <c r="G69" s="2"/>
      <c r="N69" s="386">
        <v>4400</v>
      </c>
      <c r="O69" s="415">
        <f t="shared" si="7"/>
        <v>403.400051123225</v>
      </c>
      <c r="P69" s="379">
        <f>P68+Rates!F$117</f>
        <v>43.55000000000002</v>
      </c>
      <c r="Q69" s="379">
        <f>Q68+Rates!G$117</f>
        <v>45.7</v>
      </c>
      <c r="R69" s="253">
        <f t="shared" si="4"/>
        <v>17568.072226416458</v>
      </c>
      <c r="S69" s="259">
        <f t="shared" si="5"/>
        <v>18435.382336331386</v>
      </c>
      <c r="T69" s="191">
        <f t="shared" si="6"/>
        <v>0.049368541905854955</v>
      </c>
    </row>
    <row r="70" spans="7:21" ht="15">
      <c r="G70" s="2"/>
      <c r="N70" s="386">
        <v>4500</v>
      </c>
      <c r="O70" s="415">
        <f t="shared" si="7"/>
        <v>2229.905838153383</v>
      </c>
      <c r="P70" s="379">
        <f>P69+Rates!F$117</f>
        <v>44.50000000000002</v>
      </c>
      <c r="Q70" s="379">
        <f>Q69+Rates!G$117</f>
        <v>46.7</v>
      </c>
      <c r="R70" s="253">
        <f t="shared" si="4"/>
        <v>99230.80979782558</v>
      </c>
      <c r="S70" s="259">
        <f t="shared" si="5"/>
        <v>104136.60264176298</v>
      </c>
      <c r="T70" s="191">
        <f t="shared" si="6"/>
        <v>0.049438202247190574</v>
      </c>
      <c r="U70" s="30"/>
    </row>
    <row r="71" spans="2:20" ht="15">
      <c r="B71" s="54"/>
      <c r="G71" s="2"/>
      <c r="N71" s="386">
        <v>4600</v>
      </c>
      <c r="O71" s="415">
        <f t="shared" si="7"/>
        <v>434.7756106550314</v>
      </c>
      <c r="P71" s="379">
        <f>P70+Rates!F$117</f>
        <v>45.450000000000024</v>
      </c>
      <c r="Q71" s="379">
        <f>Q70+Rates!G$117</f>
        <v>47.7</v>
      </c>
      <c r="R71" s="253">
        <f t="shared" si="4"/>
        <v>19760.55150427119</v>
      </c>
      <c r="S71" s="259">
        <f t="shared" si="5"/>
        <v>20738.796628245</v>
      </c>
      <c r="T71" s="191">
        <f t="shared" si="6"/>
        <v>0.04950495049504901</v>
      </c>
    </row>
    <row r="72" spans="2:21" ht="15">
      <c r="B72" s="72"/>
      <c r="G72" s="2"/>
      <c r="N72" s="386">
        <v>4700</v>
      </c>
      <c r="O72" s="415">
        <f t="shared" si="7"/>
        <v>318.237818108322</v>
      </c>
      <c r="P72" s="379">
        <f>P71+Rates!F$117</f>
        <v>46.40000000000003</v>
      </c>
      <c r="Q72" s="379">
        <f>Q71+Rates!G$117</f>
        <v>48.7</v>
      </c>
      <c r="R72" s="253">
        <f t="shared" si="4"/>
        <v>14766.23476022615</v>
      </c>
      <c r="S72" s="259">
        <f t="shared" si="5"/>
        <v>15498.181741875283</v>
      </c>
      <c r="T72" s="191">
        <f t="shared" si="6"/>
        <v>0.04956896551724083</v>
      </c>
      <c r="U72" s="4"/>
    </row>
    <row r="73" spans="7:20" ht="15">
      <c r="G73" s="2"/>
      <c r="N73" s="385">
        <v>4800</v>
      </c>
      <c r="O73" s="415">
        <f t="shared" si="7"/>
        <v>543.4695133187894</v>
      </c>
      <c r="P73" s="379">
        <f>P72+Rates!F$117</f>
        <v>47.35000000000003</v>
      </c>
      <c r="Q73" s="379">
        <f>Q72+Rates!G$117</f>
        <v>49.7</v>
      </c>
      <c r="R73" s="253">
        <f t="shared" si="4"/>
        <v>25733.281455644694</v>
      </c>
      <c r="S73" s="259">
        <f t="shared" si="5"/>
        <v>27010.434811943833</v>
      </c>
      <c r="T73" s="191">
        <f t="shared" si="6"/>
        <v>0.04963041182682094</v>
      </c>
    </row>
    <row r="74" spans="7:20" ht="15">
      <c r="G74" s="2"/>
      <c r="N74" s="386">
        <v>4900</v>
      </c>
      <c r="O74" s="415">
        <f t="shared" si="7"/>
        <v>264.4511446252253</v>
      </c>
      <c r="P74" s="379">
        <f>P73+Rates!F$117</f>
        <v>48.30000000000003</v>
      </c>
      <c r="Q74" s="379">
        <f>Q73+Rates!G$117</f>
        <v>50.7</v>
      </c>
      <c r="R74" s="253">
        <f t="shared" si="4"/>
        <v>12772.990285398391</v>
      </c>
      <c r="S74" s="259">
        <f t="shared" si="5"/>
        <v>13407.673032498924</v>
      </c>
      <c r="T74" s="191">
        <f t="shared" si="6"/>
        <v>0.04968944099378817</v>
      </c>
    </row>
    <row r="75" spans="7:21" ht="15">
      <c r="G75" s="2"/>
      <c r="N75" s="386">
        <v>5000</v>
      </c>
      <c r="O75" s="415">
        <f t="shared" si="7"/>
        <v>25974.481069545436</v>
      </c>
      <c r="P75" s="379">
        <f>P74+Rates!F$117</f>
        <v>49.250000000000036</v>
      </c>
      <c r="Q75" s="379">
        <f>Q74+Rates!G$117</f>
        <v>51.7</v>
      </c>
      <c r="R75" s="253">
        <f t="shared" si="4"/>
        <v>1279243.1926751137</v>
      </c>
      <c r="S75" s="259">
        <f t="shared" si="5"/>
        <v>1342880.6712954992</v>
      </c>
      <c r="T75" s="191">
        <f t="shared" si="6"/>
        <v>0.049746192893400314</v>
      </c>
      <c r="U75" s="30"/>
    </row>
    <row r="76" spans="7:21" ht="15">
      <c r="G76" s="2"/>
      <c r="N76" s="386"/>
      <c r="O76" s="415"/>
      <c r="P76" s="379"/>
      <c r="Q76" s="379"/>
      <c r="R76" s="409"/>
      <c r="S76" s="410"/>
      <c r="T76" s="191"/>
      <c r="U76" s="30"/>
    </row>
    <row r="77" spans="4:21" ht="15">
      <c r="D77" s="71"/>
      <c r="G77" s="2"/>
      <c r="N77" s="417" t="s">
        <v>113</v>
      </c>
      <c r="O77" s="562">
        <f>+F26</f>
        <v>606655</v>
      </c>
      <c r="P77" s="379">
        <f>+Rates!F118</f>
        <v>4.06717162143228</v>
      </c>
      <c r="Q77" s="379">
        <f>+Rates!G118</f>
        <v>4.222991579298212</v>
      </c>
      <c r="R77" s="253">
        <f>+P77*O77</f>
        <v>2467370</v>
      </c>
      <c r="S77" s="259">
        <f>+Q77*O77</f>
        <v>2561898.9565391564</v>
      </c>
      <c r="T77" s="191">
        <f t="shared" si="6"/>
        <v>0.038311625957662104</v>
      </c>
      <c r="U77" s="30"/>
    </row>
    <row r="78" spans="4:21" ht="15">
      <c r="D78" s="71"/>
      <c r="G78" s="2"/>
      <c r="N78" s="418"/>
      <c r="O78" s="415"/>
      <c r="P78" s="379"/>
      <c r="Q78" s="379"/>
      <c r="R78" s="409"/>
      <c r="S78" s="410"/>
      <c r="T78" s="191"/>
      <c r="U78" s="30"/>
    </row>
    <row r="79" spans="4:20" ht="15">
      <c r="D79" s="107"/>
      <c r="G79" s="2"/>
      <c r="N79" s="417" t="s">
        <v>105</v>
      </c>
      <c r="O79" s="415">
        <f>SUM(O14:O77)</f>
        <v>51595219.999999985</v>
      </c>
      <c r="P79" s="379"/>
      <c r="Q79" s="379"/>
      <c r="R79" s="409">
        <f>SUM(R14:R77)</f>
        <v>147829910.9334744</v>
      </c>
      <c r="S79" s="410">
        <f>SUM(S14:S77)</f>
        <v>153493515.18651217</v>
      </c>
      <c r="T79" s="191" t="s">
        <v>138</v>
      </c>
    </row>
    <row r="80" spans="4:21" ht="15">
      <c r="D80" s="118"/>
      <c r="E80" s="37"/>
      <c r="G80" s="2"/>
      <c r="N80" s="417"/>
      <c r="O80" s="415"/>
      <c r="P80" s="379"/>
      <c r="Q80" s="379"/>
      <c r="R80" s="409"/>
      <c r="S80" s="410"/>
      <c r="T80" s="191"/>
      <c r="U80" s="30"/>
    </row>
    <row r="81" spans="4:21" ht="15">
      <c r="D81" s="71"/>
      <c r="E81" s="37"/>
      <c r="G81" s="2"/>
      <c r="N81" s="417" t="s">
        <v>273</v>
      </c>
      <c r="O81" s="562">
        <f>+'Express Mail Insurance'!I24</f>
        <v>573222</v>
      </c>
      <c r="P81" s="379"/>
      <c r="Q81" s="379"/>
      <c r="R81" s="564">
        <f>+'Express Mail Insurance'!L24</f>
        <v>1833492.5999999999</v>
      </c>
      <c r="S81" s="563">
        <f>+'Express Mail Insurance'!M24</f>
        <v>1885476.9000000001</v>
      </c>
      <c r="T81" s="191"/>
      <c r="U81" s="30"/>
    </row>
    <row r="82" spans="4:21" ht="15">
      <c r="D82" s="71"/>
      <c r="E82" s="37"/>
      <c r="F82" s="117"/>
      <c r="G82" s="2"/>
      <c r="N82" s="417"/>
      <c r="O82" s="415"/>
      <c r="P82" s="379"/>
      <c r="Q82" s="379"/>
      <c r="R82" s="409"/>
      <c r="S82" s="410"/>
      <c r="T82" s="191"/>
      <c r="U82" s="30"/>
    </row>
    <row r="83" spans="4:21" ht="15">
      <c r="D83" s="71"/>
      <c r="E83" s="37"/>
      <c r="G83" s="2"/>
      <c r="N83" s="418" t="s">
        <v>118</v>
      </c>
      <c r="O83" s="415">
        <f>+O81+O79</f>
        <v>52168441.999999985</v>
      </c>
      <c r="P83" s="379"/>
      <c r="Q83" s="379"/>
      <c r="R83" s="409">
        <f>+R81+R79</f>
        <v>149663403.5334744</v>
      </c>
      <c r="S83" s="410">
        <f>+S81+S79</f>
        <v>155378992.08651218</v>
      </c>
      <c r="T83" s="191"/>
      <c r="U83" s="22"/>
    </row>
    <row r="84" spans="4:21" ht="15">
      <c r="D84" s="71"/>
      <c r="E84" s="37"/>
      <c r="G84" s="2"/>
      <c r="N84" s="386"/>
      <c r="O84" s="415"/>
      <c r="P84" s="379"/>
      <c r="Q84" s="379"/>
      <c r="R84" s="409"/>
      <c r="S84" s="410"/>
      <c r="T84" s="191"/>
      <c r="U84" s="22"/>
    </row>
    <row r="85" spans="4:21" ht="16.5" thickBot="1">
      <c r="D85" s="71"/>
      <c r="E85" s="37"/>
      <c r="G85" s="2"/>
      <c r="N85" s="177"/>
      <c r="O85" s="416"/>
      <c r="P85" s="178"/>
      <c r="Q85" s="178"/>
      <c r="R85" s="412"/>
      <c r="S85" s="413"/>
      <c r="T85" s="198"/>
      <c r="U85" s="22"/>
    </row>
    <row r="86" spans="4:20" ht="15.75" thickTop="1">
      <c r="D86" s="71"/>
      <c r="E86" s="37"/>
      <c r="G86" s="2"/>
      <c r="N86" s="184" t="s">
        <v>691</v>
      </c>
      <c r="O86" s="199"/>
      <c r="P86" s="199"/>
      <c r="Q86" s="199"/>
      <c r="R86" s="199"/>
      <c r="S86" s="391"/>
      <c r="T86" s="200"/>
    </row>
    <row r="87" spans="4:20" ht="15">
      <c r="D87" s="71"/>
      <c r="E87" s="37"/>
      <c r="G87" s="2"/>
      <c r="N87" s="187" t="s">
        <v>498</v>
      </c>
      <c r="O87" s="36"/>
      <c r="P87" s="36"/>
      <c r="Q87" s="36"/>
      <c r="R87" s="36"/>
      <c r="S87" s="36"/>
      <c r="T87" s="189"/>
    </row>
    <row r="88" spans="4:20" ht="15.75" thickBot="1">
      <c r="D88" s="71"/>
      <c r="E88" s="37"/>
      <c r="G88" s="2"/>
      <c r="N88" s="364"/>
      <c r="O88" s="197"/>
      <c r="P88" s="197"/>
      <c r="Q88" s="197"/>
      <c r="R88" s="197"/>
      <c r="S88" s="197"/>
      <c r="T88" s="198"/>
    </row>
    <row r="89" spans="4:7" ht="15.75" thickTop="1">
      <c r="D89" s="71"/>
      <c r="E89" s="37"/>
      <c r="G89" s="2"/>
    </row>
    <row r="90" spans="4:7" ht="15">
      <c r="D90" s="71"/>
      <c r="E90" s="37"/>
      <c r="G90" s="2"/>
    </row>
    <row r="91" spans="4:7" ht="15">
      <c r="D91" s="71"/>
      <c r="E91" s="37"/>
      <c r="F91" s="119"/>
      <c r="G91" s="2"/>
    </row>
    <row r="92" spans="4:7" ht="15">
      <c r="D92" s="71"/>
      <c r="E92" s="37"/>
      <c r="G92" s="2"/>
    </row>
    <row r="93" spans="4:7" ht="15">
      <c r="D93" s="71"/>
      <c r="E93" s="37"/>
      <c r="G93" s="2"/>
    </row>
    <row r="94" spans="4:5" ht="15">
      <c r="D94" s="71"/>
      <c r="E94" s="37"/>
    </row>
    <row r="95" spans="4:5" ht="15">
      <c r="D95" s="71"/>
      <c r="E95" s="37"/>
    </row>
    <row r="96" spans="4:5" ht="15">
      <c r="D96" s="71"/>
      <c r="E96" s="37"/>
    </row>
    <row r="97" spans="4:5" ht="15">
      <c r="D97" s="71"/>
      <c r="E97" s="37"/>
    </row>
    <row r="98" spans="4:5" ht="15">
      <c r="D98" s="71"/>
      <c r="E98" s="37"/>
    </row>
    <row r="99" spans="4:5" ht="15">
      <c r="D99" s="71"/>
      <c r="E99" s="37"/>
    </row>
    <row r="100" spans="4:5" ht="15">
      <c r="D100" s="71"/>
      <c r="E100" s="37"/>
    </row>
    <row r="101" spans="4:5" ht="15">
      <c r="D101" s="71"/>
      <c r="E101" s="37"/>
    </row>
    <row r="102" spans="4:5" ht="15">
      <c r="D102" s="71"/>
      <c r="E102" s="37"/>
    </row>
    <row r="103" spans="4:5" ht="15">
      <c r="D103" s="71"/>
      <c r="E103" s="37"/>
    </row>
    <row r="104" spans="4:5" ht="15">
      <c r="D104" s="71"/>
      <c r="E104" s="37"/>
    </row>
    <row r="105" spans="4:5" ht="15">
      <c r="D105" s="71"/>
      <c r="E105" s="37"/>
    </row>
    <row r="106" spans="4:5" ht="15">
      <c r="D106" s="71"/>
      <c r="E106" s="37"/>
    </row>
    <row r="107" spans="4:5" ht="15">
      <c r="D107" s="71"/>
      <c r="E107" s="37"/>
    </row>
    <row r="108" spans="4:5" ht="15">
      <c r="D108" s="71"/>
      <c r="E108" s="37"/>
    </row>
    <row r="109" spans="4:5" ht="15">
      <c r="D109" s="71"/>
      <c r="E109" s="37"/>
    </row>
    <row r="110" spans="4:5" ht="15">
      <c r="D110" s="71"/>
      <c r="E110" s="37"/>
    </row>
    <row r="111" spans="4:5" ht="15">
      <c r="D111" s="71"/>
      <c r="E111" s="37"/>
    </row>
    <row r="112" spans="4:5" ht="15">
      <c r="D112" s="71"/>
      <c r="E112" s="37"/>
    </row>
    <row r="113" spans="4:5" ht="15">
      <c r="D113" s="71"/>
      <c r="E113" s="37"/>
    </row>
    <row r="114" spans="4:5" ht="15">
      <c r="D114" s="71"/>
      <c r="E114" s="37"/>
    </row>
    <row r="115" spans="4:5" ht="15">
      <c r="D115" s="71"/>
      <c r="E115" s="37"/>
    </row>
    <row r="116" spans="4:5" ht="15">
      <c r="D116" s="71"/>
      <c r="E116" s="37"/>
    </row>
    <row r="117" spans="4:5" ht="15">
      <c r="D117" s="71"/>
      <c r="E117" s="37"/>
    </row>
    <row r="118" spans="4:5" ht="15">
      <c r="D118" s="71"/>
      <c r="E118" s="37"/>
    </row>
    <row r="119" spans="4:5" ht="15">
      <c r="D119" s="71"/>
      <c r="E119" s="37"/>
    </row>
    <row r="120" spans="4:5" ht="15">
      <c r="D120" s="71"/>
      <c r="E120" s="37"/>
    </row>
    <row r="121" spans="4:5" ht="15">
      <c r="D121" s="71"/>
      <c r="E121" s="37"/>
    </row>
    <row r="122" spans="4:5" ht="15">
      <c r="D122" s="71"/>
      <c r="E122" s="37"/>
    </row>
    <row r="123" ht="15">
      <c r="E123" s="37"/>
    </row>
    <row r="124" ht="15">
      <c r="E124" s="37"/>
    </row>
    <row r="125" ht="15">
      <c r="E125" s="37"/>
    </row>
    <row r="126" ht="15">
      <c r="E126" s="93"/>
    </row>
    <row r="127" ht="15">
      <c r="E127" s="93"/>
    </row>
    <row r="128" ht="15">
      <c r="E128" s="37"/>
    </row>
    <row r="129" spans="3:4" ht="15">
      <c r="C129" s="21"/>
      <c r="D129" s="21"/>
    </row>
    <row r="213" ht="15">
      <c r="U213" s="4" t="s">
        <v>77</v>
      </c>
    </row>
    <row r="285" spans="1:2" ht="15">
      <c r="A285" s="1" t="e">
        <f>('Special Handling'!K23+'Special Handling'!K28+'Special Handling'!K33+'Special Handling'!#REF!+'Special Handling'!#REF!)/1000</f>
        <v>#REF!</v>
      </c>
      <c r="B285" s="381"/>
    </row>
    <row r="286" spans="1:2" ht="15">
      <c r="A286" s="16" t="e">
        <f>('Special Handling'!K24+'Special Handling'!K29+'Special Handling'!K34+'Special Handling'!#REF!+'Special Handling'!K509)/1000</f>
        <v>#REF!</v>
      </c>
      <c r="B286" s="381"/>
    </row>
    <row r="287" ht="15">
      <c r="B287" s="381"/>
    </row>
  </sheetData>
  <mergeCells count="12">
    <mergeCell ref="N52:T52"/>
    <mergeCell ref="N53:T53"/>
    <mergeCell ref="P54:Q54"/>
    <mergeCell ref="R54:S54"/>
    <mergeCell ref="T54:T56"/>
    <mergeCell ref="T9:T11"/>
    <mergeCell ref="P9:Q9"/>
    <mergeCell ref="R9:S9"/>
    <mergeCell ref="B3:F3"/>
    <mergeCell ref="B4:F4"/>
    <mergeCell ref="N7:T7"/>
    <mergeCell ref="N8:T8"/>
  </mergeCells>
  <printOptions horizontalCentered="1"/>
  <pageMargins left="0.25" right="0.25" top="0.5" bottom="0.5" header="0.5" footer="0.5"/>
  <pageSetup fitToHeight="2" horizontalDpi="600" verticalDpi="600" orientation="landscape" scale="73" r:id="rId1"/>
  <rowBreaks count="1" manualBreakCount="1">
    <brk id="48" min="13" max="2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9"/>
  </sheetPr>
  <dimension ref="A2:O290"/>
  <sheetViews>
    <sheetView zoomScale="70" zoomScaleNormal="70" workbookViewId="0" topLeftCell="A1">
      <selection activeCell="N2" sqref="N2"/>
    </sheetView>
  </sheetViews>
  <sheetFormatPr defaultColWidth="12.57421875" defaultRowHeight="12.75"/>
  <cols>
    <col min="1" max="1" width="9.28125" style="1" customWidth="1"/>
    <col min="2" max="2" width="13.00390625" style="1" customWidth="1"/>
    <col min="3" max="3" width="6.140625" style="1" customWidth="1"/>
    <col min="4" max="4" width="14.57421875" style="1" customWidth="1"/>
    <col min="5" max="5" width="18.00390625" style="1" customWidth="1"/>
    <col min="6" max="6" width="4.8515625" style="1" customWidth="1"/>
    <col min="7" max="7" width="3.57421875" style="1" customWidth="1"/>
    <col min="8" max="8" width="23.28125" style="1" customWidth="1"/>
    <col min="9" max="14" width="15.8515625" style="1" customWidth="1"/>
    <col min="15" max="15" width="2.8515625" style="1" customWidth="1"/>
    <col min="16" max="16384" width="12.57421875" style="1" customWidth="1"/>
  </cols>
  <sheetData>
    <row r="2" spans="10:14" ht="15.75">
      <c r="J2" s="392"/>
      <c r="K2" s="392"/>
      <c r="N2" s="9" t="str">
        <f>WN</f>
        <v>February 2009</v>
      </c>
    </row>
    <row r="3" spans="10:14" ht="15.75">
      <c r="J3" s="392"/>
      <c r="K3" s="392"/>
      <c r="N3" s="9"/>
    </row>
    <row r="4" spans="1:14" ht="16.5" thickBot="1">
      <c r="A4" s="798" t="s">
        <v>271</v>
      </c>
      <c r="B4" s="798"/>
      <c r="C4" s="798"/>
      <c r="D4" s="798"/>
      <c r="E4" s="798"/>
      <c r="J4" s="393"/>
      <c r="K4" s="393"/>
      <c r="N4" s="9"/>
    </row>
    <row r="5" spans="1:14" ht="16.5" thickTop="1">
      <c r="A5" s="798" t="s">
        <v>700</v>
      </c>
      <c r="B5" s="798"/>
      <c r="C5" s="798"/>
      <c r="D5" s="798"/>
      <c r="E5" s="798"/>
      <c r="H5" s="780" t="s">
        <v>273</v>
      </c>
      <c r="I5" s="781"/>
      <c r="J5" s="781"/>
      <c r="K5" s="781"/>
      <c r="L5" s="781"/>
      <c r="M5" s="781"/>
      <c r="N5" s="782"/>
    </row>
    <row r="6" spans="1:14" ht="15.75" thickBot="1">
      <c r="A6" s="104"/>
      <c r="B6" s="104"/>
      <c r="C6" s="104"/>
      <c r="D6" s="104"/>
      <c r="E6" s="104"/>
      <c r="H6" s="783" t="str">
        <f>"Fiscal Year 2008 "</f>
        <v>Fiscal Year 2008 </v>
      </c>
      <c r="I6" s="784"/>
      <c r="J6" s="784"/>
      <c r="K6" s="784"/>
      <c r="L6" s="784"/>
      <c r="M6" s="784"/>
      <c r="N6" s="785"/>
    </row>
    <row r="7" spans="1:14" ht="15.75" thickTop="1">
      <c r="A7" s="104"/>
      <c r="B7" s="104"/>
      <c r="C7" s="104"/>
      <c r="D7" s="104"/>
      <c r="E7" s="104"/>
      <c r="H7" s="184"/>
      <c r="I7" s="575" t="s">
        <v>423</v>
      </c>
      <c r="J7" s="786" t="s">
        <v>234</v>
      </c>
      <c r="K7" s="770"/>
      <c r="L7" s="786" t="s">
        <v>528</v>
      </c>
      <c r="M7" s="787"/>
      <c r="N7" s="777" t="s">
        <v>209</v>
      </c>
    </row>
    <row r="8" spans="1:15" ht="15">
      <c r="A8" s="104"/>
      <c r="B8" s="599" t="s">
        <v>491</v>
      </c>
      <c r="C8" s="599"/>
      <c r="D8" s="600" t="s">
        <v>423</v>
      </c>
      <c r="E8" s="104"/>
      <c r="H8" s="187"/>
      <c r="I8" s="207"/>
      <c r="J8" s="72"/>
      <c r="K8" s="72"/>
      <c r="L8" s="207"/>
      <c r="M8" s="215"/>
      <c r="N8" s="778"/>
      <c r="O8" s="10"/>
    </row>
    <row r="9" spans="1:14" ht="15.75" thickBot="1">
      <c r="A9" s="601"/>
      <c r="B9" s="602"/>
      <c r="C9" s="602"/>
      <c r="D9" s="602"/>
      <c r="E9" s="104"/>
      <c r="H9" s="227"/>
      <c r="I9" s="293" t="str">
        <f>"FY "&amp;FY</f>
        <v>FY </v>
      </c>
      <c r="J9" s="295" t="s">
        <v>206</v>
      </c>
      <c r="K9" s="295" t="s">
        <v>683</v>
      </c>
      <c r="L9" s="296" t="s">
        <v>640</v>
      </c>
      <c r="M9" s="294" t="s">
        <v>683</v>
      </c>
      <c r="N9" s="779"/>
    </row>
    <row r="10" spans="1:15" ht="15.75" thickTop="1">
      <c r="A10" s="104"/>
      <c r="B10" s="603">
        <v>200</v>
      </c>
      <c r="C10" s="104"/>
      <c r="D10" s="97">
        <v>132533</v>
      </c>
      <c r="E10" s="104"/>
      <c r="H10" s="184"/>
      <c r="I10" s="401" t="s">
        <v>78</v>
      </c>
      <c r="J10" s="383" t="s">
        <v>79</v>
      </c>
      <c r="K10" s="383" t="s">
        <v>80</v>
      </c>
      <c r="L10" s="397" t="s">
        <v>81</v>
      </c>
      <c r="M10" s="399" t="s">
        <v>82</v>
      </c>
      <c r="N10" s="384" t="s">
        <v>83</v>
      </c>
      <c r="O10" s="30"/>
    </row>
    <row r="11" spans="1:15" ht="15">
      <c r="A11" s="104"/>
      <c r="B11" s="604">
        <v>500</v>
      </c>
      <c r="C11" s="104"/>
      <c r="D11" s="97">
        <v>224069</v>
      </c>
      <c r="E11" s="104"/>
      <c r="H11" s="187" t="s">
        <v>275</v>
      </c>
      <c r="I11" s="237"/>
      <c r="J11" s="38"/>
      <c r="K11" s="38"/>
      <c r="L11" s="209"/>
      <c r="M11" s="217"/>
      <c r="N11" s="191"/>
      <c r="O11" s="30"/>
    </row>
    <row r="12" spans="1:15" ht="15">
      <c r="A12" s="104"/>
      <c r="B12" s="604">
        <v>1000</v>
      </c>
      <c r="C12" s="104"/>
      <c r="D12" s="97">
        <v>106907</v>
      </c>
      <c r="E12" s="104"/>
      <c r="H12" s="395">
        <v>200</v>
      </c>
      <c r="I12" s="237">
        <f aca="true" t="shared" si="0" ref="I12:I22">+D10</f>
        <v>132533</v>
      </c>
      <c r="J12" s="571">
        <f>+Rates!F121</f>
        <v>0.75</v>
      </c>
      <c r="K12" s="571">
        <f>+Rates!G121</f>
        <v>0.75</v>
      </c>
      <c r="L12" s="253">
        <f aca="true" t="shared" si="1" ref="L12:L22">+J12*I12</f>
        <v>99399.75</v>
      </c>
      <c r="M12" s="259">
        <f aca="true" t="shared" si="2" ref="M12:M22">+K12*I12</f>
        <v>99399.75</v>
      </c>
      <c r="N12" s="191">
        <f>(K12-J12)/J12</f>
        <v>0</v>
      </c>
      <c r="O12" s="30"/>
    </row>
    <row r="13" spans="1:15" ht="15">
      <c r="A13" s="104"/>
      <c r="B13" s="604">
        <v>1500</v>
      </c>
      <c r="C13" s="104"/>
      <c r="D13" s="97">
        <v>31921</v>
      </c>
      <c r="E13" s="104"/>
      <c r="H13" s="395">
        <v>500</v>
      </c>
      <c r="I13" s="237">
        <f t="shared" si="0"/>
        <v>224069</v>
      </c>
      <c r="J13" s="571">
        <f>+Rates!F122</f>
        <v>2.1</v>
      </c>
      <c r="K13" s="571">
        <f>+Rates!G122</f>
        <v>2.15</v>
      </c>
      <c r="L13" s="253">
        <f t="shared" si="1"/>
        <v>470544.9</v>
      </c>
      <c r="M13" s="259">
        <f t="shared" si="2"/>
        <v>481748.35</v>
      </c>
      <c r="N13" s="191">
        <f aca="true" t="shared" si="3" ref="N13:N22">(K13-J13)/J13</f>
        <v>0.023809523809523725</v>
      </c>
      <c r="O13" s="30"/>
    </row>
    <row r="14" spans="1:15" ht="15">
      <c r="A14" s="104"/>
      <c r="B14" s="604">
        <v>2000</v>
      </c>
      <c r="C14" s="104"/>
      <c r="D14" s="97">
        <v>25626</v>
      </c>
      <c r="E14" s="104"/>
      <c r="H14" s="395">
        <v>1000</v>
      </c>
      <c r="I14" s="237">
        <f t="shared" si="0"/>
        <v>106907</v>
      </c>
      <c r="J14" s="571">
        <f>+J13+Rates!$F$123</f>
        <v>3.45</v>
      </c>
      <c r="K14" s="571">
        <f>+K13+Rates!$G$123</f>
        <v>3.55</v>
      </c>
      <c r="L14" s="253">
        <f t="shared" si="1"/>
        <v>368829.15</v>
      </c>
      <c r="M14" s="259">
        <f t="shared" si="2"/>
        <v>379519.85</v>
      </c>
      <c r="N14" s="191">
        <f t="shared" si="3"/>
        <v>0.028985507246376708</v>
      </c>
      <c r="O14" s="30"/>
    </row>
    <row r="15" spans="1:15" ht="15">
      <c r="A15" s="104"/>
      <c r="B15" s="604">
        <v>2500</v>
      </c>
      <c r="C15" s="104"/>
      <c r="D15" s="97">
        <v>9873</v>
      </c>
      <c r="E15" s="104"/>
      <c r="H15" s="395">
        <v>1500</v>
      </c>
      <c r="I15" s="237">
        <f t="shared" si="0"/>
        <v>31921</v>
      </c>
      <c r="J15" s="571">
        <f>+J14+Rates!$F$123</f>
        <v>4.800000000000001</v>
      </c>
      <c r="K15" s="571">
        <f>+K14+Rates!$G$123</f>
        <v>4.949999999999999</v>
      </c>
      <c r="L15" s="253">
        <f t="shared" si="1"/>
        <v>153220.80000000002</v>
      </c>
      <c r="M15" s="259">
        <f t="shared" si="2"/>
        <v>158008.94999999998</v>
      </c>
      <c r="N15" s="191">
        <f t="shared" si="3"/>
        <v>0.031249999999999698</v>
      </c>
      <c r="O15" s="30"/>
    </row>
    <row r="16" spans="1:15" ht="15">
      <c r="A16" s="104"/>
      <c r="B16" s="604">
        <v>3000</v>
      </c>
      <c r="C16" s="104"/>
      <c r="D16" s="97">
        <v>11279</v>
      </c>
      <c r="E16" s="104"/>
      <c r="H16" s="395">
        <v>2000</v>
      </c>
      <c r="I16" s="237">
        <f t="shared" si="0"/>
        <v>25626</v>
      </c>
      <c r="J16" s="571">
        <f>+J15+Rates!$F$123</f>
        <v>6.15</v>
      </c>
      <c r="K16" s="571">
        <f>+K15+Rates!$G$123</f>
        <v>6.35</v>
      </c>
      <c r="L16" s="253">
        <f t="shared" si="1"/>
        <v>157599.90000000002</v>
      </c>
      <c r="M16" s="259">
        <f t="shared" si="2"/>
        <v>162725.09999999998</v>
      </c>
      <c r="N16" s="191">
        <f t="shared" si="3"/>
        <v>0.03252032520325192</v>
      </c>
      <c r="O16" s="30"/>
    </row>
    <row r="17" spans="1:15" ht="15">
      <c r="A17" s="104"/>
      <c r="B17" s="604">
        <v>3500</v>
      </c>
      <c r="C17" s="104"/>
      <c r="D17" s="97">
        <v>3712</v>
      </c>
      <c r="E17" s="104"/>
      <c r="H17" s="395">
        <v>2500</v>
      </c>
      <c r="I17" s="237">
        <f t="shared" si="0"/>
        <v>9873</v>
      </c>
      <c r="J17" s="571">
        <f>+J16+Rates!$F$123</f>
        <v>7.5</v>
      </c>
      <c r="K17" s="571">
        <f>+K16+Rates!$G$123</f>
        <v>7.75</v>
      </c>
      <c r="L17" s="253">
        <f t="shared" si="1"/>
        <v>74047.5</v>
      </c>
      <c r="M17" s="259">
        <f t="shared" si="2"/>
        <v>76515.75</v>
      </c>
      <c r="N17" s="191">
        <f t="shared" si="3"/>
        <v>0.03333333333333333</v>
      </c>
      <c r="O17" s="30"/>
    </row>
    <row r="18" spans="1:15" ht="15">
      <c r="A18" s="104"/>
      <c r="B18" s="604">
        <v>4000</v>
      </c>
      <c r="C18" s="104"/>
      <c r="D18" s="97">
        <v>5441</v>
      </c>
      <c r="E18" s="104"/>
      <c r="H18" s="395">
        <v>3000</v>
      </c>
      <c r="I18" s="237">
        <f t="shared" si="0"/>
        <v>11279</v>
      </c>
      <c r="J18" s="571">
        <f>+J17+Rates!$F$123</f>
        <v>8.85</v>
      </c>
      <c r="K18" s="571">
        <f>+K17+Rates!$G$123</f>
        <v>9.15</v>
      </c>
      <c r="L18" s="253">
        <f t="shared" si="1"/>
        <v>99819.15</v>
      </c>
      <c r="M18" s="259">
        <f t="shared" si="2"/>
        <v>103202.85</v>
      </c>
      <c r="N18" s="191">
        <f t="shared" si="3"/>
        <v>0.033898305084745846</v>
      </c>
      <c r="O18" s="30"/>
    </row>
    <row r="19" spans="1:15" ht="15">
      <c r="A19" s="104"/>
      <c r="B19" s="604">
        <v>4500</v>
      </c>
      <c r="C19" s="104"/>
      <c r="D19" s="97">
        <v>1625</v>
      </c>
      <c r="E19" s="104"/>
      <c r="H19" s="395">
        <v>3500</v>
      </c>
      <c r="I19" s="237">
        <f t="shared" si="0"/>
        <v>3712</v>
      </c>
      <c r="J19" s="571">
        <f>+J18+Rates!$F$123</f>
        <v>10.2</v>
      </c>
      <c r="K19" s="571">
        <f>+K18+Rates!$G$123</f>
        <v>10.55</v>
      </c>
      <c r="L19" s="253">
        <f t="shared" si="1"/>
        <v>37862.399999999994</v>
      </c>
      <c r="M19" s="259">
        <f t="shared" si="2"/>
        <v>39161.600000000006</v>
      </c>
      <c r="N19" s="191">
        <f t="shared" si="3"/>
        <v>0.03431372549019622</v>
      </c>
      <c r="O19" s="30"/>
    </row>
    <row r="20" spans="1:15" ht="15">
      <c r="A20" s="104"/>
      <c r="B20" s="604">
        <v>5000</v>
      </c>
      <c r="C20" s="104"/>
      <c r="D20" s="313">
        <v>20236</v>
      </c>
      <c r="E20" s="104"/>
      <c r="H20" s="395">
        <v>4000</v>
      </c>
      <c r="I20" s="237">
        <f t="shared" si="0"/>
        <v>5441</v>
      </c>
      <c r="J20" s="571">
        <f>+J19+Rates!$F$123</f>
        <v>11.549999999999999</v>
      </c>
      <c r="K20" s="571">
        <f>+K19+Rates!$G$123</f>
        <v>11.950000000000001</v>
      </c>
      <c r="L20" s="253">
        <f t="shared" si="1"/>
        <v>62843.549999999996</v>
      </c>
      <c r="M20" s="259">
        <f t="shared" si="2"/>
        <v>65019.950000000004</v>
      </c>
      <c r="N20" s="191">
        <f t="shared" si="3"/>
        <v>0.03463203463203482</v>
      </c>
      <c r="O20" s="30"/>
    </row>
    <row r="21" spans="1:15" ht="15">
      <c r="A21" s="104"/>
      <c r="B21" s="104"/>
      <c r="C21" s="104"/>
      <c r="D21" s="97">
        <v>573222</v>
      </c>
      <c r="E21" s="104"/>
      <c r="H21" s="395">
        <v>4500</v>
      </c>
      <c r="I21" s="237">
        <f t="shared" si="0"/>
        <v>1625</v>
      </c>
      <c r="J21" s="571">
        <f>+J20+Rates!$F$123</f>
        <v>12.899999999999999</v>
      </c>
      <c r="K21" s="571">
        <f>+K20+Rates!$G$123</f>
        <v>13.350000000000001</v>
      </c>
      <c r="L21" s="253">
        <f t="shared" si="1"/>
        <v>20962.499999999996</v>
      </c>
      <c r="M21" s="259">
        <f t="shared" si="2"/>
        <v>21693.750000000004</v>
      </c>
      <c r="N21" s="191">
        <f t="shared" si="3"/>
        <v>0.03488372093023278</v>
      </c>
      <c r="O21" s="30"/>
    </row>
    <row r="22" spans="1:15" ht="15">
      <c r="A22" s="104"/>
      <c r="B22" s="604"/>
      <c r="C22" s="104"/>
      <c r="D22" s="97"/>
      <c r="E22" s="104"/>
      <c r="H22" s="395">
        <v>5000</v>
      </c>
      <c r="I22" s="237">
        <f t="shared" si="0"/>
        <v>20236</v>
      </c>
      <c r="J22" s="571">
        <f>+J21+Rates!$F$123</f>
        <v>14.249999999999998</v>
      </c>
      <c r="K22" s="571">
        <f>+K21+Rates!$G$123</f>
        <v>14.750000000000002</v>
      </c>
      <c r="L22" s="253">
        <f t="shared" si="1"/>
        <v>288362.99999999994</v>
      </c>
      <c r="M22" s="259">
        <f t="shared" si="2"/>
        <v>298481.00000000006</v>
      </c>
      <c r="N22" s="191">
        <f t="shared" si="3"/>
        <v>0.03508771929824587</v>
      </c>
      <c r="O22" s="22"/>
    </row>
    <row r="23" spans="1:15" ht="15">
      <c r="A23" s="104"/>
      <c r="B23" s="604"/>
      <c r="C23" s="104"/>
      <c r="D23" s="97"/>
      <c r="E23" s="104"/>
      <c r="H23" s="187"/>
      <c r="I23" s="402"/>
      <c r="J23" s="36"/>
      <c r="K23" s="36"/>
      <c r="L23" s="398"/>
      <c r="M23" s="400"/>
      <c r="N23" s="191"/>
      <c r="O23" s="22"/>
    </row>
    <row r="24" spans="1:15" ht="15">
      <c r="A24" s="104"/>
      <c r="B24" s="604"/>
      <c r="C24" s="104"/>
      <c r="D24" s="97"/>
      <c r="E24" s="104"/>
      <c r="H24" s="187" t="s">
        <v>93</v>
      </c>
      <c r="I24" s="237">
        <f>SUM(I12:I22)</f>
        <v>573222</v>
      </c>
      <c r="J24" s="36"/>
      <c r="K24" s="36"/>
      <c r="L24" s="209">
        <f>SUM(L12:L22)</f>
        <v>1833492.5999999999</v>
      </c>
      <c r="M24" s="217">
        <f>SUM(M12:M22)</f>
        <v>1885476.9000000001</v>
      </c>
      <c r="N24" s="191" t="s">
        <v>138</v>
      </c>
      <c r="O24" s="22"/>
    </row>
    <row r="25" spans="1:14" ht="15">
      <c r="A25" s="104"/>
      <c r="B25" s="604"/>
      <c r="C25" s="104"/>
      <c r="D25" s="97"/>
      <c r="E25" s="104"/>
      <c r="H25" s="187"/>
      <c r="I25" s="237"/>
      <c r="J25" s="36"/>
      <c r="K25" s="65"/>
      <c r="L25" s="332"/>
      <c r="M25" s="339"/>
      <c r="N25" s="191"/>
    </row>
    <row r="26" spans="1:14" ht="15.75" thickBot="1">
      <c r="A26" s="104"/>
      <c r="B26" s="604"/>
      <c r="C26" s="104"/>
      <c r="D26" s="97"/>
      <c r="E26" s="104"/>
      <c r="H26" s="394"/>
      <c r="I26" s="270"/>
      <c r="J26" s="197"/>
      <c r="K26" s="197"/>
      <c r="L26" s="223"/>
      <c r="M26" s="232"/>
      <c r="N26" s="229"/>
    </row>
    <row r="27" spans="1:15" ht="15.75" thickTop="1">
      <c r="A27" s="104"/>
      <c r="B27" s="604"/>
      <c r="C27" s="104"/>
      <c r="D27" s="97"/>
      <c r="E27" s="104"/>
      <c r="H27" s="184" t="s">
        <v>691</v>
      </c>
      <c r="I27" s="199"/>
      <c r="J27" s="199"/>
      <c r="K27" s="199"/>
      <c r="L27" s="199"/>
      <c r="M27" s="391"/>
      <c r="N27" s="200"/>
      <c r="O27" s="30"/>
    </row>
    <row r="28" spans="1:15" ht="15.75" thickBot="1">
      <c r="A28" s="104"/>
      <c r="B28" s="604"/>
      <c r="C28" s="104"/>
      <c r="D28" s="97"/>
      <c r="E28" s="104"/>
      <c r="H28" s="227"/>
      <c r="I28" s="197"/>
      <c r="J28" s="197"/>
      <c r="K28" s="197"/>
      <c r="L28" s="197"/>
      <c r="M28" s="197"/>
      <c r="N28" s="198"/>
      <c r="O28" s="30"/>
    </row>
    <row r="29" spans="1:15" ht="15.75" thickTop="1">
      <c r="A29" s="104"/>
      <c r="B29" s="604"/>
      <c r="C29" s="104"/>
      <c r="D29" s="97"/>
      <c r="E29" s="104"/>
      <c r="H29" s="10"/>
      <c r="O29" s="30"/>
    </row>
    <row r="30" spans="1:15" ht="15">
      <c r="A30" s="104"/>
      <c r="B30" s="604"/>
      <c r="C30" s="104"/>
      <c r="D30" s="97"/>
      <c r="E30" s="104"/>
      <c r="O30" s="30"/>
    </row>
    <row r="31" spans="1:15" ht="15">
      <c r="A31" s="104"/>
      <c r="B31" s="604"/>
      <c r="C31" s="104"/>
      <c r="D31" s="97"/>
      <c r="E31" s="104"/>
      <c r="O31" s="30"/>
    </row>
    <row r="32" spans="1:15" ht="15">
      <c r="A32" s="104"/>
      <c r="B32" s="604"/>
      <c r="C32" s="104"/>
      <c r="D32" s="97"/>
      <c r="E32" s="104"/>
      <c r="O32" s="30"/>
    </row>
    <row r="33" spans="1:15" ht="15">
      <c r="A33" s="104"/>
      <c r="B33" s="604"/>
      <c r="C33" s="104"/>
      <c r="D33" s="97"/>
      <c r="E33" s="104"/>
      <c r="O33" s="30"/>
    </row>
    <row r="34" spans="1:15" ht="15">
      <c r="A34" s="104"/>
      <c r="B34" s="604"/>
      <c r="C34" s="104"/>
      <c r="D34" s="97"/>
      <c r="E34" s="104"/>
      <c r="O34" s="30"/>
    </row>
    <row r="35" spans="1:15" ht="15">
      <c r="A35" s="104"/>
      <c r="B35" s="604"/>
      <c r="C35" s="104"/>
      <c r="D35" s="97"/>
      <c r="E35" s="104"/>
      <c r="O35" s="30"/>
    </row>
    <row r="36" spans="1:15" ht="15">
      <c r="A36" s="104"/>
      <c r="B36" s="604"/>
      <c r="C36" s="104"/>
      <c r="D36" s="97"/>
      <c r="E36" s="104"/>
      <c r="O36" s="30"/>
    </row>
    <row r="37" spans="1:15" ht="15">
      <c r="A37" s="104"/>
      <c r="B37" s="604"/>
      <c r="C37" s="104"/>
      <c r="D37" s="97"/>
      <c r="E37" s="104"/>
      <c r="O37" s="30"/>
    </row>
    <row r="38" spans="1:15" ht="15">
      <c r="A38" s="104"/>
      <c r="B38" s="604"/>
      <c r="C38" s="104"/>
      <c r="D38" s="97"/>
      <c r="E38" s="104"/>
      <c r="O38" s="30"/>
    </row>
    <row r="39" spans="1:15" ht="15">
      <c r="A39" s="104"/>
      <c r="B39" s="604"/>
      <c r="C39" s="104"/>
      <c r="D39" s="97"/>
      <c r="E39" s="104"/>
      <c r="O39" s="30"/>
    </row>
    <row r="40" spans="1:15" ht="15">
      <c r="A40" s="104"/>
      <c r="B40" s="604"/>
      <c r="C40" s="104"/>
      <c r="D40" s="97"/>
      <c r="E40" s="104"/>
      <c r="O40" s="30"/>
    </row>
    <row r="41" spans="1:15" ht="15">
      <c r="A41" s="104"/>
      <c r="B41" s="604"/>
      <c r="C41" s="104"/>
      <c r="D41" s="148"/>
      <c r="E41" s="104"/>
      <c r="O41" s="30"/>
    </row>
    <row r="42" spans="1:15" ht="15">
      <c r="A42" s="104"/>
      <c r="B42" s="604"/>
      <c r="C42" s="104"/>
      <c r="D42" s="148"/>
      <c r="E42" s="104"/>
      <c r="O42" s="30"/>
    </row>
    <row r="43" spans="1:15" ht="15">
      <c r="A43" s="104"/>
      <c r="B43" s="604"/>
      <c r="C43" s="104"/>
      <c r="D43" s="148"/>
      <c r="E43" s="104"/>
      <c r="O43" s="30"/>
    </row>
    <row r="44" spans="1:15" ht="15">
      <c r="A44" s="104"/>
      <c r="B44" s="604"/>
      <c r="C44" s="104"/>
      <c r="D44" s="148"/>
      <c r="E44" s="104"/>
      <c r="O44" s="30"/>
    </row>
    <row r="45" spans="1:15" ht="15">
      <c r="A45" s="104"/>
      <c r="B45" s="604"/>
      <c r="C45" s="104"/>
      <c r="D45" s="148"/>
      <c r="E45" s="104"/>
      <c r="O45" s="30"/>
    </row>
    <row r="46" spans="1:15" ht="15">
      <c r="A46" s="104"/>
      <c r="B46" s="604"/>
      <c r="C46" s="104"/>
      <c r="D46" s="593"/>
      <c r="E46" s="104"/>
      <c r="O46" s="30"/>
    </row>
    <row r="47" spans="1:15" ht="15">
      <c r="A47" s="104"/>
      <c r="B47" s="604"/>
      <c r="C47" s="104"/>
      <c r="D47" s="593"/>
      <c r="E47" s="104"/>
      <c r="O47" s="30"/>
    </row>
    <row r="48" spans="1:5" ht="15">
      <c r="A48" s="104"/>
      <c r="B48" s="604"/>
      <c r="C48" s="104"/>
      <c r="D48" s="593"/>
      <c r="E48" s="104"/>
    </row>
    <row r="49" spans="1:5" ht="15">
      <c r="A49" s="104"/>
      <c r="B49" s="604"/>
      <c r="C49" s="104"/>
      <c r="D49" s="593"/>
      <c r="E49" s="104"/>
    </row>
    <row r="50" spans="1:5" ht="15">
      <c r="A50" s="104"/>
      <c r="B50" s="604"/>
      <c r="C50" s="104"/>
      <c r="D50" s="593"/>
      <c r="E50" s="104"/>
    </row>
    <row r="51" spans="1:5" ht="15">
      <c r="A51" s="104"/>
      <c r="B51" s="604"/>
      <c r="C51" s="104"/>
      <c r="D51" s="593"/>
      <c r="E51" s="104"/>
    </row>
    <row r="52" spans="1:5" ht="15">
      <c r="A52" s="104"/>
      <c r="B52" s="604"/>
      <c r="C52" s="104"/>
      <c r="D52" s="593"/>
      <c r="E52" s="104"/>
    </row>
    <row r="53" spans="1:5" ht="15">
      <c r="A53" s="104"/>
      <c r="B53" s="604"/>
      <c r="C53" s="104"/>
      <c r="D53" s="593"/>
      <c r="E53" s="104"/>
    </row>
    <row r="54" spans="1:15" ht="15.75" customHeight="1">
      <c r="A54" s="104"/>
      <c r="B54" s="604"/>
      <c r="C54" s="104"/>
      <c r="D54" s="593"/>
      <c r="E54" s="104"/>
      <c r="O54" s="10"/>
    </row>
    <row r="55" spans="1:5" ht="15">
      <c r="A55" s="104"/>
      <c r="B55" s="604"/>
      <c r="C55" s="104"/>
      <c r="D55" s="593"/>
      <c r="E55" s="104"/>
    </row>
    <row r="56" spans="1:15" ht="15">
      <c r="A56" s="104"/>
      <c r="B56" s="604"/>
      <c r="C56" s="104"/>
      <c r="D56" s="593"/>
      <c r="E56" s="104"/>
      <c r="O56" s="30"/>
    </row>
    <row r="57" spans="1:15" ht="15">
      <c r="A57" s="104"/>
      <c r="B57" s="604"/>
      <c r="C57" s="104"/>
      <c r="D57" s="593"/>
      <c r="E57" s="104"/>
      <c r="O57" s="30"/>
    </row>
    <row r="58" spans="1:5" ht="15">
      <c r="A58" s="104"/>
      <c r="B58" s="604"/>
      <c r="C58" s="104"/>
      <c r="D58" s="605"/>
      <c r="E58" s="104"/>
    </row>
    <row r="59" spans="1:15" ht="15">
      <c r="A59" s="104"/>
      <c r="B59" s="104"/>
      <c r="C59" s="104"/>
      <c r="D59" s="99"/>
      <c r="E59" s="104"/>
      <c r="O59" s="30"/>
    </row>
    <row r="60" spans="1:15" ht="15">
      <c r="A60" s="145"/>
      <c r="B60" s="145"/>
      <c r="C60" s="145"/>
      <c r="D60" s="145"/>
      <c r="E60" s="145"/>
      <c r="O60" s="30"/>
    </row>
    <row r="61" spans="1:5" ht="15">
      <c r="A61" s="36" t="s">
        <v>272</v>
      </c>
      <c r="B61" s="36"/>
      <c r="C61" s="36"/>
      <c r="D61" s="36"/>
      <c r="E61" s="36"/>
    </row>
    <row r="62" spans="1:5" ht="15">
      <c r="A62" s="36"/>
      <c r="B62" s="114"/>
      <c r="C62" s="114"/>
      <c r="D62" s="115"/>
      <c r="E62" s="116"/>
    </row>
    <row r="63" spans="1:5" ht="15">
      <c r="A63" s="36"/>
      <c r="B63" s="70"/>
      <c r="C63" s="36"/>
      <c r="D63" s="71"/>
      <c r="E63" s="37"/>
    </row>
    <row r="64" spans="1:5" ht="15">
      <c r="A64" s="36"/>
      <c r="B64" s="114"/>
      <c r="C64" s="115"/>
      <c r="D64" s="115"/>
      <c r="E64" s="116"/>
    </row>
    <row r="71" ht="15">
      <c r="A71" s="68"/>
    </row>
    <row r="73" ht="15">
      <c r="O73" s="4"/>
    </row>
    <row r="76" spans="1:15" ht="15">
      <c r="A76" s="54"/>
      <c r="O76" s="30"/>
    </row>
    <row r="77" spans="1:15" ht="15">
      <c r="A77" s="72"/>
      <c r="O77" s="30"/>
    </row>
    <row r="78" ht="15">
      <c r="O78" s="30"/>
    </row>
    <row r="79" ht="15">
      <c r="O79" s="30"/>
    </row>
    <row r="81" ht="15">
      <c r="O81" s="30"/>
    </row>
    <row r="82" spans="2:15" ht="15">
      <c r="B82" s="59"/>
      <c r="D82" s="11"/>
      <c r="E82" s="5"/>
      <c r="O82" s="30"/>
    </row>
    <row r="83" spans="1:15" ht="15">
      <c r="A83" s="36"/>
      <c r="B83" s="70"/>
      <c r="C83" s="36"/>
      <c r="D83" s="71"/>
      <c r="E83" s="37"/>
      <c r="O83" s="30"/>
    </row>
    <row r="84" spans="1:15" ht="15">
      <c r="A84" s="36"/>
      <c r="B84" s="117"/>
      <c r="C84" s="36"/>
      <c r="D84" s="107"/>
      <c r="E84" s="37"/>
      <c r="O84" s="22"/>
    </row>
    <row r="85" spans="1:5" ht="15">
      <c r="A85" s="36"/>
      <c r="B85" s="36"/>
      <c r="C85" s="36"/>
      <c r="D85" s="118"/>
      <c r="E85" s="37"/>
    </row>
    <row r="86" spans="1:5" ht="15">
      <c r="A86" s="36"/>
      <c r="B86" s="36"/>
      <c r="C86" s="36"/>
      <c r="D86" s="71"/>
      <c r="E86" s="37"/>
    </row>
    <row r="87" spans="1:5" ht="15">
      <c r="A87" s="36"/>
      <c r="B87" s="36"/>
      <c r="C87" s="36"/>
      <c r="D87" s="71"/>
      <c r="E87" s="37"/>
    </row>
    <row r="88" spans="1:5" ht="15">
      <c r="A88" s="36"/>
      <c r="B88" s="36"/>
      <c r="C88" s="36"/>
      <c r="D88" s="71"/>
      <c r="E88" s="37"/>
    </row>
    <row r="89" spans="1:5" ht="15">
      <c r="A89" s="36"/>
      <c r="B89" s="36"/>
      <c r="C89" s="36"/>
      <c r="D89" s="71"/>
      <c r="E89" s="37"/>
    </row>
    <row r="90" spans="1:5" ht="15">
      <c r="A90" s="36"/>
      <c r="B90" s="36"/>
      <c r="C90" s="36"/>
      <c r="D90" s="71"/>
      <c r="E90" s="37"/>
    </row>
    <row r="91" spans="1:5" ht="15">
      <c r="A91" s="36"/>
      <c r="B91" s="36"/>
      <c r="C91" s="36"/>
      <c r="D91" s="71"/>
      <c r="E91" s="37"/>
    </row>
    <row r="92" spans="1:5" ht="15">
      <c r="A92" s="36"/>
      <c r="B92" s="114"/>
      <c r="C92" s="115"/>
      <c r="D92" s="115"/>
      <c r="E92" s="116"/>
    </row>
    <row r="93" spans="1:5" ht="15">
      <c r="A93" s="36"/>
      <c r="B93" s="36"/>
      <c r="C93" s="36"/>
      <c r="D93" s="118"/>
      <c r="E93" s="37"/>
    </row>
    <row r="94" spans="1:5" ht="15">
      <c r="A94" s="36"/>
      <c r="B94" s="36"/>
      <c r="C94" s="36"/>
      <c r="D94" s="71"/>
      <c r="E94" s="37"/>
    </row>
    <row r="95" spans="1:5" ht="15">
      <c r="A95" s="36"/>
      <c r="B95" s="36"/>
      <c r="C95" s="36"/>
      <c r="D95" s="71"/>
      <c r="E95" s="37"/>
    </row>
    <row r="96" spans="1:5" ht="15">
      <c r="A96" s="36"/>
      <c r="B96" s="36"/>
      <c r="C96" s="36"/>
      <c r="D96" s="71"/>
      <c r="E96" s="37"/>
    </row>
    <row r="97" spans="1:5" ht="15">
      <c r="A97" s="36"/>
      <c r="B97" s="36"/>
      <c r="C97" s="36"/>
      <c r="D97" s="71"/>
      <c r="E97" s="37"/>
    </row>
    <row r="98" spans="1:5" ht="15">
      <c r="A98" s="36"/>
      <c r="B98" s="36"/>
      <c r="C98" s="36"/>
      <c r="D98" s="71"/>
      <c r="E98" s="37"/>
    </row>
    <row r="99" spans="1:5" ht="15">
      <c r="A99" s="36"/>
      <c r="B99" s="36"/>
      <c r="C99" s="36"/>
      <c r="D99" s="71"/>
      <c r="E99" s="37"/>
    </row>
    <row r="100" spans="1:5" ht="15">
      <c r="A100" s="36"/>
      <c r="B100" s="36"/>
      <c r="C100" s="36"/>
      <c r="D100" s="71"/>
      <c r="E100" s="37"/>
    </row>
    <row r="101" spans="1:5" ht="15">
      <c r="A101" s="36"/>
      <c r="B101" s="36"/>
      <c r="C101" s="36"/>
      <c r="D101" s="71"/>
      <c r="E101" s="37"/>
    </row>
    <row r="102" spans="1:5" ht="15">
      <c r="A102" s="36"/>
      <c r="B102" s="36"/>
      <c r="C102" s="36"/>
      <c r="D102" s="71"/>
      <c r="E102" s="37"/>
    </row>
    <row r="103" spans="1:5" ht="15">
      <c r="A103" s="36"/>
      <c r="B103" s="36"/>
      <c r="C103" s="36"/>
      <c r="D103" s="71"/>
      <c r="E103" s="37"/>
    </row>
    <row r="104" spans="1:5" ht="15">
      <c r="A104" s="36"/>
      <c r="B104" s="36"/>
      <c r="C104" s="36"/>
      <c r="D104" s="71"/>
      <c r="E104" s="37"/>
    </row>
    <row r="105" spans="1:5" ht="15">
      <c r="A105" s="36"/>
      <c r="B105" s="36"/>
      <c r="C105" s="36"/>
      <c r="D105" s="71"/>
      <c r="E105" s="37"/>
    </row>
    <row r="106" spans="1:5" ht="15">
      <c r="A106" s="36"/>
      <c r="B106" s="36"/>
      <c r="C106" s="36"/>
      <c r="D106" s="71"/>
      <c r="E106" s="37"/>
    </row>
    <row r="107" spans="1:5" ht="15">
      <c r="A107" s="36"/>
      <c r="B107" s="36"/>
      <c r="C107" s="36"/>
      <c r="D107" s="71"/>
      <c r="E107" s="37"/>
    </row>
    <row r="108" spans="1:5" ht="15">
      <c r="A108" s="36"/>
      <c r="B108" s="36"/>
      <c r="C108" s="36"/>
      <c r="D108" s="71"/>
      <c r="E108" s="37"/>
    </row>
    <row r="109" spans="1:5" ht="15">
      <c r="A109" s="36"/>
      <c r="B109" s="36"/>
      <c r="C109" s="36"/>
      <c r="D109" s="71"/>
      <c r="E109" s="37"/>
    </row>
    <row r="110" spans="1:5" ht="15">
      <c r="A110" s="36"/>
      <c r="B110" s="36"/>
      <c r="C110" s="36"/>
      <c r="D110" s="71"/>
      <c r="E110" s="37"/>
    </row>
    <row r="111" spans="1:5" ht="15">
      <c r="A111" s="36"/>
      <c r="B111" s="36"/>
      <c r="C111" s="36"/>
      <c r="D111" s="71"/>
      <c r="E111" s="37"/>
    </row>
    <row r="112" spans="1:5" ht="15">
      <c r="A112" s="36"/>
      <c r="B112" s="36"/>
      <c r="C112" s="36"/>
      <c r="D112" s="71"/>
      <c r="E112" s="37"/>
    </row>
    <row r="113" spans="1:5" ht="15">
      <c r="A113" s="36"/>
      <c r="B113" s="36"/>
      <c r="C113" s="36"/>
      <c r="D113" s="71"/>
      <c r="E113" s="37"/>
    </row>
    <row r="114" spans="1:5" ht="15">
      <c r="A114" s="36"/>
      <c r="B114" s="36"/>
      <c r="C114" s="36"/>
      <c r="D114" s="71"/>
      <c r="E114" s="37"/>
    </row>
    <row r="115" spans="1:5" ht="15">
      <c r="A115" s="36"/>
      <c r="B115" s="36"/>
      <c r="C115" s="36"/>
      <c r="D115" s="71"/>
      <c r="E115" s="37"/>
    </row>
    <row r="116" spans="1:5" ht="15">
      <c r="A116" s="36"/>
      <c r="B116" s="36"/>
      <c r="C116" s="36"/>
      <c r="D116" s="71"/>
      <c r="E116" s="37"/>
    </row>
    <row r="117" spans="1:5" ht="15">
      <c r="A117" s="36"/>
      <c r="B117" s="36"/>
      <c r="C117" s="36"/>
      <c r="D117" s="71"/>
      <c r="E117" s="37"/>
    </row>
    <row r="118" spans="1:5" ht="15">
      <c r="A118" s="36"/>
      <c r="B118" s="36"/>
      <c r="C118" s="36"/>
      <c r="D118" s="71"/>
      <c r="E118" s="37"/>
    </row>
    <row r="119" spans="1:5" ht="15">
      <c r="A119" s="36"/>
      <c r="B119" s="36"/>
      <c r="C119" s="36"/>
      <c r="D119" s="71"/>
      <c r="E119" s="37"/>
    </row>
    <row r="120" spans="4:5" ht="15">
      <c r="D120" s="11"/>
      <c r="E120" s="37"/>
    </row>
    <row r="121" spans="4:5" ht="15">
      <c r="D121" s="11"/>
      <c r="E121" s="37"/>
    </row>
    <row r="122" spans="4:5" ht="15">
      <c r="D122" s="11"/>
      <c r="E122" s="37"/>
    </row>
    <row r="123" spans="4:5" ht="15">
      <c r="D123" s="11"/>
      <c r="E123" s="37"/>
    </row>
    <row r="124" spans="4:5" ht="15">
      <c r="D124" s="11"/>
      <c r="E124" s="37"/>
    </row>
    <row r="125" spans="4:5" ht="15">
      <c r="D125" s="11"/>
      <c r="E125" s="37"/>
    </row>
    <row r="126" ht="15">
      <c r="E126" s="16"/>
    </row>
    <row r="127" ht="15">
      <c r="E127" s="16"/>
    </row>
    <row r="128" ht="15">
      <c r="E128" s="5"/>
    </row>
    <row r="132" spans="2:4" ht="15">
      <c r="B132" s="21"/>
      <c r="C132" s="21"/>
      <c r="D132" s="21"/>
    </row>
    <row r="133" spans="2:4" ht="15">
      <c r="B133" s="36"/>
      <c r="C133" s="36"/>
      <c r="D133" s="36"/>
    </row>
    <row r="209" ht="15">
      <c r="O209" s="4" t="s">
        <v>77</v>
      </c>
    </row>
    <row r="288" ht="15">
      <c r="A288" s="85"/>
    </row>
    <row r="289" ht="15">
      <c r="A289" s="85"/>
    </row>
    <row r="290" ht="15">
      <c r="A290" s="85"/>
    </row>
  </sheetData>
  <mergeCells count="7">
    <mergeCell ref="A4:E4"/>
    <mergeCell ref="A5:E5"/>
    <mergeCell ref="J7:K7"/>
    <mergeCell ref="L7:M7"/>
    <mergeCell ref="H5:N5"/>
    <mergeCell ref="H6:N6"/>
    <mergeCell ref="N7:N9"/>
  </mergeCells>
  <printOptions horizontalCentered="1"/>
  <pageMargins left="0.25" right="0.25" top="0.5" bottom="0.5" header="0.5" footer="0.5"/>
  <pageSetup fitToHeight="2" horizontalDpi="600" verticalDpi="600" orientation="landscape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N47"/>
  <sheetViews>
    <sheetView zoomScale="75" zoomScaleNormal="75" workbookViewId="0" topLeftCell="A1">
      <selection activeCell="L6" sqref="L6"/>
    </sheetView>
  </sheetViews>
  <sheetFormatPr defaultColWidth="12.57421875" defaultRowHeight="12.75"/>
  <cols>
    <col min="1" max="1" width="14.00390625" style="1" customWidth="1"/>
    <col min="2" max="2" width="49.00390625" style="1" customWidth="1"/>
    <col min="3" max="3" width="14.8515625" style="1" customWidth="1"/>
    <col min="4" max="5" width="4.8515625" style="1" customWidth="1"/>
    <col min="6" max="12" width="14.8515625" style="1" customWidth="1"/>
    <col min="13" max="13" width="3.28125" style="1" customWidth="1"/>
    <col min="14" max="14" width="4.8515625" style="1" customWidth="1"/>
    <col min="15" max="16384" width="12.57421875" style="1" customWidth="1"/>
  </cols>
  <sheetData>
    <row r="1" spans="5:14" ht="15">
      <c r="E1" s="2"/>
      <c r="N1" s="2"/>
    </row>
    <row r="2" spans="3:14" ht="15">
      <c r="C2" s="9" t="s">
        <v>568</v>
      </c>
      <c r="E2" s="2"/>
      <c r="N2" s="2"/>
    </row>
    <row r="3" spans="2:14" ht="18">
      <c r="B3" s="771" t="s">
        <v>276</v>
      </c>
      <c r="C3" s="771"/>
      <c r="E3" s="2"/>
      <c r="N3" s="2"/>
    </row>
    <row r="4" spans="2:14" ht="15.75">
      <c r="B4" s="772" t="s">
        <v>700</v>
      </c>
      <c r="C4" s="772"/>
      <c r="E4" s="2"/>
      <c r="N4" s="2"/>
    </row>
    <row r="5" spans="1:14" ht="15">
      <c r="A5" s="2"/>
      <c r="D5" s="2"/>
      <c r="E5" s="2"/>
      <c r="L5" s="1" t="str">
        <f>WN</f>
        <v>February 2009</v>
      </c>
      <c r="N5" s="2"/>
    </row>
    <row r="6" spans="1:14" ht="15.75" thickBot="1">
      <c r="A6" s="2"/>
      <c r="B6" s="1" t="s">
        <v>277</v>
      </c>
      <c r="C6" s="28">
        <v>159755</v>
      </c>
      <c r="D6" s="2"/>
      <c r="E6" s="2"/>
      <c r="N6" s="2"/>
    </row>
    <row r="7" spans="1:14" ht="16.5" thickTop="1">
      <c r="A7" s="2"/>
      <c r="D7" s="2"/>
      <c r="E7" s="2"/>
      <c r="F7" s="780" t="s">
        <v>276</v>
      </c>
      <c r="G7" s="781"/>
      <c r="H7" s="781"/>
      <c r="I7" s="781"/>
      <c r="J7" s="781"/>
      <c r="K7" s="781"/>
      <c r="L7" s="782"/>
      <c r="N7" s="2"/>
    </row>
    <row r="8" spans="1:14" ht="15.75" thickBot="1">
      <c r="A8" s="2"/>
      <c r="B8" s="1" t="s">
        <v>278</v>
      </c>
      <c r="C8" s="8">
        <v>902.8772390364422</v>
      </c>
      <c r="D8" s="2"/>
      <c r="E8" s="2"/>
      <c r="F8" s="783" t="str">
        <f>"Fiscal Year 2008 "</f>
        <v>Fiscal Year 2008 </v>
      </c>
      <c r="G8" s="784"/>
      <c r="H8" s="784"/>
      <c r="I8" s="784"/>
      <c r="J8" s="784"/>
      <c r="K8" s="784"/>
      <c r="L8" s="785"/>
      <c r="N8" s="2"/>
    </row>
    <row r="9" spans="1:14" ht="15.75" thickTop="1">
      <c r="A9" s="2"/>
      <c r="D9" s="2"/>
      <c r="E9" s="2"/>
      <c r="F9" s="184"/>
      <c r="G9" s="575" t="s">
        <v>423</v>
      </c>
      <c r="H9" s="786" t="s">
        <v>234</v>
      </c>
      <c r="I9" s="770"/>
      <c r="J9" s="786" t="s">
        <v>528</v>
      </c>
      <c r="K9" s="787"/>
      <c r="L9" s="777" t="s">
        <v>233</v>
      </c>
      <c r="N9" s="2"/>
    </row>
    <row r="10" spans="1:14" ht="15">
      <c r="A10" s="2"/>
      <c r="B10" s="35"/>
      <c r="D10" s="2"/>
      <c r="E10" s="2"/>
      <c r="F10" s="187"/>
      <c r="G10" s="207"/>
      <c r="H10" s="72"/>
      <c r="I10" s="72"/>
      <c r="J10" s="207"/>
      <c r="K10" s="215"/>
      <c r="L10" s="778"/>
      <c r="N10" s="2"/>
    </row>
    <row r="11" spans="1:14" ht="15.75" thickBot="1">
      <c r="A11" s="2"/>
      <c r="D11" s="2"/>
      <c r="E11" s="2"/>
      <c r="F11" s="227"/>
      <c r="G11" s="293" t="str">
        <f>"FY "&amp;FY&amp;" 1/"</f>
        <v>FY  1/</v>
      </c>
      <c r="H11" s="295" t="s">
        <v>206</v>
      </c>
      <c r="I11" s="295" t="s">
        <v>683</v>
      </c>
      <c r="J11" s="296" t="s">
        <v>640</v>
      </c>
      <c r="K11" s="294" t="s">
        <v>683</v>
      </c>
      <c r="L11" s="779"/>
      <c r="M11" s="10"/>
      <c r="N11" s="2"/>
    </row>
    <row r="12" spans="1:14" ht="15.75" thickTop="1">
      <c r="A12" s="2"/>
      <c r="B12" s="1" t="s">
        <v>130</v>
      </c>
      <c r="D12" s="2"/>
      <c r="E12" s="2"/>
      <c r="F12" s="187"/>
      <c r="G12" s="235" t="s">
        <v>78</v>
      </c>
      <c r="H12" s="72" t="s">
        <v>79</v>
      </c>
      <c r="I12" s="72" t="s">
        <v>80</v>
      </c>
      <c r="J12" s="207" t="s">
        <v>81</v>
      </c>
      <c r="K12" s="233" t="s">
        <v>82</v>
      </c>
      <c r="L12" s="226" t="s">
        <v>83</v>
      </c>
      <c r="N12" s="2"/>
    </row>
    <row r="13" spans="1:14" ht="15">
      <c r="A13" s="2"/>
      <c r="B13" s="36"/>
      <c r="C13" s="36"/>
      <c r="D13" s="2"/>
      <c r="E13" s="2"/>
      <c r="F13" s="187"/>
      <c r="G13" s="235"/>
      <c r="H13" s="72"/>
      <c r="I13" s="72"/>
      <c r="J13" s="207"/>
      <c r="K13" s="233"/>
      <c r="L13" s="226"/>
      <c r="N13" s="2"/>
    </row>
    <row r="14" spans="1:14" ht="15">
      <c r="A14" s="2"/>
      <c r="B14" s="36"/>
      <c r="C14" s="36"/>
      <c r="D14" s="2"/>
      <c r="E14" s="2"/>
      <c r="F14" s="187" t="s">
        <v>129</v>
      </c>
      <c r="G14" s="403">
        <f>+C8</f>
        <v>902.8772390364422</v>
      </c>
      <c r="H14" s="201">
        <f>PermC</f>
        <v>180</v>
      </c>
      <c r="I14" s="201">
        <f>PermP</f>
        <v>185</v>
      </c>
      <c r="J14" s="253">
        <f>+H14*G14</f>
        <v>162517.9030265596</v>
      </c>
      <c r="K14" s="259">
        <f>+I14*G14</f>
        <v>167032.2892217418</v>
      </c>
      <c r="L14" s="406">
        <f>(I14-H14)/H14</f>
        <v>0.027777777777777776</v>
      </c>
      <c r="N14" s="2"/>
    </row>
    <row r="15" spans="1:14" ht="15">
      <c r="A15" s="2"/>
      <c r="B15" s="36"/>
      <c r="C15" s="36"/>
      <c r="D15" s="2"/>
      <c r="E15" s="2"/>
      <c r="F15" s="187"/>
      <c r="G15" s="237"/>
      <c r="H15" s="201"/>
      <c r="I15" s="201"/>
      <c r="J15" s="209"/>
      <c r="K15" s="217"/>
      <c r="L15" s="204"/>
      <c r="N15" s="2"/>
    </row>
    <row r="16" spans="1:14" ht="15.75" thickBot="1">
      <c r="A16" s="2"/>
      <c r="B16" s="36"/>
      <c r="C16" s="36"/>
      <c r="D16" s="2"/>
      <c r="E16" s="2"/>
      <c r="F16" s="187"/>
      <c r="G16" s="237"/>
      <c r="H16" s="36"/>
      <c r="I16" s="36"/>
      <c r="J16" s="209"/>
      <c r="K16" s="217"/>
      <c r="L16" s="191"/>
      <c r="N16" s="2"/>
    </row>
    <row r="17" spans="1:14" ht="15.75" thickTop="1">
      <c r="A17" s="2"/>
      <c r="B17" s="36"/>
      <c r="C17" s="36"/>
      <c r="D17" s="2"/>
      <c r="E17" s="2"/>
      <c r="F17" s="184" t="s">
        <v>638</v>
      </c>
      <c r="G17" s="241"/>
      <c r="H17" s="419"/>
      <c r="I17" s="419"/>
      <c r="J17" s="241"/>
      <c r="K17" s="241"/>
      <c r="L17" s="242"/>
      <c r="N17" s="2"/>
    </row>
    <row r="18" spans="1:14" ht="15">
      <c r="A18" s="2"/>
      <c r="B18" s="36"/>
      <c r="C18" s="36"/>
      <c r="D18" s="2"/>
      <c r="E18" s="2"/>
      <c r="F18" s="187" t="s">
        <v>692</v>
      </c>
      <c r="G18" s="36"/>
      <c r="H18" s="36"/>
      <c r="I18" s="36"/>
      <c r="J18" s="36"/>
      <c r="K18" s="36"/>
      <c r="L18" s="189"/>
      <c r="N18" s="2"/>
    </row>
    <row r="19" spans="1:14" ht="15.75" thickBot="1">
      <c r="A19" s="2"/>
      <c r="B19" s="36"/>
      <c r="C19" s="36"/>
      <c r="D19" s="2"/>
      <c r="E19" s="2"/>
      <c r="F19" s="227"/>
      <c r="G19" s="197"/>
      <c r="H19" s="197"/>
      <c r="I19" s="197"/>
      <c r="J19" s="197"/>
      <c r="K19" s="197"/>
      <c r="L19" s="198"/>
      <c r="N19" s="2"/>
    </row>
    <row r="20" spans="1:14" ht="15.75" thickTop="1">
      <c r="A20" s="2"/>
      <c r="B20" s="36"/>
      <c r="C20" s="36"/>
      <c r="D20" s="2"/>
      <c r="E20" s="2"/>
      <c r="N20" s="2"/>
    </row>
    <row r="21" spans="1:5" ht="15">
      <c r="A21" s="2"/>
      <c r="B21" s="36"/>
      <c r="C21" s="36"/>
      <c r="D21" s="2"/>
      <c r="E21" s="2"/>
    </row>
    <row r="22" spans="1:5" ht="15">
      <c r="A22" s="2"/>
      <c r="B22" s="36"/>
      <c r="C22" s="36"/>
      <c r="D22" s="2"/>
      <c r="E22" s="2"/>
    </row>
    <row r="23" spans="1:7" ht="15">
      <c r="A23" s="2"/>
      <c r="B23" s="36"/>
      <c r="C23" s="36"/>
      <c r="D23" s="2"/>
      <c r="E23" s="2"/>
      <c r="G23" s="33"/>
    </row>
    <row r="24" spans="1:5" ht="15">
      <c r="A24" s="2"/>
      <c r="B24" s="36"/>
      <c r="C24" s="36"/>
      <c r="D24" s="2"/>
      <c r="E24" s="2"/>
    </row>
    <row r="25" spans="1:5" ht="15">
      <c r="A25" s="2"/>
      <c r="B25" s="36"/>
      <c r="C25" s="36"/>
      <c r="D25" s="2"/>
      <c r="E25" s="2"/>
    </row>
    <row r="26" spans="1:5" ht="15">
      <c r="A26" s="2"/>
      <c r="B26" s="36"/>
      <c r="C26" s="36"/>
      <c r="D26" s="2"/>
      <c r="E26" s="2"/>
    </row>
    <row r="27" spans="1:5" ht="15">
      <c r="A27" s="2"/>
      <c r="B27" s="36"/>
      <c r="C27" s="21"/>
      <c r="D27" s="2"/>
      <c r="E27" s="2"/>
    </row>
    <row r="28" spans="1:5" ht="15">
      <c r="A28" s="2"/>
      <c r="B28" s="36"/>
      <c r="C28" s="36"/>
      <c r="D28" s="2"/>
      <c r="E28" s="2"/>
    </row>
    <row r="29" spans="1:5" ht="15">
      <c r="A29" s="2"/>
      <c r="D29" s="2"/>
      <c r="E29" s="2"/>
    </row>
    <row r="30" spans="4:10" ht="15">
      <c r="D30" s="2"/>
      <c r="E30" s="2"/>
      <c r="J30" s="17"/>
    </row>
    <row r="31" spans="4:10" ht="15">
      <c r="D31" s="2"/>
      <c r="E31" s="2"/>
      <c r="J31" s="17"/>
    </row>
    <row r="32" spans="4:10" ht="15">
      <c r="D32" s="2"/>
      <c r="E32" s="2"/>
      <c r="J32" s="17"/>
    </row>
    <row r="33" spans="4:10" ht="15">
      <c r="D33" s="2"/>
      <c r="E33" s="2"/>
      <c r="J33" s="17"/>
    </row>
    <row r="34" spans="4:10" ht="15">
      <c r="D34" s="2"/>
      <c r="E34" s="2"/>
      <c r="J34" s="17"/>
    </row>
    <row r="35" ht="15">
      <c r="D35" s="2"/>
    </row>
    <row r="36" ht="15">
      <c r="D36" s="2"/>
    </row>
    <row r="37" ht="15">
      <c r="D37" s="2"/>
    </row>
    <row r="38" ht="15">
      <c r="D38" s="2"/>
    </row>
    <row r="39" ht="15">
      <c r="D39" s="2"/>
    </row>
    <row r="40" ht="15">
      <c r="D40" s="2"/>
    </row>
    <row r="41" ht="15">
      <c r="D41" s="2"/>
    </row>
    <row r="42" ht="15">
      <c r="D42" s="2"/>
    </row>
    <row r="43" ht="15">
      <c r="D43" s="2"/>
    </row>
    <row r="44" ht="15">
      <c r="D44" s="2"/>
    </row>
    <row r="45" ht="15">
      <c r="D45" s="2"/>
    </row>
    <row r="46" ht="15">
      <c r="D46" s="2"/>
    </row>
    <row r="47" ht="15">
      <c r="D47" s="2"/>
    </row>
  </sheetData>
  <mergeCells count="7">
    <mergeCell ref="H9:I9"/>
    <mergeCell ref="J9:K9"/>
    <mergeCell ref="L9:L11"/>
    <mergeCell ref="B3:C3"/>
    <mergeCell ref="B4:C4"/>
    <mergeCell ref="F7:L7"/>
    <mergeCell ref="F8:L8"/>
  </mergeCells>
  <printOptions horizontalCentered="1"/>
  <pageMargins left="0.25" right="0.25" top="1.5" bottom="0.75" header="0.5" footer="0.5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2:M23"/>
  <sheetViews>
    <sheetView zoomScale="75" zoomScaleNormal="75" workbookViewId="0" topLeftCell="C1">
      <selection activeCell="L5" sqref="L5"/>
    </sheetView>
  </sheetViews>
  <sheetFormatPr defaultColWidth="9.140625" defaultRowHeight="12.75"/>
  <cols>
    <col min="1" max="1" width="9.140625" style="1" customWidth="1"/>
    <col min="2" max="2" width="45.7109375" style="1" customWidth="1"/>
    <col min="3" max="3" width="27.8515625" style="1" customWidth="1"/>
    <col min="4" max="4" width="9.140625" style="36" customWidth="1"/>
    <col min="5" max="5" width="8.00390625" style="1" customWidth="1"/>
    <col min="6" max="6" width="24.7109375" style="1" customWidth="1"/>
    <col min="7" max="12" width="15.00390625" style="1" customWidth="1"/>
    <col min="13" max="13" width="4.140625" style="1" customWidth="1"/>
    <col min="14" max="16384" width="9.140625" style="1" customWidth="1"/>
  </cols>
  <sheetData>
    <row r="2" ht="15">
      <c r="C2" s="9" t="s">
        <v>499</v>
      </c>
    </row>
    <row r="3" spans="2:3" ht="18">
      <c r="B3" s="771" t="s">
        <v>279</v>
      </c>
      <c r="C3" s="771"/>
    </row>
    <row r="4" spans="2:12" ht="15">
      <c r="B4" s="776" t="s">
        <v>700</v>
      </c>
      <c r="C4" s="776"/>
      <c r="L4" s="1" t="str">
        <f>WN</f>
        <v>February 2009</v>
      </c>
    </row>
    <row r="5" ht="15.75" thickBot="1">
      <c r="E5" s="2"/>
    </row>
    <row r="6" spans="2:12" ht="16.5" thickTop="1">
      <c r="B6" s="42" t="s">
        <v>236</v>
      </c>
      <c r="C6" s="42" t="s">
        <v>423</v>
      </c>
      <c r="F6" s="780" t="s">
        <v>281</v>
      </c>
      <c r="G6" s="781"/>
      <c r="H6" s="781"/>
      <c r="I6" s="781"/>
      <c r="J6" s="781"/>
      <c r="K6" s="781"/>
      <c r="L6" s="782"/>
    </row>
    <row r="7" spans="6:12" ht="15.75" thickBot="1">
      <c r="F7" s="783" t="str">
        <f>"Fiscal Year 2008 "</f>
        <v>Fiscal Year 2008 </v>
      </c>
      <c r="G7" s="784"/>
      <c r="H7" s="784"/>
      <c r="I7" s="784"/>
      <c r="J7" s="784"/>
      <c r="K7" s="784"/>
      <c r="L7" s="785"/>
    </row>
    <row r="8" spans="2:12" ht="15.75" thickTop="1">
      <c r="B8" s="1" t="s">
        <v>163</v>
      </c>
      <c r="C8" s="8">
        <v>28719112</v>
      </c>
      <c r="F8" s="184"/>
      <c r="G8" s="575" t="s">
        <v>423</v>
      </c>
      <c r="H8" s="786" t="s">
        <v>234</v>
      </c>
      <c r="I8" s="770"/>
      <c r="J8" s="786" t="s">
        <v>528</v>
      </c>
      <c r="K8" s="787"/>
      <c r="L8" s="777" t="s">
        <v>209</v>
      </c>
    </row>
    <row r="9" spans="6:12" ht="15">
      <c r="F9" s="187"/>
      <c r="G9" s="207"/>
      <c r="H9" s="72"/>
      <c r="I9" s="72"/>
      <c r="J9" s="207"/>
      <c r="K9" s="215"/>
      <c r="L9" s="778"/>
    </row>
    <row r="10" spans="2:12" ht="15.75" thickBot="1">
      <c r="B10" s="1" t="s">
        <v>7</v>
      </c>
      <c r="C10" s="8">
        <v>3178269</v>
      </c>
      <c r="F10" s="227"/>
      <c r="G10" s="293" t="str">
        <f>"FY "&amp;FY</f>
        <v>FY </v>
      </c>
      <c r="H10" s="295" t="s">
        <v>206</v>
      </c>
      <c r="I10" s="295" t="s">
        <v>683</v>
      </c>
      <c r="J10" s="296" t="s">
        <v>640</v>
      </c>
      <c r="K10" s="294" t="s">
        <v>683</v>
      </c>
      <c r="L10" s="779"/>
    </row>
    <row r="11" spans="6:12" ht="15.75" thickTop="1">
      <c r="F11" s="184"/>
      <c r="G11" s="401" t="s">
        <v>78</v>
      </c>
      <c r="H11" s="383" t="s">
        <v>79</v>
      </c>
      <c r="I11" s="383" t="s">
        <v>80</v>
      </c>
      <c r="J11" s="397" t="s">
        <v>81</v>
      </c>
      <c r="K11" s="420" t="s">
        <v>82</v>
      </c>
      <c r="L11" s="421" t="s">
        <v>83</v>
      </c>
    </row>
    <row r="12" spans="2:12" ht="15">
      <c r="B12" s="1" t="s">
        <v>109</v>
      </c>
      <c r="C12" s="84">
        <v>5938216</v>
      </c>
      <c r="F12" s="187"/>
      <c r="G12" s="235"/>
      <c r="H12" s="72"/>
      <c r="I12" s="72"/>
      <c r="J12" s="207"/>
      <c r="K12" s="233"/>
      <c r="L12" s="226"/>
    </row>
    <row r="13" spans="6:13" ht="15">
      <c r="F13" s="187" t="s">
        <v>163</v>
      </c>
      <c r="G13" s="403">
        <f>+C8</f>
        <v>28719112</v>
      </c>
      <c r="H13" s="431">
        <v>0</v>
      </c>
      <c r="I13" s="431">
        <v>0</v>
      </c>
      <c r="J13" s="253">
        <f>+H13*G13</f>
        <v>0</v>
      </c>
      <c r="K13" s="259">
        <f>+I13*G13</f>
        <v>0</v>
      </c>
      <c r="L13" s="406" t="s">
        <v>140</v>
      </c>
      <c r="M13" s="10"/>
    </row>
    <row r="14" spans="2:12" ht="15">
      <c r="B14" s="1" t="s">
        <v>501</v>
      </c>
      <c r="C14" s="15">
        <v>37835597</v>
      </c>
      <c r="F14" s="187"/>
      <c r="G14" s="237"/>
      <c r="H14" s="201"/>
      <c r="I14" s="201"/>
      <c r="J14" s="427"/>
      <c r="K14" s="428"/>
      <c r="L14" s="204"/>
    </row>
    <row r="15" spans="6:12" ht="15">
      <c r="F15" s="187" t="s">
        <v>7</v>
      </c>
      <c r="G15" s="235">
        <f>+C10</f>
        <v>3178269</v>
      </c>
      <c r="H15" s="431">
        <f>H13</f>
        <v>0</v>
      </c>
      <c r="I15" s="431">
        <f>+I13</f>
        <v>0</v>
      </c>
      <c r="J15" s="253">
        <f>+H15*G15</f>
        <v>0</v>
      </c>
      <c r="K15" s="259">
        <f>+I15*G15</f>
        <v>0</v>
      </c>
      <c r="L15" s="226" t="s">
        <v>140</v>
      </c>
    </row>
    <row r="16" spans="2:12" ht="15">
      <c r="B16" s="34"/>
      <c r="F16" s="187"/>
      <c r="G16" s="403"/>
      <c r="H16" s="431"/>
      <c r="I16" s="431"/>
      <c r="J16" s="425"/>
      <c r="K16" s="426"/>
      <c r="L16" s="406"/>
    </row>
    <row r="17" spans="2:12" ht="15">
      <c r="B17" s="773" t="s">
        <v>280</v>
      </c>
      <c r="C17" s="773"/>
      <c r="F17" s="187" t="s">
        <v>109</v>
      </c>
      <c r="G17" s="432">
        <f>+C12</f>
        <v>5938216</v>
      </c>
      <c r="H17" s="201">
        <f>H13</f>
        <v>0</v>
      </c>
      <c r="I17" s="201">
        <f>+I13</f>
        <v>0</v>
      </c>
      <c r="J17" s="253">
        <f>+H17*G17</f>
        <v>0</v>
      </c>
      <c r="K17" s="259">
        <f>+I17*G17</f>
        <v>0</v>
      </c>
      <c r="L17" s="204" t="s">
        <v>140</v>
      </c>
    </row>
    <row r="18" spans="6:12" ht="15">
      <c r="F18" s="187"/>
      <c r="G18" s="235"/>
      <c r="H18" s="72"/>
      <c r="I18" s="72"/>
      <c r="J18" s="429"/>
      <c r="K18" s="430"/>
      <c r="L18" s="226"/>
    </row>
    <row r="19" spans="6:12" ht="15">
      <c r="F19" s="187" t="s">
        <v>105</v>
      </c>
      <c r="G19" s="237">
        <f>SUM(G13:G17)</f>
        <v>37835597</v>
      </c>
      <c r="H19" s="201"/>
      <c r="I19" s="201"/>
      <c r="J19" s="427">
        <f>+J17+J15+J13</f>
        <v>0</v>
      </c>
      <c r="K19" s="428">
        <f>+K17+K15+K13</f>
        <v>0</v>
      </c>
      <c r="L19" s="204"/>
    </row>
    <row r="20" spans="6:12" ht="15">
      <c r="F20" s="187"/>
      <c r="G20" s="237"/>
      <c r="H20" s="201"/>
      <c r="I20" s="201"/>
      <c r="J20" s="427"/>
      <c r="K20" s="428"/>
      <c r="L20" s="204"/>
    </row>
    <row r="21" spans="6:12" ht="15.75" thickBot="1">
      <c r="F21" s="227"/>
      <c r="G21" s="238"/>
      <c r="H21" s="197"/>
      <c r="I21" s="197"/>
      <c r="J21" s="231"/>
      <c r="K21" s="232"/>
      <c r="L21" s="229"/>
    </row>
    <row r="22" spans="6:12" ht="15.75" thickTop="1">
      <c r="F22" s="230" t="s">
        <v>691</v>
      </c>
      <c r="G22" s="199"/>
      <c r="H22" s="199"/>
      <c r="I22" s="199"/>
      <c r="J22" s="199"/>
      <c r="K22" s="199"/>
      <c r="L22" s="200"/>
    </row>
    <row r="23" spans="6:12" ht="15.75" thickBot="1">
      <c r="F23" s="227"/>
      <c r="G23" s="197"/>
      <c r="H23" s="197"/>
      <c r="I23" s="197"/>
      <c r="J23" s="197"/>
      <c r="K23" s="197"/>
      <c r="L23" s="198"/>
    </row>
    <row r="24" ht="15.75" thickTop="1"/>
  </sheetData>
  <mergeCells count="8">
    <mergeCell ref="B3:C3"/>
    <mergeCell ref="B4:C4"/>
    <mergeCell ref="B17:C17"/>
    <mergeCell ref="F6:L6"/>
    <mergeCell ref="F7:L7"/>
    <mergeCell ref="H8:I8"/>
    <mergeCell ref="J8:K8"/>
    <mergeCell ref="L8:L10"/>
  </mergeCells>
  <printOptions horizontalCentered="1"/>
  <pageMargins left="0.25" right="0.25" top="0.75" bottom="0.75" header="0.5" footer="0.5"/>
  <pageSetup fitToHeight="1" fitToWidth="1"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W297"/>
  <sheetViews>
    <sheetView zoomScale="70" zoomScaleNormal="70" workbookViewId="0" topLeftCell="K1">
      <selection activeCell="U5" sqref="U5"/>
    </sheetView>
  </sheetViews>
  <sheetFormatPr defaultColWidth="12.57421875" defaultRowHeight="12.75"/>
  <cols>
    <col min="1" max="1" width="11.57421875" style="1" customWidth="1"/>
    <col min="2" max="2" width="59.28125" style="1" bestFit="1" customWidth="1"/>
    <col min="3" max="3" width="13.00390625" style="1" customWidth="1"/>
    <col min="4" max="4" width="4.8515625" style="1" customWidth="1"/>
    <col min="5" max="8" width="12.57421875" style="1" customWidth="1"/>
    <col min="9" max="9" width="14.28125" style="1" customWidth="1"/>
    <col min="10" max="10" width="6.140625" style="1" customWidth="1"/>
    <col min="11" max="11" width="4.8515625" style="1" customWidth="1"/>
    <col min="12" max="12" width="24.28125" style="1" customWidth="1"/>
    <col min="13" max="13" width="17.7109375" style="1" customWidth="1"/>
    <col min="14" max="14" width="4.8515625" style="1" customWidth="1"/>
    <col min="15" max="15" width="21.7109375" style="1" customWidth="1"/>
    <col min="16" max="21" width="15.00390625" style="1" customWidth="1"/>
    <col min="22" max="23" width="15.140625" style="1" customWidth="1"/>
    <col min="24" max="24" width="6.140625" style="1" customWidth="1"/>
    <col min="25" max="16384" width="12.57421875" style="1" customWidth="1"/>
  </cols>
  <sheetData>
    <row r="1" ht="15">
      <c r="N1" s="2"/>
    </row>
    <row r="2" spans="3:14" ht="15">
      <c r="C2" s="9" t="s">
        <v>27</v>
      </c>
      <c r="N2" s="2"/>
    </row>
    <row r="3" spans="2:15" ht="18">
      <c r="B3" s="771" t="s">
        <v>282</v>
      </c>
      <c r="C3" s="771"/>
      <c r="N3" s="2"/>
      <c r="O3" s="24"/>
    </row>
    <row r="4" spans="2:21" ht="15.75">
      <c r="B4" s="772" t="s">
        <v>700</v>
      </c>
      <c r="C4" s="772"/>
      <c r="N4" s="2"/>
      <c r="U4" s="1" t="str">
        <f>WN</f>
        <v>February 2009</v>
      </c>
    </row>
    <row r="5" spans="4:14" ht="15.75" thickBot="1">
      <c r="D5" s="2" t="s">
        <v>65</v>
      </c>
      <c r="K5" s="2"/>
      <c r="L5" s="2"/>
      <c r="M5" s="2"/>
      <c r="N5" s="2"/>
    </row>
    <row r="6" spans="2:21" ht="16.5" thickTop="1">
      <c r="B6" s="1" t="s">
        <v>283</v>
      </c>
      <c r="C6" s="136">
        <v>807953.5</v>
      </c>
      <c r="D6" s="2" t="s">
        <v>65</v>
      </c>
      <c r="K6" s="2"/>
      <c r="L6" s="2"/>
      <c r="M6" s="2"/>
      <c r="N6" s="2"/>
      <c r="O6" s="780" t="s">
        <v>285</v>
      </c>
      <c r="P6" s="781"/>
      <c r="Q6" s="781"/>
      <c r="R6" s="781"/>
      <c r="S6" s="781"/>
      <c r="T6" s="781"/>
      <c r="U6" s="782"/>
    </row>
    <row r="7" spans="4:21" ht="15.75" thickBot="1">
      <c r="D7" s="2" t="s">
        <v>65</v>
      </c>
      <c r="K7" s="2"/>
      <c r="L7" s="2" t="s">
        <v>426</v>
      </c>
      <c r="M7" s="74">
        <f>'Merchandise Return'!G13</f>
        <v>28719112</v>
      </c>
      <c r="N7" s="2"/>
      <c r="O7" s="783" t="str">
        <f>"Fiscal Year 2008 "</f>
        <v>Fiscal Year 2008 </v>
      </c>
      <c r="P7" s="784"/>
      <c r="Q7" s="784"/>
      <c r="R7" s="784"/>
      <c r="S7" s="784"/>
      <c r="T7" s="784"/>
      <c r="U7" s="785"/>
    </row>
    <row r="8" spans="2:21" ht="15.75" thickTop="1">
      <c r="B8" s="1" t="s">
        <v>284</v>
      </c>
      <c r="C8" s="5">
        <v>1453.6472371987727</v>
      </c>
      <c r="D8" s="2" t="s">
        <v>65</v>
      </c>
      <c r="K8" s="2"/>
      <c r="L8" s="2"/>
      <c r="M8" s="74"/>
      <c r="N8" s="2"/>
      <c r="O8" s="184"/>
      <c r="P8" s="575" t="s">
        <v>423</v>
      </c>
      <c r="Q8" s="786" t="s">
        <v>234</v>
      </c>
      <c r="R8" s="770"/>
      <c r="S8" s="786" t="s">
        <v>528</v>
      </c>
      <c r="T8" s="787"/>
      <c r="U8" s="777" t="s">
        <v>209</v>
      </c>
    </row>
    <row r="9" spans="4:21" ht="15">
      <c r="D9" s="2" t="s">
        <v>65</v>
      </c>
      <c r="K9" s="2"/>
      <c r="L9" s="2" t="s">
        <v>141</v>
      </c>
      <c r="M9" s="74">
        <f>'Merchandise Return'!G15</f>
        <v>3178269</v>
      </c>
      <c r="N9" s="2"/>
      <c r="O9" s="187"/>
      <c r="P9" s="207"/>
      <c r="Q9" s="72"/>
      <c r="R9" s="72"/>
      <c r="S9" s="207"/>
      <c r="T9" s="215"/>
      <c r="U9" s="778"/>
    </row>
    <row r="10" spans="2:21" ht="15.75" thickBot="1">
      <c r="B10" s="35"/>
      <c r="D10" s="2" t="s">
        <v>65</v>
      </c>
      <c r="E10" s="1" t="s">
        <v>72</v>
      </c>
      <c r="I10" s="24">
        <f ca="1">NOW()</f>
        <v>39854.61088530093</v>
      </c>
      <c r="K10" s="2"/>
      <c r="L10" s="2"/>
      <c r="M10" s="74"/>
      <c r="N10" s="2"/>
      <c r="O10" s="227"/>
      <c r="P10" s="293" t="str">
        <f>"FY "&amp;FY</f>
        <v>FY </v>
      </c>
      <c r="Q10" s="295" t="s">
        <v>206</v>
      </c>
      <c r="R10" s="295" t="s">
        <v>683</v>
      </c>
      <c r="S10" s="296" t="s">
        <v>640</v>
      </c>
      <c r="T10" s="294" t="s">
        <v>683</v>
      </c>
      <c r="U10" s="779"/>
    </row>
    <row r="11" spans="2:21" ht="15.75" thickTop="1">
      <c r="B11" s="1" t="s">
        <v>229</v>
      </c>
      <c r="D11" s="2" t="s">
        <v>65</v>
      </c>
      <c r="E11" s="4" t="s">
        <v>67</v>
      </c>
      <c r="F11" s="4" t="s">
        <v>67</v>
      </c>
      <c r="G11" s="4" t="s">
        <v>67</v>
      </c>
      <c r="H11" s="4" t="s">
        <v>67</v>
      </c>
      <c r="I11" s="4" t="s">
        <v>67</v>
      </c>
      <c r="K11" s="2"/>
      <c r="L11" s="2" t="s">
        <v>435</v>
      </c>
      <c r="M11" s="74">
        <f>'Merchandise Return'!G17</f>
        <v>5938216</v>
      </c>
      <c r="N11" s="2"/>
      <c r="O11" s="184"/>
      <c r="P11" s="401" t="s">
        <v>78</v>
      </c>
      <c r="Q11" s="383" t="s">
        <v>79</v>
      </c>
      <c r="R11" s="383" t="s">
        <v>80</v>
      </c>
      <c r="S11" s="397" t="s">
        <v>81</v>
      </c>
      <c r="T11" s="420" t="s">
        <v>82</v>
      </c>
      <c r="U11" s="421" t="s">
        <v>83</v>
      </c>
    </row>
    <row r="12" spans="2:23" ht="15">
      <c r="B12" s="36"/>
      <c r="C12" s="36"/>
      <c r="D12" s="2" t="s">
        <v>65</v>
      </c>
      <c r="K12" s="2"/>
      <c r="L12" s="2"/>
      <c r="M12" s="74"/>
      <c r="N12" s="2"/>
      <c r="O12" s="187"/>
      <c r="P12" s="235"/>
      <c r="Q12" s="72"/>
      <c r="R12" s="72"/>
      <c r="S12" s="207"/>
      <c r="T12" s="233"/>
      <c r="U12" s="226"/>
      <c r="V12" s="2"/>
      <c r="W12" s="2"/>
    </row>
    <row r="13" spans="2:21" ht="15">
      <c r="B13" s="36"/>
      <c r="C13" s="36"/>
      <c r="D13" s="2" t="s">
        <v>65</v>
      </c>
      <c r="E13" s="1" t="s">
        <v>504</v>
      </c>
      <c r="K13" s="2"/>
      <c r="L13" s="2"/>
      <c r="M13" s="74">
        <f>SUM(M7:M11)</f>
        <v>37835597</v>
      </c>
      <c r="N13" s="2"/>
      <c r="O13" s="187" t="s">
        <v>163</v>
      </c>
      <c r="P13" s="403">
        <f>C8*(M7/$M$13)</f>
        <v>1103.391015968431</v>
      </c>
      <c r="Q13" s="201">
        <f>AcctMC</f>
        <v>565</v>
      </c>
      <c r="R13" s="201">
        <f>AcctMP</f>
        <v>585</v>
      </c>
      <c r="S13" s="253">
        <f>+Q13*P13</f>
        <v>623415.9240221635</v>
      </c>
      <c r="T13" s="259">
        <f>+R13*P13</f>
        <v>645483.7443415321</v>
      </c>
      <c r="U13" s="439">
        <f>(R13-Q13)/Q13</f>
        <v>0.035398230088495575</v>
      </c>
    </row>
    <row r="14" spans="2:23" ht="15">
      <c r="B14" s="36"/>
      <c r="C14" s="36"/>
      <c r="D14" s="2" t="s">
        <v>65</v>
      </c>
      <c r="E14" s="1" t="s">
        <v>632</v>
      </c>
      <c r="K14" s="2"/>
      <c r="N14" s="2"/>
      <c r="O14" s="187"/>
      <c r="P14" s="237"/>
      <c r="Q14" s="436"/>
      <c r="R14" s="436"/>
      <c r="S14" s="437"/>
      <c r="T14" s="438"/>
      <c r="U14" s="271"/>
      <c r="V14" s="30"/>
      <c r="W14" s="30"/>
    </row>
    <row r="15" spans="2:21" ht="15">
      <c r="B15" s="36"/>
      <c r="C15" s="36"/>
      <c r="D15" s="2" t="s">
        <v>65</v>
      </c>
      <c r="E15" s="1" t="s">
        <v>633</v>
      </c>
      <c r="K15" s="2"/>
      <c r="N15" s="2"/>
      <c r="O15" s="187" t="s">
        <v>7</v>
      </c>
      <c r="P15" s="434">
        <f>C8*(M9/$M$13)</f>
        <v>122.10939742604052</v>
      </c>
      <c r="Q15" s="201">
        <f>AcctMC</f>
        <v>565</v>
      </c>
      <c r="R15" s="201">
        <f>AcctMP</f>
        <v>585</v>
      </c>
      <c r="S15" s="253">
        <f>+Q15*P15</f>
        <v>68991.8095457129</v>
      </c>
      <c r="T15" s="259">
        <f>+R15*P15</f>
        <v>71433.9974942337</v>
      </c>
      <c r="U15" s="439">
        <f>(R15-Q15)/Q15</f>
        <v>0.035398230088495575</v>
      </c>
    </row>
    <row r="16" spans="2:21" ht="15">
      <c r="B16" s="36"/>
      <c r="C16" s="36"/>
      <c r="D16" s="2" t="s">
        <v>65</v>
      </c>
      <c r="E16" s="104" t="str">
        <f>"FY "&amp;FY</f>
        <v>FY </v>
      </c>
      <c r="K16" s="2"/>
      <c r="L16" s="2"/>
      <c r="M16" s="2"/>
      <c r="N16" s="2"/>
      <c r="O16" s="187"/>
      <c r="P16" s="403"/>
      <c r="Q16" s="435"/>
      <c r="R16" s="435"/>
      <c r="S16" s="422"/>
      <c r="T16" s="423"/>
      <c r="U16" s="405"/>
    </row>
    <row r="17" spans="2:21" ht="15">
      <c r="B17" s="36"/>
      <c r="C17" s="36"/>
      <c r="D17" s="2" t="s">
        <v>65</v>
      </c>
      <c r="E17" s="1" t="s">
        <v>506</v>
      </c>
      <c r="F17" s="433">
        <f>+C6</f>
        <v>807953.5</v>
      </c>
      <c r="K17" s="2"/>
      <c r="L17" s="2"/>
      <c r="M17" s="75"/>
      <c r="N17" s="2"/>
      <c r="O17" s="187" t="s">
        <v>109</v>
      </c>
      <c r="P17" s="432">
        <f>C8*(M11/$M$13)</f>
        <v>228.14682380430122</v>
      </c>
      <c r="Q17" s="201">
        <f>AcctMC</f>
        <v>565</v>
      </c>
      <c r="R17" s="201">
        <f>AcctMP</f>
        <v>585</v>
      </c>
      <c r="S17" s="253">
        <f>+Q17*P17</f>
        <v>128902.95544943018</v>
      </c>
      <c r="T17" s="259">
        <f>+R17*P17</f>
        <v>133465.89192551622</v>
      </c>
      <c r="U17" s="271">
        <f>(R17-Q17)/Q17</f>
        <v>0.035398230088495575</v>
      </c>
    </row>
    <row r="18" spans="2:21" ht="15.75" customHeight="1">
      <c r="B18" s="36"/>
      <c r="C18" s="36"/>
      <c r="D18" s="2" t="s">
        <v>65</v>
      </c>
      <c r="K18" s="2"/>
      <c r="L18" s="2"/>
      <c r="M18" s="2"/>
      <c r="N18" s="2"/>
      <c r="O18" s="187"/>
      <c r="P18" s="235"/>
      <c r="Q18" s="72"/>
      <c r="R18" s="72"/>
      <c r="S18" s="422"/>
      <c r="T18" s="423"/>
      <c r="U18" s="226"/>
    </row>
    <row r="19" spans="2:21" ht="15">
      <c r="B19" s="36"/>
      <c r="C19" s="36"/>
      <c r="D19" s="2" t="s">
        <v>65</v>
      </c>
      <c r="K19" s="2"/>
      <c r="N19" s="2"/>
      <c r="O19" s="187" t="s">
        <v>105</v>
      </c>
      <c r="P19" s="237">
        <f>P17+P15+P13</f>
        <v>1453.6472371987727</v>
      </c>
      <c r="Q19" s="201"/>
      <c r="R19" s="201"/>
      <c r="S19" s="437">
        <f>S17+S15+S13</f>
        <v>821310.6890173065</v>
      </c>
      <c r="T19" s="438">
        <f>T17+T15+T13</f>
        <v>850383.6337612821</v>
      </c>
      <c r="U19" s="204"/>
    </row>
    <row r="20" spans="2:21" ht="15">
      <c r="B20" s="21"/>
      <c r="C20" s="21"/>
      <c r="D20" s="2" t="s">
        <v>65</v>
      </c>
      <c r="E20" s="1" t="s">
        <v>138</v>
      </c>
      <c r="G20" s="33" t="s">
        <v>138</v>
      </c>
      <c r="K20" s="2"/>
      <c r="N20" s="2"/>
      <c r="O20" s="187"/>
      <c r="P20" s="237"/>
      <c r="Q20" s="201"/>
      <c r="R20" s="201"/>
      <c r="S20" s="427"/>
      <c r="T20" s="428"/>
      <c r="U20" s="204"/>
    </row>
    <row r="21" spans="2:21" ht="15.75" thickBot="1">
      <c r="B21" s="36"/>
      <c r="C21" s="36"/>
      <c r="D21" s="2" t="s">
        <v>65</v>
      </c>
      <c r="K21" s="2"/>
      <c r="L21" s="2"/>
      <c r="M21" s="2"/>
      <c r="N21" s="2"/>
      <c r="O21" s="227"/>
      <c r="P21" s="238"/>
      <c r="Q21" s="197"/>
      <c r="R21" s="197"/>
      <c r="S21" s="231"/>
      <c r="T21" s="232"/>
      <c r="U21" s="229"/>
    </row>
    <row r="22" spans="2:21" ht="15.75" thickTop="1">
      <c r="B22" s="36"/>
      <c r="C22" s="36"/>
      <c r="D22" s="2" t="s">
        <v>65</v>
      </c>
      <c r="E22" s="4" t="s">
        <v>77</v>
      </c>
      <c r="F22" s="4" t="s">
        <v>77</v>
      </c>
      <c r="G22" s="4" t="s">
        <v>77</v>
      </c>
      <c r="H22" s="4" t="s">
        <v>77</v>
      </c>
      <c r="I22" s="4" t="s">
        <v>77</v>
      </c>
      <c r="K22" s="2"/>
      <c r="L22" s="2"/>
      <c r="M22" s="2"/>
      <c r="N22" s="2"/>
      <c r="O22" s="230" t="s">
        <v>691</v>
      </c>
      <c r="P22" s="199"/>
      <c r="Q22" s="199"/>
      <c r="R22" s="199"/>
      <c r="S22" s="199"/>
      <c r="T22" s="199"/>
      <c r="U22" s="200"/>
    </row>
    <row r="23" spans="2:21" ht="15.75" thickBot="1">
      <c r="B23" s="36"/>
      <c r="C23" s="36"/>
      <c r="D23" s="2" t="s">
        <v>65</v>
      </c>
      <c r="K23" s="2"/>
      <c r="L23" s="2"/>
      <c r="M23" s="2"/>
      <c r="N23" s="2"/>
      <c r="O23" s="227" t="s">
        <v>134</v>
      </c>
      <c r="P23" s="197"/>
      <c r="Q23" s="197"/>
      <c r="R23" s="197"/>
      <c r="S23" s="197"/>
      <c r="T23" s="197"/>
      <c r="U23" s="198"/>
    </row>
    <row r="24" spans="2:22" ht="15.75" thickTop="1">
      <c r="B24" s="36"/>
      <c r="C24" s="36"/>
      <c r="D24" s="2" t="s">
        <v>65</v>
      </c>
      <c r="K24" s="2"/>
      <c r="L24" s="2"/>
      <c r="M24" s="2"/>
      <c r="N24" s="2"/>
      <c r="P24" s="92"/>
      <c r="Q24" s="36"/>
      <c r="R24" s="36"/>
      <c r="S24" s="94"/>
      <c r="T24" s="94"/>
      <c r="U24" s="36"/>
      <c r="V24" s="36"/>
    </row>
    <row r="25" spans="2:22" ht="15">
      <c r="B25" s="36"/>
      <c r="C25" s="36"/>
      <c r="D25" s="2" t="s">
        <v>65</v>
      </c>
      <c r="K25" s="2"/>
      <c r="L25" s="2"/>
      <c r="M25" s="2"/>
      <c r="N25" s="2"/>
      <c r="V25" s="36"/>
    </row>
    <row r="26" spans="4:22" ht="15">
      <c r="D26" s="2" t="s">
        <v>65</v>
      </c>
      <c r="K26" s="2"/>
      <c r="L26" s="2"/>
      <c r="M26" s="2"/>
      <c r="N26" s="2"/>
      <c r="V26" s="36"/>
    </row>
    <row r="27" spans="4:14" ht="15">
      <c r="D27" s="2" t="s">
        <v>65</v>
      </c>
      <c r="K27" s="2"/>
      <c r="L27" s="2"/>
      <c r="M27" s="2"/>
      <c r="N27" s="2"/>
    </row>
    <row r="28" spans="4:14" ht="15">
      <c r="D28" s="2" t="s">
        <v>65</v>
      </c>
      <c r="K28" s="2"/>
      <c r="L28" s="2"/>
      <c r="M28" s="2"/>
      <c r="N28" s="2"/>
    </row>
    <row r="29" spans="4:16" ht="15">
      <c r="D29" s="2" t="s">
        <v>65</v>
      </c>
      <c r="K29" s="2"/>
      <c r="L29" s="2"/>
      <c r="M29" s="2"/>
      <c r="N29" s="2"/>
      <c r="P29" s="15"/>
    </row>
    <row r="30" spans="4:14" ht="15">
      <c r="D30" s="2" t="s">
        <v>65</v>
      </c>
      <c r="K30" s="2"/>
      <c r="L30" s="2"/>
      <c r="M30" s="75"/>
      <c r="N30" s="2"/>
    </row>
    <row r="31" spans="4:14" ht="15">
      <c r="D31" s="2" t="s">
        <v>65</v>
      </c>
      <c r="K31" s="2"/>
      <c r="L31" s="2"/>
      <c r="M31" s="2"/>
      <c r="N31" s="2"/>
    </row>
    <row r="32" spans="4:14" ht="15">
      <c r="D32" s="2" t="s">
        <v>65</v>
      </c>
      <c r="K32" s="2"/>
      <c r="L32" s="2"/>
      <c r="M32" s="2"/>
      <c r="N32" s="2"/>
    </row>
    <row r="33" spans="4:16" ht="15">
      <c r="D33" s="2" t="s">
        <v>65</v>
      </c>
      <c r="K33" s="2"/>
      <c r="L33" s="2"/>
      <c r="M33" s="2"/>
      <c r="N33" s="2"/>
      <c r="P33" s="15"/>
    </row>
    <row r="34" spans="4:14" ht="15">
      <c r="D34" s="2" t="s">
        <v>65</v>
      </c>
      <c r="K34" s="2"/>
      <c r="L34" s="2"/>
      <c r="M34" s="2"/>
      <c r="N34" s="2"/>
    </row>
    <row r="35" spans="4:14" ht="15">
      <c r="D35" s="2"/>
      <c r="K35" s="2"/>
      <c r="L35" s="2"/>
      <c r="M35" s="2"/>
      <c r="N35" s="2"/>
    </row>
    <row r="36" spans="4:14" ht="15">
      <c r="D36" s="2"/>
      <c r="K36" s="2"/>
      <c r="L36" s="2"/>
      <c r="M36" s="2"/>
      <c r="N36" s="2"/>
    </row>
    <row r="37" spans="4:14" ht="15">
      <c r="D37" s="2" t="s">
        <v>65</v>
      </c>
      <c r="K37" s="2"/>
      <c r="L37" s="2"/>
      <c r="M37" s="2"/>
      <c r="N37" s="2"/>
    </row>
    <row r="38" spans="4:14" ht="15">
      <c r="D38" s="2"/>
      <c r="K38" s="2"/>
      <c r="L38" s="2"/>
      <c r="M38" s="2"/>
      <c r="N38" s="2"/>
    </row>
    <row r="39" spans="4:14" ht="15">
      <c r="D39" s="2" t="s">
        <v>65</v>
      </c>
      <c r="K39" s="2"/>
      <c r="L39" s="2"/>
      <c r="M39" s="2"/>
      <c r="N39" s="2"/>
    </row>
    <row r="40" spans="4:14" ht="15">
      <c r="D40" s="2" t="s">
        <v>65</v>
      </c>
      <c r="K40" s="2"/>
      <c r="L40" s="2"/>
      <c r="M40" s="2"/>
      <c r="N40" s="2"/>
    </row>
    <row r="41" spans="4:14" ht="15">
      <c r="D41" s="2" t="s">
        <v>65</v>
      </c>
      <c r="K41" s="2"/>
      <c r="L41" s="2"/>
      <c r="M41" s="2"/>
      <c r="N41" s="2"/>
    </row>
    <row r="42" spans="4:14" ht="15">
      <c r="D42" s="2" t="s">
        <v>65</v>
      </c>
      <c r="K42" s="2"/>
      <c r="L42" s="2"/>
      <c r="M42" s="2"/>
      <c r="N42" s="2"/>
    </row>
    <row r="43" spans="4:14" ht="15">
      <c r="D43" s="2" t="s">
        <v>65</v>
      </c>
      <c r="K43" s="2"/>
      <c r="L43" s="2"/>
      <c r="M43" s="2"/>
      <c r="N43" s="2"/>
    </row>
    <row r="44" spans="4:14" ht="15">
      <c r="D44" s="2" t="s">
        <v>65</v>
      </c>
      <c r="K44" s="2"/>
      <c r="L44" s="2"/>
      <c r="M44" s="2"/>
      <c r="N44" s="2"/>
    </row>
    <row r="45" spans="4:14" ht="15">
      <c r="D45" s="2" t="s">
        <v>65</v>
      </c>
      <c r="K45" s="2"/>
      <c r="L45" s="2"/>
      <c r="M45" s="2"/>
      <c r="N45" s="2"/>
    </row>
    <row r="46" spans="4:14" ht="15">
      <c r="D46" s="2" t="s">
        <v>65</v>
      </c>
      <c r="K46" s="2"/>
      <c r="L46" s="2"/>
      <c r="M46" s="2"/>
      <c r="N46" s="2"/>
    </row>
    <row r="47" spans="4:14" ht="15">
      <c r="D47" s="2" t="s">
        <v>65</v>
      </c>
      <c r="K47" s="2"/>
      <c r="L47" s="2"/>
      <c r="M47" s="2"/>
      <c r="N47" s="2"/>
    </row>
    <row r="48" spans="4:14" ht="15">
      <c r="D48" s="2" t="s">
        <v>65</v>
      </c>
      <c r="K48" s="2"/>
      <c r="L48" s="2"/>
      <c r="M48" s="2"/>
      <c r="N48" s="2"/>
    </row>
    <row r="49" spans="4:14" ht="15">
      <c r="D49" s="2" t="s">
        <v>65</v>
      </c>
      <c r="K49" s="2"/>
      <c r="L49" s="2"/>
      <c r="M49" s="2"/>
      <c r="N49" s="2"/>
    </row>
    <row r="295" spans="4:5" ht="15">
      <c r="D295" s="1" t="e">
        <f>('Special Handling'!K23+'Special Handling'!K28+'Special Handling'!K33+'Special Handling'!#REF!+'Special Handling'!#REF!)/1000</f>
        <v>#REF!</v>
      </c>
      <c r="E295" s="85"/>
    </row>
    <row r="296" spans="4:5" ht="15">
      <c r="D296" s="16" t="e">
        <f>('Special Handling'!K24+'Special Handling'!K29+'Special Handling'!K34+'Special Handling'!#REF!+'Special Handling'!K509)/1000</f>
        <v>#REF!</v>
      </c>
      <c r="E296" s="85"/>
    </row>
    <row r="297" ht="15">
      <c r="E297" s="85"/>
    </row>
  </sheetData>
  <mergeCells count="7">
    <mergeCell ref="Q8:R8"/>
    <mergeCell ref="S8:T8"/>
    <mergeCell ref="U8:U10"/>
    <mergeCell ref="B3:C3"/>
    <mergeCell ref="B4:C4"/>
    <mergeCell ref="O6:U6"/>
    <mergeCell ref="O7:U7"/>
  </mergeCells>
  <printOptions horizontalCentered="1"/>
  <pageMargins left="0.25" right="0.25" top="1.5" bottom="0.75" header="0.5" footer="0.5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W297"/>
  <sheetViews>
    <sheetView zoomScale="70" zoomScaleNormal="70" workbookViewId="0" topLeftCell="J1">
      <selection activeCell="V5" sqref="V5"/>
    </sheetView>
  </sheetViews>
  <sheetFormatPr defaultColWidth="12.57421875" defaultRowHeight="12.75"/>
  <cols>
    <col min="1" max="1" width="11.57421875" style="1" customWidth="1"/>
    <col min="2" max="2" width="47.00390625" style="36" customWidth="1"/>
    <col min="3" max="3" width="13.00390625" style="36" customWidth="1"/>
    <col min="4" max="4" width="4.8515625" style="1" customWidth="1"/>
    <col min="5" max="8" width="12.57421875" style="1" customWidth="1"/>
    <col min="9" max="9" width="14.28125" style="1" customWidth="1"/>
    <col min="10" max="10" width="6.140625" style="1" customWidth="1"/>
    <col min="11" max="11" width="4.8515625" style="1" customWidth="1"/>
    <col min="12" max="12" width="6.57421875" style="1" customWidth="1"/>
    <col min="13" max="13" width="24.28125" style="1" customWidth="1"/>
    <col min="14" max="14" width="17.7109375" style="1" customWidth="1"/>
    <col min="15" max="15" width="4.8515625" style="1" customWidth="1"/>
    <col min="16" max="16" width="25.140625" style="1" customWidth="1"/>
    <col min="17" max="22" width="16.57421875" style="1" customWidth="1"/>
    <col min="23" max="23" width="15.140625" style="1" customWidth="1"/>
    <col min="24" max="16384" width="12.57421875" style="1" customWidth="1"/>
  </cols>
  <sheetData>
    <row r="1" spans="13:15" ht="15">
      <c r="M1" s="1" t="s">
        <v>502</v>
      </c>
      <c r="O1" s="2"/>
    </row>
    <row r="2" spans="2:15" ht="15">
      <c r="B2" s="1"/>
      <c r="C2" s="9" t="s">
        <v>503</v>
      </c>
      <c r="O2" s="2"/>
    </row>
    <row r="3" spans="2:16" ht="18">
      <c r="B3" s="771" t="s">
        <v>656</v>
      </c>
      <c r="C3" s="771"/>
      <c r="L3" s="1" t="s">
        <v>500</v>
      </c>
      <c r="O3" s="2"/>
      <c r="P3" s="24"/>
    </row>
    <row r="4" spans="2:22" ht="15.75">
      <c r="B4" s="772" t="s">
        <v>700</v>
      </c>
      <c r="C4" s="772"/>
      <c r="O4" s="2"/>
      <c r="V4" s="1" t="str">
        <f>WN</f>
        <v>February 2009</v>
      </c>
    </row>
    <row r="5" spans="2:15" ht="15.75" thickBot="1">
      <c r="B5" s="1"/>
      <c r="C5" s="1"/>
      <c r="D5" s="2" t="s">
        <v>65</v>
      </c>
      <c r="K5" s="2" t="s">
        <v>65</v>
      </c>
      <c r="L5" s="2"/>
      <c r="M5" s="2"/>
      <c r="N5" s="2"/>
      <c r="O5" s="2"/>
    </row>
    <row r="6" spans="2:22" ht="16.5" thickTop="1">
      <c r="B6" s="1" t="s">
        <v>286</v>
      </c>
      <c r="C6" s="33">
        <v>241280</v>
      </c>
      <c r="D6" s="2" t="s">
        <v>65</v>
      </c>
      <c r="K6" s="2" t="s">
        <v>65</v>
      </c>
      <c r="L6" s="2"/>
      <c r="M6" s="2"/>
      <c r="N6" s="2"/>
      <c r="O6" s="2"/>
      <c r="P6" s="780" t="s">
        <v>410</v>
      </c>
      <c r="Q6" s="781"/>
      <c r="R6" s="781"/>
      <c r="S6" s="781"/>
      <c r="T6" s="781"/>
      <c r="U6" s="781"/>
      <c r="V6" s="782"/>
    </row>
    <row r="7" spans="2:22" ht="15.75" thickBot="1">
      <c r="B7" s="1"/>
      <c r="C7" s="1"/>
      <c r="D7" s="2" t="s">
        <v>65</v>
      </c>
      <c r="K7" s="2" t="s">
        <v>65</v>
      </c>
      <c r="M7" s="2" t="s">
        <v>426</v>
      </c>
      <c r="N7" s="74">
        <f>'Merchandise Return'!G13</f>
        <v>28719112</v>
      </c>
      <c r="O7" s="2"/>
      <c r="P7" s="783" t="str">
        <f>"Fiscal Year 2008 "</f>
        <v>Fiscal Year 2008 </v>
      </c>
      <c r="Q7" s="784"/>
      <c r="R7" s="784"/>
      <c r="S7" s="784"/>
      <c r="T7" s="784"/>
      <c r="U7" s="784"/>
      <c r="V7" s="785"/>
    </row>
    <row r="8" spans="2:22" ht="15.75" thickTop="1">
      <c r="B8" s="1" t="s">
        <v>287</v>
      </c>
      <c r="C8" s="5">
        <v>1363.6269302038295</v>
      </c>
      <c r="D8" s="2" t="s">
        <v>65</v>
      </c>
      <c r="K8" s="2" t="s">
        <v>65</v>
      </c>
      <c r="L8" s="2"/>
      <c r="M8" s="2"/>
      <c r="N8" s="74"/>
      <c r="O8" s="2"/>
      <c r="P8" s="184"/>
      <c r="Q8" s="575" t="s">
        <v>423</v>
      </c>
      <c r="R8" s="786" t="s">
        <v>234</v>
      </c>
      <c r="S8" s="770"/>
      <c r="T8" s="786" t="s">
        <v>528</v>
      </c>
      <c r="U8" s="787"/>
      <c r="V8" s="777" t="s">
        <v>209</v>
      </c>
    </row>
    <row r="9" spans="2:22" ht="15">
      <c r="B9" s="1"/>
      <c r="C9" s="1"/>
      <c r="D9" s="2" t="s">
        <v>65</v>
      </c>
      <c r="K9" s="2" t="s">
        <v>65</v>
      </c>
      <c r="L9" s="2"/>
      <c r="M9" s="2" t="s">
        <v>141</v>
      </c>
      <c r="N9" s="74">
        <f>'Merchandise Return'!G15</f>
        <v>3178269</v>
      </c>
      <c r="O9" s="2"/>
      <c r="P9" s="187"/>
      <c r="Q9" s="207"/>
      <c r="R9" s="72"/>
      <c r="S9" s="72"/>
      <c r="T9" s="207"/>
      <c r="U9" s="215"/>
      <c r="V9" s="778"/>
    </row>
    <row r="10" spans="2:22" ht="15.75" thickBot="1">
      <c r="B10" s="35"/>
      <c r="C10" s="1"/>
      <c r="D10" s="2" t="s">
        <v>65</v>
      </c>
      <c r="E10" s="1" t="s">
        <v>72</v>
      </c>
      <c r="I10" s="24">
        <f ca="1">NOW()</f>
        <v>39854.61088530093</v>
      </c>
      <c r="K10" s="2" t="s">
        <v>65</v>
      </c>
      <c r="L10" s="2"/>
      <c r="M10" s="2"/>
      <c r="N10" s="74"/>
      <c r="O10" s="2"/>
      <c r="P10" s="227"/>
      <c r="Q10" s="293" t="str">
        <f>"FY "&amp;FY</f>
        <v>FY </v>
      </c>
      <c r="R10" s="295" t="s">
        <v>206</v>
      </c>
      <c r="S10" s="295" t="s">
        <v>683</v>
      </c>
      <c r="T10" s="296" t="s">
        <v>640</v>
      </c>
      <c r="U10" s="294" t="s">
        <v>683</v>
      </c>
      <c r="V10" s="779"/>
    </row>
    <row r="11" spans="2:22" ht="15.75" thickTop="1">
      <c r="B11" s="1"/>
      <c r="C11" s="1"/>
      <c r="D11" s="2" t="s">
        <v>65</v>
      </c>
      <c r="E11" s="4" t="s">
        <v>67</v>
      </c>
      <c r="F11" s="4" t="s">
        <v>67</v>
      </c>
      <c r="G11" s="4" t="s">
        <v>67</v>
      </c>
      <c r="H11" s="4" t="s">
        <v>67</v>
      </c>
      <c r="I11" s="4" t="s">
        <v>67</v>
      </c>
      <c r="K11" s="2" t="s">
        <v>65</v>
      </c>
      <c r="L11" s="2"/>
      <c r="M11" s="2" t="s">
        <v>435</v>
      </c>
      <c r="N11" s="74">
        <f>'Merchandise Return'!G17</f>
        <v>5938216</v>
      </c>
      <c r="O11" s="2"/>
      <c r="P11" s="184"/>
      <c r="Q11" s="401" t="s">
        <v>78</v>
      </c>
      <c r="R11" s="383" t="s">
        <v>79</v>
      </c>
      <c r="S11" s="383" t="s">
        <v>80</v>
      </c>
      <c r="T11" s="397" t="s">
        <v>81</v>
      </c>
      <c r="U11" s="420" t="s">
        <v>82</v>
      </c>
      <c r="V11" s="421" t="s">
        <v>83</v>
      </c>
    </row>
    <row r="12" spans="2:22" ht="15">
      <c r="B12" s="1" t="s">
        <v>130</v>
      </c>
      <c r="C12" s="1"/>
      <c r="D12" s="2" t="s">
        <v>65</v>
      </c>
      <c r="K12" s="2" t="s">
        <v>65</v>
      </c>
      <c r="L12" s="2"/>
      <c r="M12" s="2"/>
      <c r="N12" s="74"/>
      <c r="O12" s="2"/>
      <c r="P12" s="187"/>
      <c r="Q12" s="235"/>
      <c r="R12" s="72"/>
      <c r="S12" s="72"/>
      <c r="T12" s="207"/>
      <c r="U12" s="233"/>
      <c r="V12" s="226"/>
    </row>
    <row r="13" spans="4:22" ht="15">
      <c r="D13" s="2" t="s">
        <v>65</v>
      </c>
      <c r="E13" s="1" t="s">
        <v>504</v>
      </c>
      <c r="K13" s="2" t="s">
        <v>65</v>
      </c>
      <c r="L13" s="2"/>
      <c r="M13" s="2" t="s">
        <v>105</v>
      </c>
      <c r="N13" s="74">
        <f>SUM(N7:N11)</f>
        <v>37835597</v>
      </c>
      <c r="O13" s="2"/>
      <c r="P13" s="187" t="s">
        <v>163</v>
      </c>
      <c r="Q13" s="528">
        <f>C8*(N7/N13)</f>
        <v>1035.0610969542772</v>
      </c>
      <c r="R13" s="201">
        <f>PermC</f>
        <v>180</v>
      </c>
      <c r="S13" s="201">
        <f>PermP</f>
        <v>185</v>
      </c>
      <c r="T13" s="253">
        <f>+R13*Q13</f>
        <v>186310.9974517699</v>
      </c>
      <c r="U13" s="259">
        <f>+S13*Q13</f>
        <v>191486.3029365413</v>
      </c>
      <c r="V13" s="439">
        <f>(S13-R13)/R13</f>
        <v>0.027777777777777776</v>
      </c>
    </row>
    <row r="14" spans="4:22" ht="15">
      <c r="D14" s="2" t="s">
        <v>65</v>
      </c>
      <c r="E14" s="1" t="s">
        <v>505</v>
      </c>
      <c r="K14" s="2" t="s">
        <v>65</v>
      </c>
      <c r="L14" s="2"/>
      <c r="O14" s="2"/>
      <c r="P14" s="187"/>
      <c r="Q14" s="528"/>
      <c r="R14" s="436"/>
      <c r="S14" s="436"/>
      <c r="T14" s="437"/>
      <c r="U14" s="438"/>
      <c r="V14" s="271"/>
    </row>
    <row r="15" spans="4:22" ht="15">
      <c r="D15" s="2" t="s">
        <v>65</v>
      </c>
      <c r="E15" s="1" t="s">
        <v>138</v>
      </c>
      <c r="K15" s="2" t="s">
        <v>65</v>
      </c>
      <c r="L15" s="2"/>
      <c r="O15" s="2"/>
      <c r="P15" s="187" t="s">
        <v>7</v>
      </c>
      <c r="Q15" s="528">
        <f>C8*(N9/N13)</f>
        <v>114.54750402992174</v>
      </c>
      <c r="R15" s="201">
        <f>PermC</f>
        <v>180</v>
      </c>
      <c r="S15" s="201">
        <f>PermP</f>
        <v>185</v>
      </c>
      <c r="T15" s="253">
        <f>+R15*Q15</f>
        <v>20618.550725385914</v>
      </c>
      <c r="U15" s="259">
        <f>+S15*Q15</f>
        <v>21191.28824553552</v>
      </c>
      <c r="V15" s="439">
        <f>(S15-R15)/R15</f>
        <v>0.027777777777777776</v>
      </c>
    </row>
    <row r="16" spans="4:22" ht="15">
      <c r="D16" s="2" t="s">
        <v>65</v>
      </c>
      <c r="E16" s="1" t="str">
        <f>"FY "&amp;FY</f>
        <v>FY </v>
      </c>
      <c r="K16" s="2" t="s">
        <v>65</v>
      </c>
      <c r="L16" s="2"/>
      <c r="M16" s="2"/>
      <c r="N16" s="2"/>
      <c r="O16" s="2"/>
      <c r="P16" s="187"/>
      <c r="Q16" s="434"/>
      <c r="R16" s="435"/>
      <c r="S16" s="435"/>
      <c r="T16" s="422"/>
      <c r="U16" s="423"/>
      <c r="V16" s="405"/>
    </row>
    <row r="17" spans="4:22" ht="15">
      <c r="D17" s="2" t="s">
        <v>65</v>
      </c>
      <c r="E17" s="1" t="s">
        <v>506</v>
      </c>
      <c r="F17" s="33">
        <f>+C6</f>
        <v>241280</v>
      </c>
      <c r="K17" s="2" t="s">
        <v>65</v>
      </c>
      <c r="M17" s="2"/>
      <c r="N17" s="75"/>
      <c r="O17" s="2"/>
      <c r="P17" s="187" t="s">
        <v>109</v>
      </c>
      <c r="Q17" s="675">
        <f>C8*(N11/$N$13)</f>
        <v>214.0183292196305</v>
      </c>
      <c r="R17" s="201">
        <f>PermC</f>
        <v>180</v>
      </c>
      <c r="S17" s="201">
        <f>PermP</f>
        <v>185</v>
      </c>
      <c r="T17" s="253">
        <f>+R17*Q17</f>
        <v>38523.29925953349</v>
      </c>
      <c r="U17" s="259">
        <f>+S17*Q17</f>
        <v>39593.39090563164</v>
      </c>
      <c r="V17" s="271">
        <f>(S17-R17)/R17</f>
        <v>0.027777777777777776</v>
      </c>
    </row>
    <row r="18" spans="4:22" ht="15">
      <c r="D18" s="2" t="s">
        <v>65</v>
      </c>
      <c r="K18" s="2" t="s">
        <v>65</v>
      </c>
      <c r="L18" s="2"/>
      <c r="M18" s="2"/>
      <c r="N18" s="2"/>
      <c r="O18" s="2"/>
      <c r="P18" s="187"/>
      <c r="Q18" s="235"/>
      <c r="R18" s="72"/>
      <c r="S18" s="72"/>
      <c r="T18" s="422"/>
      <c r="U18" s="423"/>
      <c r="V18" s="226"/>
    </row>
    <row r="19" spans="4:22" ht="15">
      <c r="D19" s="2" t="s">
        <v>65</v>
      </c>
      <c r="K19" s="2" t="s">
        <v>65</v>
      </c>
      <c r="O19" s="2"/>
      <c r="P19" s="187" t="s">
        <v>105</v>
      </c>
      <c r="Q19" s="528">
        <f>SUM(Q13:Q17)</f>
        <v>1363.6269302038295</v>
      </c>
      <c r="R19" s="201"/>
      <c r="S19" s="201"/>
      <c r="T19" s="437">
        <f>T17+T15+T13</f>
        <v>245452.8474366893</v>
      </c>
      <c r="U19" s="438">
        <f>U17+U15+U13</f>
        <v>252270.98208770846</v>
      </c>
      <c r="V19" s="204"/>
    </row>
    <row r="20" spans="2:22" ht="15">
      <c r="B20" s="21"/>
      <c r="C20" s="21"/>
      <c r="D20" s="2" t="s">
        <v>65</v>
      </c>
      <c r="E20" s="1" t="s">
        <v>138</v>
      </c>
      <c r="G20" s="33" t="s">
        <v>138</v>
      </c>
      <c r="K20" s="2" t="s">
        <v>65</v>
      </c>
      <c r="O20" s="2"/>
      <c r="P20" s="187"/>
      <c r="Q20" s="237"/>
      <c r="R20" s="201"/>
      <c r="S20" s="201"/>
      <c r="T20" s="427"/>
      <c r="U20" s="428"/>
      <c r="V20" s="204"/>
    </row>
    <row r="21" spans="4:22" ht="15.75" thickBot="1">
      <c r="D21" s="2" t="s">
        <v>65</v>
      </c>
      <c r="K21" s="2" t="s">
        <v>65</v>
      </c>
      <c r="M21" s="2"/>
      <c r="N21" s="2"/>
      <c r="O21" s="2"/>
      <c r="P21" s="227"/>
      <c r="Q21" s="238"/>
      <c r="R21" s="197"/>
      <c r="S21" s="197"/>
      <c r="T21" s="231"/>
      <c r="U21" s="232"/>
      <c r="V21" s="229"/>
    </row>
    <row r="22" spans="4:23" ht="15.75" thickTop="1">
      <c r="D22" s="2" t="s">
        <v>65</v>
      </c>
      <c r="E22" s="4" t="s">
        <v>77</v>
      </c>
      <c r="F22" s="4" t="s">
        <v>77</v>
      </c>
      <c r="G22" s="4" t="s">
        <v>77</v>
      </c>
      <c r="H22" s="4" t="s">
        <v>77</v>
      </c>
      <c r="I22" s="4" t="s">
        <v>77</v>
      </c>
      <c r="K22" s="2" t="s">
        <v>65</v>
      </c>
      <c r="L22" s="2"/>
      <c r="M22" s="2"/>
      <c r="N22" s="2"/>
      <c r="O22" s="2"/>
      <c r="P22" s="184" t="s">
        <v>691</v>
      </c>
      <c r="Q22" s="383"/>
      <c r="R22" s="383"/>
      <c r="S22" s="441"/>
      <c r="T22" s="383"/>
      <c r="U22" s="440"/>
      <c r="V22" s="384"/>
      <c r="W22" s="2"/>
    </row>
    <row r="23" spans="4:22" ht="15">
      <c r="D23" s="2" t="s">
        <v>65</v>
      </c>
      <c r="K23" s="2" t="s">
        <v>65</v>
      </c>
      <c r="L23" s="2"/>
      <c r="M23" s="2"/>
      <c r="N23" s="2"/>
      <c r="O23" s="2"/>
      <c r="P23" s="308" t="s">
        <v>507</v>
      </c>
      <c r="Q23" s="92"/>
      <c r="R23" s="36"/>
      <c r="S23" s="36"/>
      <c r="T23" s="94"/>
      <c r="U23" s="94"/>
      <c r="V23" s="189"/>
    </row>
    <row r="24" spans="4:23" ht="15">
      <c r="D24" s="2" t="s">
        <v>65</v>
      </c>
      <c r="K24" s="2" t="s">
        <v>65</v>
      </c>
      <c r="L24" s="2"/>
      <c r="M24" s="2"/>
      <c r="N24" s="2"/>
      <c r="O24" s="2"/>
      <c r="P24" s="187" t="s">
        <v>508</v>
      </c>
      <c r="Q24" s="92"/>
      <c r="R24" s="36"/>
      <c r="S24" s="36"/>
      <c r="T24" s="94"/>
      <c r="U24" s="94"/>
      <c r="V24" s="189"/>
      <c r="W24" s="30"/>
    </row>
    <row r="25" spans="4:22" ht="15.75" thickBot="1">
      <c r="D25" s="2" t="s">
        <v>65</v>
      </c>
      <c r="K25" s="2" t="s">
        <v>65</v>
      </c>
      <c r="L25" s="2"/>
      <c r="M25" s="2"/>
      <c r="N25" s="2"/>
      <c r="O25" s="2"/>
      <c r="P25" s="227"/>
      <c r="Q25" s="197"/>
      <c r="R25" s="197"/>
      <c r="S25" s="197"/>
      <c r="T25" s="197"/>
      <c r="U25" s="197"/>
      <c r="V25" s="198"/>
    </row>
    <row r="26" spans="4:15" ht="15.75" thickTop="1">
      <c r="D26" s="2" t="s">
        <v>65</v>
      </c>
      <c r="K26" s="2" t="s">
        <v>65</v>
      </c>
      <c r="L26" s="2"/>
      <c r="M26" s="2"/>
      <c r="N26" s="2"/>
      <c r="O26" s="2"/>
    </row>
    <row r="27" spans="4:15" ht="15">
      <c r="D27" s="2" t="s">
        <v>65</v>
      </c>
      <c r="K27" s="2" t="s">
        <v>65</v>
      </c>
      <c r="L27" s="2"/>
      <c r="M27" s="2"/>
      <c r="N27" s="2"/>
      <c r="O27" s="2"/>
    </row>
    <row r="28" spans="4:15" ht="15">
      <c r="D28" s="2" t="s">
        <v>65</v>
      </c>
      <c r="K28" s="2" t="s">
        <v>65</v>
      </c>
      <c r="L28" s="2"/>
      <c r="M28" s="2"/>
      <c r="N28" s="2"/>
      <c r="O28" s="2"/>
    </row>
    <row r="29" spans="4:17" ht="15">
      <c r="D29" s="2" t="s">
        <v>65</v>
      </c>
      <c r="K29" s="2" t="s">
        <v>65</v>
      </c>
      <c r="L29" s="2"/>
      <c r="M29" s="2"/>
      <c r="N29" s="2"/>
      <c r="O29" s="2"/>
      <c r="Q29" s="15"/>
    </row>
    <row r="30" spans="4:15" ht="15">
      <c r="D30" s="2" t="s">
        <v>65</v>
      </c>
      <c r="K30" s="2" t="s">
        <v>65</v>
      </c>
      <c r="L30" s="2"/>
      <c r="M30" s="2"/>
      <c r="N30" s="75"/>
      <c r="O30" s="2"/>
    </row>
    <row r="31" spans="4:15" ht="15">
      <c r="D31" s="2" t="s">
        <v>65</v>
      </c>
      <c r="K31" s="2" t="s">
        <v>65</v>
      </c>
      <c r="L31" s="2"/>
      <c r="M31" s="2"/>
      <c r="N31" s="2"/>
      <c r="O31" s="2"/>
    </row>
    <row r="32" spans="4:15" ht="15">
      <c r="D32" s="2" t="s">
        <v>65</v>
      </c>
      <c r="K32" s="2" t="s">
        <v>65</v>
      </c>
      <c r="L32" s="2"/>
      <c r="M32" s="2"/>
      <c r="N32" s="2"/>
      <c r="O32" s="2"/>
    </row>
    <row r="33" spans="4:17" ht="15">
      <c r="D33" s="2" t="s">
        <v>65</v>
      </c>
      <c r="K33" s="2" t="s">
        <v>65</v>
      </c>
      <c r="L33" s="2"/>
      <c r="M33" s="2"/>
      <c r="N33" s="2"/>
      <c r="O33" s="2"/>
      <c r="Q33" s="15"/>
    </row>
    <row r="34" spans="4:23" ht="15">
      <c r="D34" s="2" t="s">
        <v>65</v>
      </c>
      <c r="K34" s="2" t="s">
        <v>65</v>
      </c>
      <c r="L34" s="2"/>
      <c r="M34" s="2"/>
      <c r="N34" s="2"/>
      <c r="O34" s="2"/>
      <c r="W34" s="36"/>
    </row>
    <row r="35" spans="4:23" ht="15">
      <c r="D35" s="2"/>
      <c r="K35" s="2"/>
      <c r="L35" s="2"/>
      <c r="M35" s="2"/>
      <c r="N35" s="2"/>
      <c r="O35" s="2"/>
      <c r="W35" s="36"/>
    </row>
    <row r="36" spans="4:23" ht="15">
      <c r="D36" s="2"/>
      <c r="K36" s="2"/>
      <c r="L36" s="2"/>
      <c r="M36" s="2"/>
      <c r="N36" s="2"/>
      <c r="O36" s="2"/>
      <c r="W36" s="36"/>
    </row>
    <row r="37" spans="4:15" ht="15">
      <c r="D37" s="2" t="s">
        <v>65</v>
      </c>
      <c r="K37" s="2" t="s">
        <v>65</v>
      </c>
      <c r="L37" s="2"/>
      <c r="M37" s="2"/>
      <c r="N37" s="2"/>
      <c r="O37" s="2"/>
    </row>
    <row r="38" spans="4:15" ht="15">
      <c r="D38" s="2"/>
      <c r="K38" s="2"/>
      <c r="L38" s="2"/>
      <c r="M38" s="2"/>
      <c r="N38" s="2"/>
      <c r="O38" s="2"/>
    </row>
    <row r="39" spans="4:15" ht="15">
      <c r="D39" s="2" t="s">
        <v>65</v>
      </c>
      <c r="K39" s="2" t="s">
        <v>65</v>
      </c>
      <c r="L39" s="2"/>
      <c r="M39" s="2"/>
      <c r="N39" s="2"/>
      <c r="O39" s="2"/>
    </row>
    <row r="40" spans="4:15" ht="15">
      <c r="D40" s="2" t="s">
        <v>65</v>
      </c>
      <c r="K40" s="2" t="s">
        <v>65</v>
      </c>
      <c r="L40" s="2"/>
      <c r="M40" s="2"/>
      <c r="N40" s="2"/>
      <c r="O40" s="2"/>
    </row>
    <row r="41" spans="4:15" ht="15">
      <c r="D41" s="2" t="s">
        <v>65</v>
      </c>
      <c r="K41" s="2" t="s">
        <v>65</v>
      </c>
      <c r="L41" s="2"/>
      <c r="M41" s="2"/>
      <c r="N41" s="2"/>
      <c r="O41" s="2"/>
    </row>
    <row r="42" spans="4:15" ht="15">
      <c r="D42" s="2" t="s">
        <v>65</v>
      </c>
      <c r="K42" s="2" t="s">
        <v>65</v>
      </c>
      <c r="L42" s="2"/>
      <c r="M42" s="2"/>
      <c r="N42" s="2"/>
      <c r="O42" s="2"/>
    </row>
    <row r="43" spans="4:15" ht="15">
      <c r="D43" s="2" t="s">
        <v>65</v>
      </c>
      <c r="K43" s="2" t="s">
        <v>65</v>
      </c>
      <c r="L43" s="2"/>
      <c r="M43" s="2"/>
      <c r="N43" s="2"/>
      <c r="O43" s="2"/>
    </row>
    <row r="44" spans="4:15" ht="15">
      <c r="D44" s="2" t="s">
        <v>65</v>
      </c>
      <c r="K44" s="2" t="s">
        <v>65</v>
      </c>
      <c r="L44" s="2"/>
      <c r="M44" s="2"/>
      <c r="N44" s="2"/>
      <c r="O44" s="2"/>
    </row>
    <row r="45" spans="4:15" ht="15">
      <c r="D45" s="2" t="s">
        <v>65</v>
      </c>
      <c r="K45" s="2" t="s">
        <v>65</v>
      </c>
      <c r="L45" s="2"/>
      <c r="M45" s="2"/>
      <c r="N45" s="2"/>
      <c r="O45" s="2"/>
    </row>
    <row r="46" spans="4:15" ht="15">
      <c r="D46" s="2" t="s">
        <v>65</v>
      </c>
      <c r="K46" s="2" t="s">
        <v>65</v>
      </c>
      <c r="L46" s="2"/>
      <c r="M46" s="2"/>
      <c r="N46" s="2"/>
      <c r="O46" s="2"/>
    </row>
    <row r="47" spans="4:15" ht="15">
      <c r="D47" s="2" t="s">
        <v>65</v>
      </c>
      <c r="K47" s="2" t="s">
        <v>65</v>
      </c>
      <c r="L47" s="2"/>
      <c r="M47" s="2"/>
      <c r="N47" s="2"/>
      <c r="O47" s="2"/>
    </row>
    <row r="48" spans="4:15" ht="15">
      <c r="D48" s="2" t="s">
        <v>65</v>
      </c>
      <c r="K48" s="2" t="s">
        <v>65</v>
      </c>
      <c r="L48" s="2"/>
      <c r="M48" s="2"/>
      <c r="N48" s="2"/>
      <c r="O48" s="2"/>
    </row>
    <row r="49" spans="4:15" ht="15">
      <c r="D49" s="2" t="s">
        <v>65</v>
      </c>
      <c r="K49" s="2" t="s">
        <v>65</v>
      </c>
      <c r="L49" s="2"/>
      <c r="M49" s="2"/>
      <c r="N49" s="2"/>
      <c r="O49" s="2"/>
    </row>
    <row r="295" spans="4:5" ht="15">
      <c r="D295" s="1" t="e">
        <f>('Special Handling'!K23+'Special Handling'!K28+'Special Handling'!K33+'Special Handling'!#REF!+'Special Handling'!#REF!)/1000</f>
        <v>#REF!</v>
      </c>
      <c r="E295" s="85"/>
    </row>
    <row r="296" spans="4:5" ht="15">
      <c r="D296" s="16" t="e">
        <f>('Special Handling'!K24+'Special Handling'!K29+'Special Handling'!K34+'Special Handling'!#REF!+'Special Handling'!K509)/1000</f>
        <v>#REF!</v>
      </c>
      <c r="E296" s="85"/>
    </row>
    <row r="297" ht="15">
      <c r="E297" s="85"/>
    </row>
  </sheetData>
  <mergeCells count="7">
    <mergeCell ref="R8:S8"/>
    <mergeCell ref="T8:U8"/>
    <mergeCell ref="V8:V10"/>
    <mergeCell ref="B3:C3"/>
    <mergeCell ref="B4:C4"/>
    <mergeCell ref="P6:V6"/>
    <mergeCell ref="P7:V7"/>
  </mergeCells>
  <printOptions horizontalCentered="1"/>
  <pageMargins left="0.25" right="0.25" top="1.5" bottom="0.75" header="0.5" footer="0.5"/>
  <pageSetup fitToHeight="1" fitToWidth="1"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P211"/>
  <sheetViews>
    <sheetView zoomScale="70" zoomScaleNormal="70" workbookViewId="0" topLeftCell="C1">
      <selection activeCell="J34" sqref="J34:L35"/>
    </sheetView>
  </sheetViews>
  <sheetFormatPr defaultColWidth="12.57421875" defaultRowHeight="12.75"/>
  <cols>
    <col min="1" max="1" width="9.140625" style="1" customWidth="1"/>
    <col min="2" max="2" width="31.28125" style="36" bestFit="1" customWidth="1"/>
    <col min="3" max="4" width="17.7109375" style="36" customWidth="1"/>
    <col min="5" max="5" width="10.00390625" style="1" customWidth="1"/>
    <col min="6" max="6" width="16.421875" style="1" customWidth="1"/>
    <col min="7" max="7" width="22.421875" style="1" customWidth="1"/>
    <col min="8" max="8" width="15.421875" style="1" bestFit="1" customWidth="1"/>
    <col min="9" max="9" width="11.28125" style="1" customWidth="1"/>
    <col min="10" max="10" width="15.00390625" style="1" bestFit="1" customWidth="1"/>
    <col min="11" max="12" width="17.7109375" style="1" customWidth="1"/>
    <col min="13" max="13" width="13.140625" style="1" customWidth="1"/>
    <col min="14" max="16384" width="12.57421875" style="1" customWidth="1"/>
  </cols>
  <sheetData>
    <row r="1" ht="15">
      <c r="E1" s="2"/>
    </row>
    <row r="2" spans="1:7" ht="15">
      <c r="A2" s="24"/>
      <c r="B2" s="1"/>
      <c r="C2" s="1"/>
      <c r="D2" s="9" t="s">
        <v>521</v>
      </c>
      <c r="E2" s="2"/>
      <c r="G2" s="24"/>
    </row>
    <row r="3" spans="2:7" ht="18">
      <c r="B3" s="771" t="s">
        <v>657</v>
      </c>
      <c r="C3" s="771"/>
      <c r="D3" s="771"/>
      <c r="E3" s="2"/>
      <c r="G3" s="25"/>
    </row>
    <row r="4" spans="2:13" ht="15">
      <c r="B4" s="776" t="s">
        <v>700</v>
      </c>
      <c r="C4" s="776"/>
      <c r="D4" s="776"/>
      <c r="E4" s="2"/>
      <c r="G4" s="25"/>
      <c r="I4" s="243"/>
      <c r="J4" s="243"/>
      <c r="M4" s="9" t="str">
        <f>WN</f>
        <v>February 2009</v>
      </c>
    </row>
    <row r="5" spans="1:13" ht="15.75" thickBot="1">
      <c r="A5" s="24"/>
      <c r="B5" s="1"/>
      <c r="C5" s="1"/>
      <c r="D5" s="1"/>
      <c r="E5" s="2"/>
      <c r="M5" s="9"/>
    </row>
    <row r="6" spans="1:13" ht="16.5" thickTop="1">
      <c r="A6" s="25"/>
      <c r="B6" s="1"/>
      <c r="C6" s="42" t="s">
        <v>423</v>
      </c>
      <c r="D6" s="42" t="s">
        <v>212</v>
      </c>
      <c r="E6" s="2"/>
      <c r="G6" s="780" t="s">
        <v>657</v>
      </c>
      <c r="H6" s="781"/>
      <c r="I6" s="781"/>
      <c r="J6" s="781"/>
      <c r="K6" s="781"/>
      <c r="L6" s="781"/>
      <c r="M6" s="782"/>
    </row>
    <row r="7" spans="2:13" ht="15.75" thickBot="1">
      <c r="B7" s="1"/>
      <c r="C7" s="1"/>
      <c r="D7" s="1"/>
      <c r="E7" s="2"/>
      <c r="G7" s="783" t="str">
        <f>"Fiscal Year 2008 "</f>
        <v>Fiscal Year 2008 </v>
      </c>
      <c r="H7" s="784"/>
      <c r="I7" s="784"/>
      <c r="J7" s="784"/>
      <c r="K7" s="784"/>
      <c r="L7" s="784"/>
      <c r="M7" s="785"/>
    </row>
    <row r="8" spans="2:13" ht="15.75" thickTop="1">
      <c r="B8" s="1" t="s">
        <v>520</v>
      </c>
      <c r="C8" s="5">
        <v>273097.6</v>
      </c>
      <c r="D8" s="5">
        <v>68274.4</v>
      </c>
      <c r="E8" s="2"/>
      <c r="G8" s="184"/>
      <c r="H8" s="575" t="s">
        <v>423</v>
      </c>
      <c r="I8" s="786" t="s">
        <v>234</v>
      </c>
      <c r="J8" s="770"/>
      <c r="K8" s="786" t="s">
        <v>528</v>
      </c>
      <c r="L8" s="787"/>
      <c r="M8" s="777" t="s">
        <v>209</v>
      </c>
    </row>
    <row r="9" spans="2:13" ht="15">
      <c r="B9" s="1"/>
      <c r="C9" s="16"/>
      <c r="D9" s="1"/>
      <c r="E9" s="2"/>
      <c r="G9" s="187"/>
      <c r="H9" s="207"/>
      <c r="I9" s="72"/>
      <c r="J9" s="72"/>
      <c r="K9" s="207"/>
      <c r="L9" s="215"/>
      <c r="M9" s="778"/>
    </row>
    <row r="10" spans="2:13" ht="15.75" thickBot="1">
      <c r="B10" s="1" t="s">
        <v>145</v>
      </c>
      <c r="C10" s="16">
        <v>129681402.91973825</v>
      </c>
      <c r="D10" s="5">
        <v>132193443.34053451</v>
      </c>
      <c r="E10" s="2"/>
      <c r="G10" s="227"/>
      <c r="H10" s="293" t="str">
        <f>"FY "&amp;FY</f>
        <v>FY </v>
      </c>
      <c r="I10" s="295" t="s">
        <v>206</v>
      </c>
      <c r="J10" s="295" t="s">
        <v>683</v>
      </c>
      <c r="K10" s="296" t="s">
        <v>640</v>
      </c>
      <c r="L10" s="294" t="s">
        <v>683</v>
      </c>
      <c r="M10" s="779"/>
    </row>
    <row r="11" spans="2:13" ht="15.75" thickTop="1">
      <c r="B11" s="1"/>
      <c r="C11" s="16"/>
      <c r="D11" s="1"/>
      <c r="E11" s="2"/>
      <c r="G11" s="184"/>
      <c r="H11" s="401" t="s">
        <v>78</v>
      </c>
      <c r="I11" s="383" t="s">
        <v>79</v>
      </c>
      <c r="J11" s="383" t="s">
        <v>80</v>
      </c>
      <c r="K11" s="397" t="s">
        <v>81</v>
      </c>
      <c r="L11" s="399" t="s">
        <v>82</v>
      </c>
      <c r="M11" s="384" t="s">
        <v>83</v>
      </c>
    </row>
    <row r="12" spans="2:13" ht="15">
      <c r="B12" s="1" t="s">
        <v>146</v>
      </c>
      <c r="C12" s="100">
        <v>18915480.48026176</v>
      </c>
      <c r="D12" s="100">
        <v>28373220.720392644</v>
      </c>
      <c r="E12" s="2"/>
      <c r="G12" s="250"/>
      <c r="H12" s="236"/>
      <c r="I12" s="36"/>
      <c r="J12" s="36"/>
      <c r="K12" s="208"/>
      <c r="L12" s="216"/>
      <c r="M12" s="189"/>
    </row>
    <row r="13" spans="2:13" ht="15">
      <c r="B13" s="1"/>
      <c r="C13" s="93"/>
      <c r="E13" s="2"/>
      <c r="G13" s="187" t="s">
        <v>535</v>
      </c>
      <c r="H13" s="237">
        <f>+C8</f>
        <v>273097.6</v>
      </c>
      <c r="I13" s="240">
        <f>+Rates!F127</f>
        <v>0.3</v>
      </c>
      <c r="J13" s="240">
        <f>+Rates!G127</f>
        <v>0.3</v>
      </c>
      <c r="K13" s="253">
        <f>+I13*H13</f>
        <v>81929.27999999998</v>
      </c>
      <c r="L13" s="259">
        <f>+J13*H13</f>
        <v>81929.27999999998</v>
      </c>
      <c r="M13" s="191">
        <f>(J13-I13)/I13</f>
        <v>0</v>
      </c>
    </row>
    <row r="14" spans="2:13" ht="15">
      <c r="B14" s="1" t="s">
        <v>482</v>
      </c>
      <c r="C14" s="16">
        <v>148869981</v>
      </c>
      <c r="D14" s="5">
        <v>160634938.46092716</v>
      </c>
      <c r="E14" s="2"/>
      <c r="G14" s="187"/>
      <c r="H14" s="237"/>
      <c r="I14" s="108"/>
      <c r="J14" s="36"/>
      <c r="K14" s="209"/>
      <c r="L14" s="217"/>
      <c r="M14" s="191"/>
    </row>
    <row r="15" spans="2:13" ht="15.75" customHeight="1">
      <c r="B15" s="1"/>
      <c r="C15" s="1"/>
      <c r="D15" s="1"/>
      <c r="E15" s="2"/>
      <c r="G15" s="187" t="s">
        <v>509</v>
      </c>
      <c r="H15" s="237"/>
      <c r="I15" s="108"/>
      <c r="J15" s="36"/>
      <c r="K15" s="209"/>
      <c r="L15" s="217"/>
      <c r="M15" s="191"/>
    </row>
    <row r="16" spans="2:13" ht="15">
      <c r="B16" s="1" t="s">
        <v>536</v>
      </c>
      <c r="C16" s="88">
        <v>254642</v>
      </c>
      <c r="D16" s="88">
        <v>1292145</v>
      </c>
      <c r="E16" s="2"/>
      <c r="G16" s="444" t="s">
        <v>288</v>
      </c>
      <c r="H16" s="237">
        <f>+C10</f>
        <v>129681402.91973825</v>
      </c>
      <c r="I16" s="445">
        <f>+Rates!F129</f>
        <v>1.05</v>
      </c>
      <c r="J16" s="445">
        <f>+Rates!G129</f>
        <v>1.1</v>
      </c>
      <c r="K16" s="253">
        <f>+I16*H16</f>
        <v>136165473.06572518</v>
      </c>
      <c r="L16" s="259">
        <f>+J16*H16</f>
        <v>142649543.2117121</v>
      </c>
      <c r="M16" s="191">
        <f>(J16-I16)/I16</f>
        <v>0.04761904761904766</v>
      </c>
    </row>
    <row r="17" spans="2:13" ht="15">
      <c r="B17" s="1"/>
      <c r="C17" s="122"/>
      <c r="D17" s="21"/>
      <c r="E17" s="2"/>
      <c r="G17" s="444" t="s">
        <v>289</v>
      </c>
      <c r="H17" s="432">
        <f>+C12</f>
        <v>18915480.48026176</v>
      </c>
      <c r="I17" s="445">
        <f>+Rates!F130</f>
        <v>1.5</v>
      </c>
      <c r="J17" s="445">
        <f>+Rates!G130</f>
        <v>1.5</v>
      </c>
      <c r="K17" s="253">
        <f>+I17*H17</f>
        <v>28373220.720392644</v>
      </c>
      <c r="L17" s="259">
        <f>+J17*H17</f>
        <v>28373220.720392644</v>
      </c>
      <c r="M17" s="191">
        <f>(J17-I17)/I17</f>
        <v>0</v>
      </c>
    </row>
    <row r="18" spans="2:13" ht="15">
      <c r="B18" s="1" t="s">
        <v>560</v>
      </c>
      <c r="C18" s="5">
        <v>149124623</v>
      </c>
      <c r="D18" s="5">
        <v>161927879</v>
      </c>
      <c r="E18" s="2"/>
      <c r="G18" s="187"/>
      <c r="H18" s="237"/>
      <c r="I18" s="108"/>
      <c r="J18" s="36"/>
      <c r="K18" s="209"/>
      <c r="L18" s="217"/>
      <c r="M18" s="191"/>
    </row>
    <row r="19" spans="2:13" ht="15">
      <c r="B19" s="1"/>
      <c r="C19" s="16"/>
      <c r="D19" s="28"/>
      <c r="E19" s="2"/>
      <c r="G19" s="187" t="s">
        <v>105</v>
      </c>
      <c r="H19" s="237">
        <f>SUM(H16+H17+H13)</f>
        <v>148869981</v>
      </c>
      <c r="I19" s="108"/>
      <c r="J19" s="36"/>
      <c r="K19" s="209">
        <f>K16+K13+K17</f>
        <v>164620623.06611782</v>
      </c>
      <c r="L19" s="217">
        <f>L16+L13+L17</f>
        <v>171104693.21210474</v>
      </c>
      <c r="M19" s="191"/>
    </row>
    <row r="20" spans="2:15" ht="15">
      <c r="B20" s="1"/>
      <c r="C20" s="1"/>
      <c r="D20" s="1"/>
      <c r="E20" s="2"/>
      <c r="G20" s="187"/>
      <c r="H20" s="236"/>
      <c r="I20" s="108"/>
      <c r="J20" s="36"/>
      <c r="K20" s="208"/>
      <c r="L20" s="216"/>
      <c r="M20" s="189"/>
      <c r="O20" s="5"/>
    </row>
    <row r="21" spans="1:15" ht="15">
      <c r="A21" s="4"/>
      <c r="B21" s="1" t="s">
        <v>539</v>
      </c>
      <c r="C21" s="1"/>
      <c r="D21" s="5">
        <v>42860477</v>
      </c>
      <c r="E21" s="2"/>
      <c r="G21" s="187" t="s">
        <v>536</v>
      </c>
      <c r="H21" s="237">
        <f>+C16</f>
        <v>254642</v>
      </c>
      <c r="I21" s="445">
        <f>+Rates!F131</f>
        <v>5.2</v>
      </c>
      <c r="J21" s="445">
        <f>+Rates!G131</f>
        <v>5.4</v>
      </c>
      <c r="K21" s="253">
        <f>+I21*H21</f>
        <v>1324138.4000000001</v>
      </c>
      <c r="L21" s="259">
        <f>+J21*H21</f>
        <v>1375066.8</v>
      </c>
      <c r="M21" s="191">
        <f>(J21-I21)/I21</f>
        <v>0.03846153846153849</v>
      </c>
      <c r="O21" s="5"/>
    </row>
    <row r="22" spans="2:15" ht="15">
      <c r="B22" s="1"/>
      <c r="C22" s="1"/>
      <c r="D22" s="443"/>
      <c r="E22" s="2"/>
      <c r="G22" s="451"/>
      <c r="H22" s="449"/>
      <c r="I22" s="35"/>
      <c r="J22" s="450"/>
      <c r="K22" s="209"/>
      <c r="L22" s="217"/>
      <c r="M22" s="452"/>
      <c r="O22" s="5"/>
    </row>
    <row r="23" spans="2:15" ht="15">
      <c r="B23" s="1" t="s">
        <v>540</v>
      </c>
      <c r="C23" s="1"/>
      <c r="D23" s="5">
        <v>204788356</v>
      </c>
      <c r="E23" s="2"/>
      <c r="G23" s="187"/>
      <c r="H23" s="93"/>
      <c r="I23" s="21"/>
      <c r="J23" s="21"/>
      <c r="K23" s="209"/>
      <c r="L23" s="217"/>
      <c r="M23" s="189"/>
      <c r="O23" s="5"/>
    </row>
    <row r="24" spans="5:15" ht="15">
      <c r="E24" s="2"/>
      <c r="G24" s="187" t="str">
        <f>PROPER("OUTSTANDING MONEY ORDERS TAKEN INTO REVENUE")</f>
        <v>Outstanding Money Orders Taken Into Revenue</v>
      </c>
      <c r="H24" s="36"/>
      <c r="I24" s="21"/>
      <c r="J24" s="21"/>
      <c r="K24" s="211">
        <f>+D21</f>
        <v>42860477</v>
      </c>
      <c r="L24" s="218">
        <f>+D21</f>
        <v>42860477</v>
      </c>
      <c r="M24" s="189"/>
      <c r="O24" s="5"/>
    </row>
    <row r="25" spans="5:15" ht="15">
      <c r="E25" s="2"/>
      <c r="G25" s="187"/>
      <c r="H25" s="36"/>
      <c r="I25" s="36"/>
      <c r="J25" s="36"/>
      <c r="K25" s="208"/>
      <c r="L25" s="216"/>
      <c r="M25" s="189"/>
      <c r="O25" s="5"/>
    </row>
    <row r="26" spans="5:15" ht="15">
      <c r="E26" s="2"/>
      <c r="G26" s="187" t="s">
        <v>118</v>
      </c>
      <c r="H26" s="93"/>
      <c r="I26" s="36"/>
      <c r="J26" s="36"/>
      <c r="K26" s="209">
        <f>K19+K24+K21+K22</f>
        <v>208805238.46611783</v>
      </c>
      <c r="L26" s="217">
        <f>L19+L24+L21+L22</f>
        <v>215340237.01210475</v>
      </c>
      <c r="M26" s="191"/>
      <c r="O26" s="5"/>
    </row>
    <row r="27" spans="5:16" ht="15">
      <c r="E27" s="2"/>
      <c r="G27" s="187"/>
      <c r="H27" s="93"/>
      <c r="I27" s="36"/>
      <c r="J27" s="36"/>
      <c r="K27" s="209"/>
      <c r="L27" s="217"/>
      <c r="M27" s="191"/>
      <c r="O27" s="5"/>
      <c r="P27" s="5"/>
    </row>
    <row r="28" spans="5:16" ht="15.75" thickBot="1">
      <c r="E28" s="2"/>
      <c r="G28" s="227"/>
      <c r="H28" s="197"/>
      <c r="I28" s="197"/>
      <c r="J28" s="197"/>
      <c r="K28" s="447"/>
      <c r="L28" s="232"/>
      <c r="M28" s="198"/>
      <c r="O28" s="5"/>
      <c r="P28" s="5"/>
    </row>
    <row r="29" spans="5:15" ht="15.75" thickTop="1">
      <c r="E29" s="2"/>
      <c r="G29" s="187" t="s">
        <v>693</v>
      </c>
      <c r="H29" s="36"/>
      <c r="I29" s="36"/>
      <c r="J29" s="36"/>
      <c r="K29" s="37"/>
      <c r="L29" s="37"/>
      <c r="M29" s="189"/>
      <c r="O29" s="5"/>
    </row>
    <row r="30" spans="5:15" ht="15">
      <c r="E30" s="2"/>
      <c r="G30" s="187" t="s">
        <v>624</v>
      </c>
      <c r="H30" s="36"/>
      <c r="I30" s="36"/>
      <c r="J30" s="36"/>
      <c r="K30" s="36"/>
      <c r="L30" s="36"/>
      <c r="M30" s="189"/>
      <c r="O30" s="5"/>
    </row>
    <row r="31" spans="5:13" ht="15.75" thickBot="1">
      <c r="E31" s="2"/>
      <c r="G31" s="227"/>
      <c r="H31" s="197"/>
      <c r="I31" s="197"/>
      <c r="J31" s="197"/>
      <c r="K31" s="197"/>
      <c r="L31" s="197"/>
      <c r="M31" s="198"/>
    </row>
    <row r="32" spans="5:12" ht="15.75" thickTop="1">
      <c r="E32" s="2"/>
      <c r="L32" s="5"/>
    </row>
    <row r="33" spans="5:15" ht="15">
      <c r="E33" s="2"/>
      <c r="O33" s="5"/>
    </row>
    <row r="34" spans="5:15" ht="15">
      <c r="E34" s="2"/>
      <c r="J34" s="16"/>
      <c r="K34" s="16"/>
      <c r="L34" s="16"/>
      <c r="O34" s="5"/>
    </row>
    <row r="35" spans="5:15" ht="15">
      <c r="E35" s="2"/>
      <c r="K35" s="16"/>
      <c r="L35" s="16"/>
      <c r="O35" s="5"/>
    </row>
    <row r="36" spans="5:15" ht="15">
      <c r="E36" s="2"/>
      <c r="O36" s="5"/>
    </row>
    <row r="37" spans="2:15" ht="15">
      <c r="B37" s="21"/>
      <c r="C37" s="21"/>
      <c r="D37" s="21"/>
      <c r="E37" s="2"/>
      <c r="N37" s="30"/>
      <c r="O37" s="5"/>
    </row>
    <row r="38" spans="2:15" ht="15">
      <c r="B38" s="81"/>
      <c r="E38" s="2"/>
      <c r="L38" s="5"/>
      <c r="O38" s="5"/>
    </row>
    <row r="39" spans="2:15" ht="15">
      <c r="B39" s="81"/>
      <c r="E39" s="2"/>
      <c r="L39" s="5"/>
      <c r="O39" s="5"/>
    </row>
    <row r="40" spans="5:15" ht="15">
      <c r="E40" s="2"/>
      <c r="G40" s="4"/>
      <c r="H40" s="4"/>
      <c r="I40" s="4"/>
      <c r="J40" s="4"/>
      <c r="K40" s="4"/>
      <c r="L40" s="5"/>
      <c r="O40" s="5"/>
    </row>
    <row r="41" spans="5:15" ht="15">
      <c r="E41" s="2"/>
      <c r="O41" s="5"/>
    </row>
    <row r="42" spans="5:15" ht="15">
      <c r="E42" s="2"/>
      <c r="O42" s="5"/>
    </row>
    <row r="43" spans="5:15" ht="15">
      <c r="E43" s="2"/>
      <c r="O43" s="5"/>
    </row>
    <row r="44" spans="5:15" ht="15">
      <c r="E44" s="2"/>
      <c r="O44" s="5"/>
    </row>
    <row r="45" spans="5:14" ht="15">
      <c r="E45" s="2"/>
      <c r="N45" s="30"/>
    </row>
    <row r="46" spans="5:14" ht="15">
      <c r="E46" s="2"/>
      <c r="H46" s="5"/>
      <c r="N46" s="5"/>
    </row>
    <row r="47" spans="5:15" ht="15">
      <c r="E47" s="2"/>
      <c r="O47" s="5"/>
    </row>
    <row r="48" spans="5:15" ht="15">
      <c r="E48" s="2"/>
      <c r="O48" s="5"/>
    </row>
    <row r="49" spans="5:15" ht="15">
      <c r="E49" s="2"/>
      <c r="O49" s="5"/>
    </row>
    <row r="50" ht="15">
      <c r="E50" s="2"/>
    </row>
    <row r="51" ht="15">
      <c r="E51" s="2"/>
    </row>
    <row r="52" spans="5:15" ht="15">
      <c r="E52" s="2"/>
      <c r="O52" s="5"/>
    </row>
    <row r="53" spans="5:15" ht="15">
      <c r="E53" s="2"/>
      <c r="O53" s="5"/>
    </row>
    <row r="54" ht="15">
      <c r="E54" s="2"/>
    </row>
    <row r="55" ht="15">
      <c r="E55" s="2"/>
    </row>
    <row r="56" ht="15">
      <c r="E56" s="2"/>
    </row>
    <row r="57" ht="15">
      <c r="E57" s="2"/>
    </row>
    <row r="58" ht="15">
      <c r="E58" s="2"/>
    </row>
    <row r="59" spans="5:15" ht="15">
      <c r="E59" s="2"/>
      <c r="O59" s="5"/>
    </row>
    <row r="60" spans="5:15" ht="15">
      <c r="E60" s="2"/>
      <c r="O60" s="5"/>
    </row>
    <row r="61" ht="15">
      <c r="E61" s="2"/>
    </row>
    <row r="62" spans="5:15" ht="15">
      <c r="E62" s="2"/>
      <c r="O62" s="5"/>
    </row>
    <row r="63" ht="15">
      <c r="E63" s="2"/>
    </row>
    <row r="64" spans="5:15" ht="15">
      <c r="E64" s="2"/>
      <c r="O64" s="5"/>
    </row>
    <row r="65" ht="15">
      <c r="E65" s="2"/>
    </row>
    <row r="66" ht="15">
      <c r="E66" s="2"/>
    </row>
    <row r="67" ht="15">
      <c r="E67" s="2"/>
    </row>
    <row r="68" ht="15">
      <c r="E68" s="2"/>
    </row>
    <row r="69" ht="15">
      <c r="E69" s="2"/>
    </row>
    <row r="70" ht="15">
      <c r="E70" s="2"/>
    </row>
    <row r="71" ht="15">
      <c r="E71" s="2"/>
    </row>
    <row r="72" ht="15">
      <c r="E72" s="2"/>
    </row>
    <row r="73" ht="15">
      <c r="E73" s="2"/>
    </row>
    <row r="74" ht="15">
      <c r="E74" s="2"/>
    </row>
    <row r="75" ht="15">
      <c r="E75" s="2"/>
    </row>
    <row r="76" ht="15">
      <c r="E76" s="2"/>
    </row>
    <row r="77" ht="15">
      <c r="E77" s="2"/>
    </row>
    <row r="78" ht="15">
      <c r="E78" s="2"/>
    </row>
    <row r="79" ht="15">
      <c r="E79" s="2"/>
    </row>
    <row r="80" ht="15">
      <c r="E80" s="2"/>
    </row>
    <row r="81" ht="15">
      <c r="E81" s="2"/>
    </row>
    <row r="82" ht="15">
      <c r="E82" s="2"/>
    </row>
    <row r="83" ht="15">
      <c r="E83" s="2"/>
    </row>
    <row r="84" ht="15">
      <c r="E84" s="2"/>
    </row>
    <row r="85" ht="15">
      <c r="E85" s="2"/>
    </row>
    <row r="86" ht="15">
      <c r="E86" s="2"/>
    </row>
    <row r="87" ht="15">
      <c r="E87" s="2"/>
    </row>
    <row r="88" ht="15">
      <c r="E88" s="2"/>
    </row>
    <row r="89" ht="15">
      <c r="E89" s="2"/>
    </row>
    <row r="90" ht="15">
      <c r="E90" s="2"/>
    </row>
    <row r="91" ht="15">
      <c r="E91" s="2"/>
    </row>
    <row r="92" ht="15">
      <c r="E92" s="2"/>
    </row>
    <row r="93" ht="15">
      <c r="E93" s="2"/>
    </row>
    <row r="94" ht="15">
      <c r="E94" s="2"/>
    </row>
    <row r="95" ht="15">
      <c r="E95" s="2"/>
    </row>
    <row r="96" ht="15">
      <c r="E96" s="2"/>
    </row>
    <row r="97" ht="15">
      <c r="E97" s="2"/>
    </row>
    <row r="98" ht="15">
      <c r="E98" s="2"/>
    </row>
    <row r="99" ht="15">
      <c r="E99" s="2"/>
    </row>
    <row r="100" ht="15">
      <c r="E100" s="2"/>
    </row>
    <row r="101" ht="15">
      <c r="E101" s="2"/>
    </row>
    <row r="102" ht="15">
      <c r="E102" s="2"/>
    </row>
    <row r="103" ht="15">
      <c r="E103" s="2"/>
    </row>
    <row r="104" ht="15">
      <c r="E104" s="2"/>
    </row>
    <row r="105" ht="15">
      <c r="E105" s="2"/>
    </row>
    <row r="106" ht="15">
      <c r="E106" s="2"/>
    </row>
    <row r="107" ht="15">
      <c r="E107" s="2"/>
    </row>
    <row r="108" ht="15">
      <c r="E108" s="2"/>
    </row>
    <row r="109" ht="15">
      <c r="E109" s="2"/>
    </row>
    <row r="110" ht="15">
      <c r="E110" s="2"/>
    </row>
    <row r="111" ht="15">
      <c r="E111" s="2"/>
    </row>
    <row r="112" ht="15">
      <c r="E112" s="2"/>
    </row>
    <row r="113" ht="15">
      <c r="E113" s="2"/>
    </row>
    <row r="114" ht="15">
      <c r="E114" s="2"/>
    </row>
    <row r="115" ht="15">
      <c r="E115" s="2"/>
    </row>
    <row r="116" ht="15">
      <c r="E116" s="2"/>
    </row>
    <row r="117" ht="15">
      <c r="E117" s="2"/>
    </row>
    <row r="118" ht="15">
      <c r="E118" s="2"/>
    </row>
    <row r="119" ht="15">
      <c r="E119" s="2"/>
    </row>
    <row r="120" ht="15">
      <c r="E120" s="2"/>
    </row>
    <row r="121" ht="15">
      <c r="E121" s="2"/>
    </row>
    <row r="122" ht="15">
      <c r="E122" s="2"/>
    </row>
    <row r="123" ht="15">
      <c r="E123" s="2"/>
    </row>
    <row r="124" ht="15">
      <c r="E124" s="2"/>
    </row>
    <row r="206" ht="15">
      <c r="A206" s="1" t="s">
        <v>542</v>
      </c>
    </row>
    <row r="207" ht="15">
      <c r="A207" s="1" t="s">
        <v>543</v>
      </c>
    </row>
    <row r="208" ht="15">
      <c r="A208" s="1" t="s">
        <v>544</v>
      </c>
    </row>
    <row r="210" ht="15">
      <c r="A210" s="1" t="s">
        <v>545</v>
      </c>
    </row>
    <row r="211" ht="15">
      <c r="A211" s="1" t="s">
        <v>546</v>
      </c>
    </row>
  </sheetData>
  <mergeCells count="7">
    <mergeCell ref="I8:J8"/>
    <mergeCell ref="K8:L8"/>
    <mergeCell ref="M8:M10"/>
    <mergeCell ref="B3:D3"/>
    <mergeCell ref="B4:D4"/>
    <mergeCell ref="G6:M6"/>
    <mergeCell ref="G7:M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M294"/>
  <sheetViews>
    <sheetView zoomScale="75" zoomScaleNormal="75" workbookViewId="0" topLeftCell="G1">
      <selection activeCell="M4" sqref="M4"/>
    </sheetView>
  </sheetViews>
  <sheetFormatPr defaultColWidth="12.57421875" defaultRowHeight="12.75"/>
  <cols>
    <col min="1" max="1" width="8.140625" style="1" customWidth="1"/>
    <col min="2" max="4" width="22.140625" style="1" customWidth="1"/>
    <col min="5" max="5" width="5.00390625" style="36" customWidth="1"/>
    <col min="6" max="6" width="15.140625" style="1" customWidth="1"/>
    <col min="7" max="7" width="13.8515625" style="1" customWidth="1"/>
    <col min="8" max="8" width="11.28125" style="1" customWidth="1"/>
    <col min="9" max="10" width="12.57421875" style="1" customWidth="1"/>
    <col min="11" max="12" width="17.7109375" style="1" customWidth="1"/>
    <col min="13" max="13" width="12.57421875" style="1" customWidth="1"/>
    <col min="14" max="14" width="3.8515625" style="1" customWidth="1"/>
    <col min="15" max="16384" width="12.57421875" style="1" customWidth="1"/>
  </cols>
  <sheetData>
    <row r="1" ht="15">
      <c r="F1" s="2"/>
    </row>
    <row r="2" spans="4:7" ht="15">
      <c r="D2" s="9" t="s">
        <v>547</v>
      </c>
      <c r="F2" s="2"/>
      <c r="G2" s="80"/>
    </row>
    <row r="3" spans="2:7" ht="18">
      <c r="B3" s="771" t="s">
        <v>23</v>
      </c>
      <c r="C3" s="771"/>
      <c r="D3" s="771"/>
      <c r="F3" s="2"/>
      <c r="G3" s="25"/>
    </row>
    <row r="4" spans="2:13" ht="15.75">
      <c r="B4" s="772" t="s">
        <v>700</v>
      </c>
      <c r="C4" s="772"/>
      <c r="D4" s="772"/>
      <c r="F4" s="2"/>
      <c r="M4" s="9" t="str">
        <f>WN</f>
        <v>February 2009</v>
      </c>
    </row>
    <row r="5" spans="6:13" ht="15.75" thickBot="1">
      <c r="F5" s="2"/>
      <c r="M5" s="9"/>
    </row>
    <row r="6" spans="3:13" ht="16.5" thickTop="1">
      <c r="C6" s="42" t="s">
        <v>538</v>
      </c>
      <c r="D6" s="42" t="s">
        <v>528</v>
      </c>
      <c r="F6" s="2"/>
      <c r="G6" s="780" t="s">
        <v>291</v>
      </c>
      <c r="H6" s="781"/>
      <c r="I6" s="781"/>
      <c r="J6" s="781"/>
      <c r="K6" s="781"/>
      <c r="L6" s="781"/>
      <c r="M6" s="782"/>
    </row>
    <row r="7" spans="3:13" ht="15.75" thickBot="1">
      <c r="C7" s="4"/>
      <c r="D7" s="4"/>
      <c r="F7" s="2"/>
      <c r="G7" s="783" t="str">
        <f>"Fiscal Year 2008 "</f>
        <v>Fiscal Year 2008 </v>
      </c>
      <c r="H7" s="784"/>
      <c r="I7" s="784"/>
      <c r="J7" s="784"/>
      <c r="K7" s="784"/>
      <c r="L7" s="784"/>
      <c r="M7" s="785"/>
    </row>
    <row r="8" spans="2:13" ht="15.75" thickTop="1">
      <c r="B8" s="1" t="s">
        <v>549</v>
      </c>
      <c r="C8" s="5">
        <v>269796</v>
      </c>
      <c r="D8" s="5">
        <v>134900</v>
      </c>
      <c r="F8" s="2"/>
      <c r="G8" s="184"/>
      <c r="H8" s="575" t="s">
        <v>423</v>
      </c>
      <c r="I8" s="786" t="s">
        <v>234</v>
      </c>
      <c r="J8" s="770"/>
      <c r="K8" s="786" t="s">
        <v>528</v>
      </c>
      <c r="L8" s="787"/>
      <c r="M8" s="777" t="s">
        <v>209</v>
      </c>
    </row>
    <row r="9" spans="6:13" ht="15">
      <c r="F9" s="2"/>
      <c r="G9" s="187"/>
      <c r="H9" s="207"/>
      <c r="I9" s="72"/>
      <c r="J9" s="72"/>
      <c r="K9" s="207"/>
      <c r="L9" s="215"/>
      <c r="M9" s="778"/>
    </row>
    <row r="10" spans="2:13" ht="15.75" thickBot="1">
      <c r="B10" s="1" t="s">
        <v>551</v>
      </c>
      <c r="C10" s="5">
        <v>153140</v>
      </c>
      <c r="D10" s="5">
        <v>154774</v>
      </c>
      <c r="F10" s="2"/>
      <c r="G10" s="227"/>
      <c r="H10" s="293" t="str">
        <f>"FY "&amp;FY</f>
        <v>FY </v>
      </c>
      <c r="I10" s="295" t="s">
        <v>206</v>
      </c>
      <c r="J10" s="295" t="s">
        <v>683</v>
      </c>
      <c r="K10" s="296" t="s">
        <v>640</v>
      </c>
      <c r="L10" s="294" t="s">
        <v>683</v>
      </c>
      <c r="M10" s="779"/>
    </row>
    <row r="11" spans="6:13" ht="15.75" thickTop="1">
      <c r="F11" s="2"/>
      <c r="G11" s="184"/>
      <c r="H11" s="401" t="s">
        <v>78</v>
      </c>
      <c r="I11" s="383" t="s">
        <v>79</v>
      </c>
      <c r="J11" s="383" t="s">
        <v>80</v>
      </c>
      <c r="K11" s="397" t="s">
        <v>81</v>
      </c>
      <c r="L11" s="399" t="s">
        <v>82</v>
      </c>
      <c r="M11" s="384" t="s">
        <v>83</v>
      </c>
    </row>
    <row r="12" spans="2:13" ht="15">
      <c r="B12" s="1" t="s">
        <v>552</v>
      </c>
      <c r="C12" s="5">
        <v>0</v>
      </c>
      <c r="D12" s="5">
        <v>0</v>
      </c>
      <c r="F12" s="2"/>
      <c r="G12" s="187" t="s">
        <v>290</v>
      </c>
      <c r="H12" s="236"/>
      <c r="I12" s="36"/>
      <c r="J12" s="36"/>
      <c r="K12" s="208"/>
      <c r="L12" s="216"/>
      <c r="M12" s="189"/>
    </row>
    <row r="13" spans="6:13" ht="15">
      <c r="F13" s="2"/>
      <c r="G13" s="389" t="s">
        <v>554</v>
      </c>
      <c r="H13" s="237">
        <f>+C8</f>
        <v>269796</v>
      </c>
      <c r="I13" s="453">
        <f>+Rates!F135</f>
        <v>0.5</v>
      </c>
      <c r="J13" s="453">
        <f>+Rates!G135</f>
        <v>0.55</v>
      </c>
      <c r="K13" s="253">
        <f>+I13*H13</f>
        <v>134898</v>
      </c>
      <c r="L13" s="259">
        <f>+J13*H13</f>
        <v>148387.80000000002</v>
      </c>
      <c r="M13" s="454">
        <f>(J13-I13)/I13</f>
        <v>0.10000000000000009</v>
      </c>
    </row>
    <row r="14" spans="2:13" ht="15">
      <c r="B14" s="1" t="s">
        <v>553</v>
      </c>
      <c r="C14" s="88">
        <v>91892</v>
      </c>
      <c r="D14" s="88">
        <v>184446</v>
      </c>
      <c r="F14" s="2"/>
      <c r="G14" s="187"/>
      <c r="H14" s="237"/>
      <c r="I14" s="453"/>
      <c r="J14" s="453"/>
      <c r="K14" s="209"/>
      <c r="L14" s="438"/>
      <c r="M14" s="405"/>
    </row>
    <row r="15" spans="3:13" ht="15">
      <c r="C15" s="4"/>
      <c r="D15" s="5"/>
      <c r="F15" s="2"/>
      <c r="G15" s="389" t="s">
        <v>555</v>
      </c>
      <c r="H15" s="237">
        <f>+C10</f>
        <v>153140</v>
      </c>
      <c r="I15" s="190">
        <f>+Rates!F136</f>
        <v>1.05</v>
      </c>
      <c r="J15" s="190">
        <f>+Rates!G136</f>
        <v>1.1</v>
      </c>
      <c r="K15" s="253">
        <f>+I15*H15</f>
        <v>160797</v>
      </c>
      <c r="L15" s="259">
        <f>+J15*H15</f>
        <v>168454</v>
      </c>
      <c r="M15" s="454">
        <f>(J15-I15)/I15</f>
        <v>0.04761904761904766</v>
      </c>
    </row>
    <row r="16" spans="2:13" ht="15">
      <c r="B16" s="1" t="s">
        <v>105</v>
      </c>
      <c r="C16" s="5">
        <v>514828</v>
      </c>
      <c r="D16" s="5">
        <v>474120</v>
      </c>
      <c r="F16" s="2"/>
      <c r="G16" s="187"/>
      <c r="H16" s="237"/>
      <c r="I16" s="190"/>
      <c r="J16" s="190"/>
      <c r="K16" s="209"/>
      <c r="L16" s="438"/>
      <c r="M16" s="405"/>
    </row>
    <row r="17" spans="6:13" ht="15">
      <c r="F17" s="2"/>
      <c r="G17" s="389" t="s">
        <v>556</v>
      </c>
      <c r="H17" s="237">
        <f>+C12</f>
        <v>0</v>
      </c>
      <c r="I17" s="190">
        <f>+Rates!F137</f>
        <v>1.5</v>
      </c>
      <c r="J17" s="190">
        <f>+Rates!G137</f>
        <v>1.55</v>
      </c>
      <c r="K17" s="253">
        <f>+I17*H17</f>
        <v>0</v>
      </c>
      <c r="L17" s="259">
        <f>+J17*H17</f>
        <v>0</v>
      </c>
      <c r="M17" s="454">
        <f>(J17-I17)/I17</f>
        <v>0.03333333333333336</v>
      </c>
    </row>
    <row r="18" spans="6:13" ht="15">
      <c r="F18" s="2"/>
      <c r="G18" s="187"/>
      <c r="H18" s="237"/>
      <c r="I18" s="190"/>
      <c r="J18" s="190"/>
      <c r="K18" s="209"/>
      <c r="L18" s="438"/>
      <c r="M18" s="405"/>
    </row>
    <row r="19" spans="6:13" ht="15">
      <c r="F19" s="2"/>
      <c r="G19" s="389" t="s">
        <v>557</v>
      </c>
      <c r="H19" s="237">
        <f>+C14</f>
        <v>91892</v>
      </c>
      <c r="I19" s="190">
        <f>+Rates!F138</f>
        <v>2.05</v>
      </c>
      <c r="J19" s="190">
        <f>+Rates!G138</f>
        <v>2.15</v>
      </c>
      <c r="K19" s="253">
        <f>+I19*H19</f>
        <v>188378.59999999998</v>
      </c>
      <c r="L19" s="259">
        <f>+J19*H19</f>
        <v>197567.8</v>
      </c>
      <c r="M19" s="454">
        <f>(J19-I19)/I19</f>
        <v>0.0487804878048781</v>
      </c>
    </row>
    <row r="20" spans="6:13" ht="15">
      <c r="F20" s="2"/>
      <c r="G20" s="187"/>
      <c r="H20" s="457"/>
      <c r="I20" s="36"/>
      <c r="J20" s="36"/>
      <c r="K20" s="455"/>
      <c r="L20" s="456"/>
      <c r="M20" s="191"/>
    </row>
    <row r="21" spans="6:13" ht="15">
      <c r="F21" s="2"/>
      <c r="G21" s="389" t="s">
        <v>105</v>
      </c>
      <c r="H21" s="237">
        <f>SUM(H13:H19)</f>
        <v>514828</v>
      </c>
      <c r="I21" s="36"/>
      <c r="J21" s="36"/>
      <c r="K21" s="209">
        <f>SUM(K13:K19)</f>
        <v>484073.6</v>
      </c>
      <c r="L21" s="217">
        <f>SUM(L13:L19)</f>
        <v>514409.60000000003</v>
      </c>
      <c r="M21" s="191"/>
    </row>
    <row r="22" spans="6:13" ht="15">
      <c r="F22" s="2"/>
      <c r="G22" s="187"/>
      <c r="H22" s="236"/>
      <c r="I22" s="36"/>
      <c r="J22" s="36"/>
      <c r="K22" s="208"/>
      <c r="L22" s="216"/>
      <c r="M22" s="189"/>
    </row>
    <row r="23" spans="6:13" ht="15.75" thickBot="1">
      <c r="F23" s="2"/>
      <c r="G23" s="196"/>
      <c r="H23" s="458"/>
      <c r="I23" s="197"/>
      <c r="J23" s="197"/>
      <c r="K23" s="223"/>
      <c r="L23" s="220"/>
      <c r="M23" s="198"/>
    </row>
    <row r="24" spans="6:13" ht="15.75" thickTop="1">
      <c r="F24" s="2"/>
      <c r="G24" s="184" t="s">
        <v>691</v>
      </c>
      <c r="H24" s="199"/>
      <c r="I24" s="199"/>
      <c r="J24" s="199"/>
      <c r="K24" s="199"/>
      <c r="L24" s="199"/>
      <c r="M24" s="200"/>
    </row>
    <row r="25" spans="6:13" ht="15.75" thickBot="1">
      <c r="F25" s="2"/>
      <c r="G25" s="227"/>
      <c r="H25" s="197"/>
      <c r="I25" s="197"/>
      <c r="J25" s="197"/>
      <c r="K25" s="197"/>
      <c r="L25" s="197"/>
      <c r="M25" s="198"/>
    </row>
    <row r="26" ht="15.75" thickTop="1">
      <c r="F26" s="2"/>
    </row>
    <row r="27" ht="15">
      <c r="F27" s="2"/>
    </row>
    <row r="28" ht="15">
      <c r="F28" s="2"/>
    </row>
    <row r="29" ht="15">
      <c r="F29" s="2"/>
    </row>
    <row r="30" ht="15">
      <c r="F30" s="2"/>
    </row>
    <row r="31" ht="15">
      <c r="F31" s="2"/>
    </row>
    <row r="32" ht="15">
      <c r="F32" s="2"/>
    </row>
    <row r="33" ht="15">
      <c r="F33" s="2"/>
    </row>
    <row r="34" ht="15">
      <c r="F34" s="2"/>
    </row>
    <row r="35" ht="15">
      <c r="F35" s="2"/>
    </row>
    <row r="36" ht="15">
      <c r="F36" s="2"/>
    </row>
    <row r="37" ht="15">
      <c r="F37" s="2"/>
    </row>
    <row r="38" ht="15">
      <c r="F38" s="2"/>
    </row>
    <row r="39" ht="15">
      <c r="F39" s="2"/>
    </row>
    <row r="40" ht="15">
      <c r="F40" s="2"/>
    </row>
    <row r="41" ht="15">
      <c r="F41" s="2"/>
    </row>
    <row r="42" ht="15">
      <c r="F42" s="2"/>
    </row>
    <row r="43" ht="15">
      <c r="F43" s="2"/>
    </row>
    <row r="44" ht="15">
      <c r="F44" s="2"/>
    </row>
    <row r="45" ht="15">
      <c r="F45" s="2"/>
    </row>
    <row r="46" ht="15">
      <c r="F46" s="2"/>
    </row>
    <row r="47" ht="15">
      <c r="F47" s="2"/>
    </row>
    <row r="48" ht="15">
      <c r="F48" s="2"/>
    </row>
    <row r="49" ht="15">
      <c r="F49" s="2"/>
    </row>
    <row r="50" ht="15">
      <c r="F50" s="2"/>
    </row>
    <row r="51" ht="15">
      <c r="F51" s="2"/>
    </row>
    <row r="52" ht="15">
      <c r="F52" s="2"/>
    </row>
    <row r="53" ht="15">
      <c r="F53" s="2"/>
    </row>
    <row r="54" ht="15">
      <c r="F54" s="2"/>
    </row>
    <row r="55" ht="15">
      <c r="F55" s="2"/>
    </row>
    <row r="56" ht="15">
      <c r="F56" s="2"/>
    </row>
    <row r="57" ht="15">
      <c r="F57" s="2"/>
    </row>
    <row r="58" ht="15">
      <c r="F58" s="2"/>
    </row>
    <row r="59" ht="15">
      <c r="F59" s="2"/>
    </row>
    <row r="60" ht="15">
      <c r="F60" s="2"/>
    </row>
    <row r="61" ht="15">
      <c r="F61" s="2"/>
    </row>
    <row r="62" ht="15">
      <c r="F62" s="2"/>
    </row>
    <row r="292" ht="15">
      <c r="E292" s="381"/>
    </row>
    <row r="293" ht="15">
      <c r="E293" s="381"/>
    </row>
    <row r="294" ht="15">
      <c r="E294" s="381"/>
    </row>
  </sheetData>
  <mergeCells count="7">
    <mergeCell ref="I8:J8"/>
    <mergeCell ref="K8:L8"/>
    <mergeCell ref="M8:M10"/>
    <mergeCell ref="B3:D3"/>
    <mergeCell ref="B4:D4"/>
    <mergeCell ref="G6:M6"/>
    <mergeCell ref="G7:M7"/>
  </mergeCells>
  <printOptions horizont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N36"/>
  <sheetViews>
    <sheetView zoomScale="70" zoomScaleNormal="70" workbookViewId="0" topLeftCell="C1">
      <selection activeCell="O20" sqref="O20"/>
    </sheetView>
  </sheetViews>
  <sheetFormatPr defaultColWidth="12.57421875" defaultRowHeight="12.75"/>
  <cols>
    <col min="1" max="1" width="12.421875" style="1" customWidth="1"/>
    <col min="2" max="2" width="51.00390625" style="36" bestFit="1" customWidth="1"/>
    <col min="3" max="3" width="16.00390625" style="36" customWidth="1"/>
    <col min="4" max="4" width="6.140625" style="1" customWidth="1"/>
    <col min="5" max="6" width="4.8515625" style="1" customWidth="1"/>
    <col min="7" max="7" width="12.57421875" style="1" customWidth="1"/>
    <col min="8" max="13" width="18.140625" style="1" customWidth="1"/>
    <col min="14" max="14" width="4.8515625" style="1" customWidth="1"/>
    <col min="15" max="16384" width="12.57421875" style="1" customWidth="1"/>
  </cols>
  <sheetData>
    <row r="1" spans="6:14" ht="15">
      <c r="F1" s="2"/>
      <c r="N1" s="2"/>
    </row>
    <row r="2" spans="2:14" ht="15">
      <c r="B2" s="1"/>
      <c r="C2" s="9" t="s">
        <v>481</v>
      </c>
      <c r="F2" s="2"/>
      <c r="N2" s="2"/>
    </row>
    <row r="3" spans="2:14" ht="18">
      <c r="B3" s="771" t="s">
        <v>24</v>
      </c>
      <c r="C3" s="771"/>
      <c r="F3" s="2"/>
      <c r="G3" s="95"/>
      <c r="N3" s="2"/>
    </row>
    <row r="4" spans="2:13" ht="15.75">
      <c r="B4" s="772" t="s">
        <v>700</v>
      </c>
      <c r="C4" s="772"/>
      <c r="F4" s="2"/>
      <c r="M4" s="9" t="str">
        <f>WN</f>
        <v>February 2009</v>
      </c>
    </row>
    <row r="5" spans="1:13" ht="15.75" thickBot="1">
      <c r="A5" s="90"/>
      <c r="B5" s="1"/>
      <c r="C5" s="33"/>
      <c r="E5" s="2"/>
      <c r="F5" s="2"/>
      <c r="M5" s="9"/>
    </row>
    <row r="6" spans="2:13" ht="16.5" thickTop="1">
      <c r="B6" s="1" t="s">
        <v>292</v>
      </c>
      <c r="C6" s="33">
        <v>112510</v>
      </c>
      <c r="E6" s="2"/>
      <c r="F6" s="2"/>
      <c r="G6" s="780" t="s">
        <v>24</v>
      </c>
      <c r="H6" s="781"/>
      <c r="I6" s="781"/>
      <c r="J6" s="781"/>
      <c r="K6" s="781"/>
      <c r="L6" s="781"/>
      <c r="M6" s="782"/>
    </row>
    <row r="7" spans="2:13" ht="15.75" thickBot="1">
      <c r="B7" s="1"/>
      <c r="C7" s="1"/>
      <c r="E7" s="2"/>
      <c r="F7" s="2"/>
      <c r="G7" s="783" t="str">
        <f>"Fiscal Year 2008 "</f>
        <v>Fiscal Year 2008 </v>
      </c>
      <c r="H7" s="784"/>
      <c r="I7" s="784"/>
      <c r="J7" s="784"/>
      <c r="K7" s="784"/>
      <c r="L7" s="784"/>
      <c r="M7" s="785"/>
    </row>
    <row r="8" spans="2:13" ht="15.75" customHeight="1" thickTop="1">
      <c r="B8" s="1" t="s">
        <v>293</v>
      </c>
      <c r="C8" s="5">
        <v>635.8656578134651</v>
      </c>
      <c r="E8" s="2"/>
      <c r="F8" s="2"/>
      <c r="G8" s="184"/>
      <c r="H8" s="575" t="s">
        <v>423</v>
      </c>
      <c r="I8" s="786" t="s">
        <v>234</v>
      </c>
      <c r="J8" s="770"/>
      <c r="K8" s="786" t="s">
        <v>528</v>
      </c>
      <c r="L8" s="787"/>
      <c r="M8" s="799" t="s">
        <v>209</v>
      </c>
    </row>
    <row r="9" spans="2:13" ht="20.25" customHeight="1" thickBot="1">
      <c r="B9" s="1"/>
      <c r="C9" s="1"/>
      <c r="E9" s="2"/>
      <c r="F9" s="2"/>
      <c r="G9" s="227"/>
      <c r="H9" s="293" t="str">
        <f>"FY "&amp;FY</f>
        <v>FY </v>
      </c>
      <c r="I9" s="295" t="s">
        <v>206</v>
      </c>
      <c r="J9" s="295" t="s">
        <v>683</v>
      </c>
      <c r="K9" s="296" t="s">
        <v>640</v>
      </c>
      <c r="L9" s="294" t="s">
        <v>683</v>
      </c>
      <c r="M9" s="800"/>
    </row>
    <row r="10" spans="2:13" ht="15.75" thickTop="1">
      <c r="B10" s="35"/>
      <c r="C10" s="1"/>
      <c r="E10" s="2"/>
      <c r="F10" s="2"/>
      <c r="G10" s="184"/>
      <c r="H10" s="401" t="s">
        <v>78</v>
      </c>
      <c r="I10" s="383" t="s">
        <v>79</v>
      </c>
      <c r="J10" s="383" t="s">
        <v>80</v>
      </c>
      <c r="K10" s="397" t="s">
        <v>81</v>
      </c>
      <c r="L10" s="399" t="s">
        <v>82</v>
      </c>
      <c r="M10" s="384" t="s">
        <v>83</v>
      </c>
    </row>
    <row r="11" spans="2:13" ht="15">
      <c r="B11" s="1" t="s">
        <v>130</v>
      </c>
      <c r="C11" s="1"/>
      <c r="E11" s="2"/>
      <c r="F11" s="2"/>
      <c r="G11" s="187"/>
      <c r="H11" s="236"/>
      <c r="I11" s="36"/>
      <c r="J11" s="36"/>
      <c r="K11" s="208"/>
      <c r="L11" s="216"/>
      <c r="M11" s="189"/>
    </row>
    <row r="12" spans="5:13" ht="15">
      <c r="E12" s="2"/>
      <c r="F12" s="2"/>
      <c r="G12" s="389" t="s">
        <v>294</v>
      </c>
      <c r="H12" s="237">
        <f>+C8</f>
        <v>635.8656578134651</v>
      </c>
      <c r="I12" s="201">
        <f>PermC</f>
        <v>180</v>
      </c>
      <c r="J12" s="201">
        <f>PermP</f>
        <v>185</v>
      </c>
      <c r="K12" s="253">
        <f>+I12*H12</f>
        <v>114455.81840642371</v>
      </c>
      <c r="L12" s="259">
        <f>+J12*H12</f>
        <v>117635.14669549104</v>
      </c>
      <c r="M12" s="454">
        <f>(J12-I12)/I12</f>
        <v>0.027777777777777776</v>
      </c>
    </row>
    <row r="13" spans="5:13" ht="15">
      <c r="E13" s="2"/>
      <c r="F13" s="2"/>
      <c r="G13" s="187"/>
      <c r="H13" s="237"/>
      <c r="I13" s="453"/>
      <c r="J13" s="453"/>
      <c r="K13" s="209"/>
      <c r="L13" s="438"/>
      <c r="M13" s="405"/>
    </row>
    <row r="14" spans="5:13" ht="15.75" thickBot="1">
      <c r="E14" s="2"/>
      <c r="F14" s="2"/>
      <c r="G14" s="177"/>
      <c r="H14" s="238"/>
      <c r="I14" s="459"/>
      <c r="J14" s="459"/>
      <c r="K14" s="231"/>
      <c r="L14" s="460"/>
      <c r="M14" s="461"/>
    </row>
    <row r="15" spans="5:14" ht="15.75" thickTop="1">
      <c r="E15" s="2"/>
      <c r="F15" s="2"/>
      <c r="G15" s="187" t="s">
        <v>483</v>
      </c>
      <c r="H15" s="36"/>
      <c r="I15" s="36"/>
      <c r="J15" s="36"/>
      <c r="K15" s="37"/>
      <c r="L15" s="37"/>
      <c r="M15" s="189"/>
      <c r="N15" s="2"/>
    </row>
    <row r="16" spans="2:14" ht="15">
      <c r="B16" s="21"/>
      <c r="E16" s="2"/>
      <c r="F16" s="2"/>
      <c r="G16" s="187" t="s">
        <v>692</v>
      </c>
      <c r="H16" s="36"/>
      <c r="I16" s="36"/>
      <c r="J16" s="36"/>
      <c r="K16" s="36"/>
      <c r="L16" s="36"/>
      <c r="M16" s="189"/>
      <c r="N16" s="2"/>
    </row>
    <row r="17" spans="5:14" ht="15.75" thickBot="1">
      <c r="E17" s="2"/>
      <c r="F17" s="2"/>
      <c r="G17" s="227"/>
      <c r="H17" s="197"/>
      <c r="I17" s="197"/>
      <c r="J17" s="197"/>
      <c r="K17" s="197"/>
      <c r="L17" s="197"/>
      <c r="M17" s="198"/>
      <c r="N17" s="2"/>
    </row>
    <row r="18" spans="5:14" ht="15.75" thickTop="1">
      <c r="E18" s="2"/>
      <c r="F18" s="2"/>
      <c r="N18" s="2"/>
    </row>
    <row r="19" spans="5:14" ht="15">
      <c r="E19" s="2"/>
      <c r="F19" s="2"/>
      <c r="N19" s="2"/>
    </row>
    <row r="20" spans="5:14" ht="15">
      <c r="E20" s="2"/>
      <c r="F20" s="2"/>
      <c r="N20" s="2"/>
    </row>
    <row r="21" spans="5:14" ht="15">
      <c r="E21" s="2"/>
      <c r="F21" s="2"/>
      <c r="N21" s="2"/>
    </row>
    <row r="22" spans="5:14" ht="15">
      <c r="E22" s="2"/>
      <c r="F22" s="2"/>
      <c r="H22" s="33"/>
      <c r="N22" s="2"/>
    </row>
    <row r="23" spans="5:14" ht="15">
      <c r="E23" s="2"/>
      <c r="F23" s="2"/>
      <c r="N23" s="2"/>
    </row>
    <row r="24" spans="5:14" ht="15">
      <c r="E24" s="2"/>
      <c r="F24" s="2"/>
      <c r="N24" s="2"/>
    </row>
    <row r="25" spans="5:14" ht="15">
      <c r="E25" s="2"/>
      <c r="F25" s="2"/>
      <c r="N25" s="2"/>
    </row>
    <row r="26" spans="5:14" ht="15">
      <c r="E26" s="2"/>
      <c r="F26" s="2"/>
      <c r="N26" s="2"/>
    </row>
    <row r="27" spans="5:14" ht="15">
      <c r="E27" s="2"/>
      <c r="F27" s="2"/>
      <c r="N27" s="2"/>
    </row>
    <row r="28" spans="5:14" ht="15">
      <c r="E28" s="2"/>
      <c r="F28" s="2"/>
      <c r="N28" s="2"/>
    </row>
    <row r="29" spans="5:14" ht="15">
      <c r="E29" s="2"/>
      <c r="F29" s="2"/>
      <c r="K29" s="17"/>
      <c r="N29" s="2"/>
    </row>
    <row r="30" spans="5:14" ht="15">
      <c r="E30" s="2"/>
      <c r="F30" s="2"/>
      <c r="K30" s="17"/>
      <c r="N30" s="2"/>
    </row>
    <row r="31" spans="5:11" ht="15">
      <c r="E31" s="2"/>
      <c r="F31" s="2"/>
      <c r="K31" s="17"/>
    </row>
    <row r="32" spans="5:11" ht="15">
      <c r="E32" s="2"/>
      <c r="F32" s="2"/>
      <c r="K32" s="17"/>
    </row>
    <row r="33" spans="5:11" ht="15">
      <c r="E33" s="2"/>
      <c r="F33" s="2"/>
      <c r="K33" s="17"/>
    </row>
    <row r="34" spans="5:6" ht="15">
      <c r="E34" s="2"/>
      <c r="F34" s="2"/>
    </row>
    <row r="35" ht="15">
      <c r="E35" s="2"/>
    </row>
    <row r="36" ht="15">
      <c r="E36" s="2"/>
    </row>
  </sheetData>
  <mergeCells count="7">
    <mergeCell ref="I8:J8"/>
    <mergeCell ref="K8:L8"/>
    <mergeCell ref="B3:C3"/>
    <mergeCell ref="B4:C4"/>
    <mergeCell ref="G6:M6"/>
    <mergeCell ref="G7:M7"/>
    <mergeCell ref="M8:M9"/>
  </mergeCells>
  <printOptions horizontalCentered="1"/>
  <pageMargins left="0.5" right="0.5" top="1.25" bottom="0.75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B1:J689"/>
  <sheetViews>
    <sheetView workbookViewId="0" topLeftCell="A1">
      <pane xSplit="4" ySplit="4" topLeftCell="E57" activePane="bottomRight" state="frozen"/>
      <selection pane="topLeft" activeCell="G251" sqref="F4:G251"/>
      <selection pane="topRight" activeCell="G251" sqref="F4:G251"/>
      <selection pane="bottomLeft" activeCell="G251" sqref="F4:G251"/>
      <selection pane="bottomRight" activeCell="B69" sqref="B69"/>
    </sheetView>
  </sheetViews>
  <sheetFormatPr defaultColWidth="9.140625" defaultRowHeight="12.75"/>
  <cols>
    <col min="1" max="1" width="4.00390625" style="0" customWidth="1"/>
    <col min="2" max="2" width="4.28125" style="131" customWidth="1"/>
    <col min="3" max="3" width="7.8515625" style="131" customWidth="1"/>
    <col min="4" max="4" width="6.57421875" style="0" customWidth="1"/>
    <col min="5" max="5" width="40.140625" style="0" customWidth="1"/>
    <col min="6" max="6" width="12.57421875" style="138" bestFit="1" customWidth="1"/>
    <col min="7" max="7" width="13.00390625" style="138" bestFit="1" customWidth="1"/>
    <col min="8" max="8" width="10.28125" style="139" customWidth="1"/>
    <col min="9" max="9" width="9.28125" style="0" bestFit="1" customWidth="1"/>
  </cols>
  <sheetData>
    <row r="1" spans="5:6" ht="13.5" thickBot="1">
      <c r="E1" t="s">
        <v>525</v>
      </c>
      <c r="F1" s="753">
        <v>0.038</v>
      </c>
    </row>
    <row r="2" spans="5:7" ht="13.5" thickBot="1">
      <c r="E2" t="s">
        <v>524</v>
      </c>
      <c r="F2" s="754">
        <f>+'Cap Calc Page'!D39</f>
        <v>0.03837444269369228</v>
      </c>
      <c r="G2" s="606"/>
    </row>
    <row r="3" spans="5:7" ht="12.75">
      <c r="E3" s="576"/>
      <c r="F3" s="774" t="s">
        <v>701</v>
      </c>
      <c r="G3" s="774"/>
    </row>
    <row r="4" spans="2:8" ht="38.25">
      <c r="B4" s="131" t="s">
        <v>639</v>
      </c>
      <c r="F4" s="134" t="s">
        <v>640</v>
      </c>
      <c r="G4" s="134" t="s">
        <v>658</v>
      </c>
      <c r="H4" s="141" t="s">
        <v>523</v>
      </c>
    </row>
    <row r="5" ht="12.75">
      <c r="H5"/>
    </row>
    <row r="6" spans="2:8" ht="12.75">
      <c r="B6" s="755" t="s">
        <v>68</v>
      </c>
      <c r="C6" s="755"/>
      <c r="D6" s="691"/>
      <c r="E6" s="691"/>
      <c r="F6" s="756">
        <v>180</v>
      </c>
      <c r="G6" s="756">
        <v>185</v>
      </c>
      <c r="H6" s="730">
        <f>+G6/F6-1</f>
        <v>0.02777777777777768</v>
      </c>
    </row>
    <row r="7" spans="2:8" ht="12.75">
      <c r="B7" s="755" t="s">
        <v>69</v>
      </c>
      <c r="C7" s="755"/>
      <c r="D7" s="691"/>
      <c r="E7" s="691"/>
      <c r="F7" s="756">
        <v>565</v>
      </c>
      <c r="G7" s="756">
        <v>585</v>
      </c>
      <c r="H7" s="730">
        <f>+G7/F7-1</f>
        <v>0.03539823008849563</v>
      </c>
    </row>
    <row r="8" spans="6:8" ht="12.75">
      <c r="F8" s="731"/>
      <c r="G8" s="731"/>
      <c r="H8" s="130"/>
    </row>
    <row r="9" spans="2:8" s="109" customFormat="1" ht="12.75">
      <c r="B9" s="546" t="s">
        <v>73</v>
      </c>
      <c r="C9" s="546"/>
      <c r="F9" s="547">
        <v>0.33</v>
      </c>
      <c r="G9" s="547">
        <v>0.35</v>
      </c>
      <c r="H9" s="545">
        <f>+G9/F9-1</f>
        <v>0.06060606060606055</v>
      </c>
    </row>
    <row r="10" spans="2:7" s="109" customFormat="1" ht="12.75">
      <c r="B10" s="548"/>
      <c r="C10" s="548"/>
      <c r="F10" s="543"/>
      <c r="G10" s="543"/>
    </row>
    <row r="11" spans="2:7" s="109" customFormat="1" ht="12.75">
      <c r="B11" s="546" t="s">
        <v>90</v>
      </c>
      <c r="C11" s="546"/>
      <c r="D11" s="546"/>
      <c r="E11" s="546"/>
      <c r="F11" s="549"/>
      <c r="G11" s="549"/>
    </row>
    <row r="12" spans="2:8" s="109" customFormat="1" ht="12.75">
      <c r="B12" s="546"/>
      <c r="C12" s="111" t="s">
        <v>97</v>
      </c>
      <c r="D12" s="111"/>
      <c r="E12" s="111"/>
      <c r="F12" s="547">
        <v>0.5</v>
      </c>
      <c r="G12" s="547">
        <v>0.5</v>
      </c>
      <c r="H12" s="545">
        <f>+G12/F12-1</f>
        <v>0</v>
      </c>
    </row>
    <row r="13" spans="2:8" s="109" customFormat="1" ht="12.75">
      <c r="B13" s="546"/>
      <c r="C13" s="111" t="s">
        <v>174</v>
      </c>
      <c r="D13" s="111"/>
      <c r="E13" s="111"/>
      <c r="F13" s="549"/>
      <c r="G13" s="549"/>
      <c r="H13" s="545"/>
    </row>
    <row r="14" spans="2:8" s="109" customFormat="1" ht="12.75">
      <c r="B14" s="546"/>
      <c r="C14" s="111" t="s">
        <v>397</v>
      </c>
      <c r="D14" s="111"/>
      <c r="E14" s="111"/>
      <c r="F14" s="547">
        <v>0.08</v>
      </c>
      <c r="G14" s="547">
        <v>0.1</v>
      </c>
      <c r="H14" s="545">
        <f>+G14/F14-1</f>
        <v>0.25</v>
      </c>
    </row>
    <row r="15" spans="2:8" s="109" customFormat="1" ht="12.75">
      <c r="B15" s="546"/>
      <c r="C15" s="111" t="s">
        <v>398</v>
      </c>
      <c r="D15" s="111"/>
      <c r="E15" s="111"/>
      <c r="F15" s="547">
        <v>0.25</v>
      </c>
      <c r="G15" s="547">
        <v>0.26</v>
      </c>
      <c r="H15" s="545">
        <f>+G15/F15-1</f>
        <v>0.040000000000000036</v>
      </c>
    </row>
    <row r="16" spans="2:8" s="109" customFormat="1" ht="12.75">
      <c r="B16" s="546"/>
      <c r="C16" s="111" t="s">
        <v>99</v>
      </c>
      <c r="D16" s="111"/>
      <c r="E16" s="111"/>
      <c r="F16" s="549"/>
      <c r="G16" s="549"/>
      <c r="H16" s="545"/>
    </row>
    <row r="17" spans="2:8" s="109" customFormat="1" ht="12.75">
      <c r="B17" s="546"/>
      <c r="C17" s="111" t="s">
        <v>397</v>
      </c>
      <c r="D17" s="111"/>
      <c r="E17" s="111"/>
      <c r="F17" s="549"/>
      <c r="G17" s="549"/>
      <c r="H17" s="545"/>
    </row>
    <row r="18" spans="2:8" s="109" customFormat="1" ht="12.75">
      <c r="B18" s="546"/>
      <c r="C18" s="111" t="s">
        <v>399</v>
      </c>
      <c r="D18" s="111"/>
      <c r="E18" s="111"/>
      <c r="F18" s="547">
        <v>0</v>
      </c>
      <c r="G18" s="547">
        <v>0.02</v>
      </c>
      <c r="H18" s="732" t="s">
        <v>401</v>
      </c>
    </row>
    <row r="19" spans="2:8" s="109" customFormat="1" ht="12.75">
      <c r="B19" s="546"/>
      <c r="C19" s="111" t="s">
        <v>400</v>
      </c>
      <c r="D19" s="111"/>
      <c r="E19" s="111"/>
      <c r="F19" s="547">
        <v>0.06</v>
      </c>
      <c r="G19" s="547">
        <v>0.08</v>
      </c>
      <c r="H19" s="545">
        <f>+G19/F19-1</f>
        <v>0.3333333333333335</v>
      </c>
    </row>
    <row r="20" spans="2:8" s="109" customFormat="1" ht="12.75">
      <c r="B20" s="546"/>
      <c r="C20" s="111" t="s">
        <v>104</v>
      </c>
      <c r="D20" s="111"/>
      <c r="E20" s="111"/>
      <c r="F20" s="549"/>
      <c r="G20" s="549"/>
      <c r="H20" s="545"/>
    </row>
    <row r="21" spans="2:8" s="109" customFormat="1" ht="12.75">
      <c r="B21" s="546"/>
      <c r="C21" s="111" t="s">
        <v>399</v>
      </c>
      <c r="D21" s="111"/>
      <c r="E21" s="111"/>
      <c r="F21" s="547">
        <v>0.03</v>
      </c>
      <c r="G21" s="547">
        <v>0.05</v>
      </c>
      <c r="H21" s="545">
        <f>+G21/F21-1</f>
        <v>0.6666666666666667</v>
      </c>
    </row>
    <row r="22" spans="2:8" s="109" customFormat="1" ht="12.75">
      <c r="B22" s="546"/>
      <c r="C22" s="111" t="s">
        <v>400</v>
      </c>
      <c r="D22" s="111"/>
      <c r="E22" s="111"/>
      <c r="F22" s="547">
        <v>0.18</v>
      </c>
      <c r="G22" s="547">
        <v>0.2</v>
      </c>
      <c r="H22" s="545">
        <f>+G22/F22-1</f>
        <v>0.11111111111111116</v>
      </c>
    </row>
    <row r="23" spans="2:8" s="109" customFormat="1" ht="12.75">
      <c r="B23" s="546"/>
      <c r="C23" s="111" t="s">
        <v>704</v>
      </c>
      <c r="D23" s="111"/>
      <c r="E23" s="111"/>
      <c r="F23" s="547">
        <v>0</v>
      </c>
      <c r="G23" s="547">
        <v>0</v>
      </c>
      <c r="H23" s="732" t="s">
        <v>401</v>
      </c>
    </row>
    <row r="24" spans="2:8" s="109" customFormat="1" ht="12.75">
      <c r="B24" s="546"/>
      <c r="C24" s="111"/>
      <c r="D24" s="111"/>
      <c r="E24" s="111"/>
      <c r="F24" s="549"/>
      <c r="G24" s="549"/>
      <c r="H24" s="545"/>
    </row>
    <row r="25" spans="2:7" s="109" customFormat="1" ht="15">
      <c r="B25" s="548"/>
      <c r="C25" s="548"/>
      <c r="D25" s="104"/>
      <c r="E25" s="104"/>
      <c r="F25" s="543"/>
      <c r="G25" s="543"/>
    </row>
    <row r="26" spans="2:10" ht="12.75">
      <c r="B26" s="49" t="s">
        <v>127</v>
      </c>
      <c r="C26" s="49"/>
      <c r="D26" s="49"/>
      <c r="E26" s="49"/>
      <c r="F26" s="547">
        <v>2.25</v>
      </c>
      <c r="G26" s="547">
        <v>2.5</v>
      </c>
      <c r="H26" s="147">
        <f>+G26/F26-1</f>
        <v>0.11111111111111116</v>
      </c>
      <c r="J26" s="140"/>
    </row>
    <row r="27" spans="6:8" ht="12.75">
      <c r="F27" s="143"/>
      <c r="G27" s="143"/>
      <c r="H27"/>
    </row>
    <row r="28" spans="2:8" s="109" customFormat="1" ht="13.5" customHeight="1">
      <c r="B28" s="733" t="s">
        <v>136</v>
      </c>
      <c r="C28" s="733"/>
      <c r="D28" s="733"/>
      <c r="E28" s="733"/>
      <c r="F28" s="549"/>
      <c r="G28" s="549"/>
      <c r="H28" s="550"/>
    </row>
    <row r="29" spans="2:8" s="109" customFormat="1" ht="18">
      <c r="B29" s="733"/>
      <c r="C29" s="145" t="s">
        <v>178</v>
      </c>
      <c r="D29" s="734"/>
      <c r="E29" s="733"/>
      <c r="F29" s="549"/>
      <c r="G29" s="549"/>
      <c r="H29" s="545"/>
    </row>
    <row r="30" spans="2:8" s="109" customFormat="1" ht="15">
      <c r="B30" s="733"/>
      <c r="C30" s="735"/>
      <c r="D30" s="145" t="s">
        <v>179</v>
      </c>
      <c r="E30" s="733"/>
      <c r="F30" s="547">
        <v>0.72</v>
      </c>
      <c r="G30" s="547">
        <v>0.74</v>
      </c>
      <c r="H30" s="545">
        <f>+G30/F30-1</f>
        <v>0.0277777777777779</v>
      </c>
    </row>
    <row r="31" spans="2:8" s="109" customFormat="1" ht="15">
      <c r="B31" s="733"/>
      <c r="C31" s="735"/>
      <c r="D31" s="145" t="s">
        <v>180</v>
      </c>
      <c r="E31" s="733"/>
      <c r="F31" s="547">
        <v>0.72</v>
      </c>
      <c r="G31" s="547">
        <v>0.74</v>
      </c>
      <c r="H31" s="545">
        <f>+G31/F31-1</f>
        <v>0.0277777777777779</v>
      </c>
    </row>
    <row r="32" spans="2:8" s="109" customFormat="1" ht="15">
      <c r="B32" s="733"/>
      <c r="C32" s="145" t="s">
        <v>181</v>
      </c>
      <c r="D32" s="734"/>
      <c r="E32" s="733"/>
      <c r="F32" s="549"/>
      <c r="G32" s="549"/>
      <c r="H32" s="545"/>
    </row>
    <row r="33" spans="2:8" s="109" customFormat="1" ht="18">
      <c r="B33" s="733"/>
      <c r="C33" s="735"/>
      <c r="D33" s="145" t="s">
        <v>182</v>
      </c>
      <c r="E33" s="733"/>
      <c r="F33" s="701">
        <v>0.08</v>
      </c>
      <c r="G33" s="701">
        <v>0.083</v>
      </c>
      <c r="H33" s="545">
        <f>+G33/F33-1</f>
        <v>0.03750000000000009</v>
      </c>
    </row>
    <row r="34" spans="2:8" s="109" customFormat="1" ht="15">
      <c r="B34" s="733"/>
      <c r="C34" s="145"/>
      <c r="D34" s="734"/>
      <c r="E34" s="733"/>
      <c r="F34" s="549"/>
      <c r="G34" s="549"/>
      <c r="H34" s="545"/>
    </row>
    <row r="35" spans="2:8" s="109" customFormat="1" ht="15">
      <c r="B35" s="733"/>
      <c r="C35" s="145" t="s">
        <v>184</v>
      </c>
      <c r="D35" s="734"/>
      <c r="E35" s="733"/>
      <c r="F35" s="549"/>
      <c r="G35" s="549"/>
      <c r="H35" s="545"/>
    </row>
    <row r="36" spans="2:8" s="109" customFormat="1" ht="15">
      <c r="B36" s="733"/>
      <c r="C36" s="735"/>
      <c r="D36" s="145" t="s">
        <v>653</v>
      </c>
      <c r="E36" s="733"/>
      <c r="F36" s="549"/>
      <c r="G36" s="549"/>
      <c r="H36" s="545"/>
    </row>
    <row r="37" spans="2:8" s="109" customFormat="1" ht="18">
      <c r="B37" s="733"/>
      <c r="C37" s="735"/>
      <c r="D37" s="734"/>
      <c r="E37" s="145" t="s">
        <v>185</v>
      </c>
      <c r="F37" s="701">
        <v>0.05</v>
      </c>
      <c r="G37" s="701">
        <v>0.052</v>
      </c>
      <c r="H37" s="545">
        <f>+G37/F37-1</f>
        <v>0.039999999999999813</v>
      </c>
    </row>
    <row r="38" spans="2:8" s="109" customFormat="1" ht="18">
      <c r="B38" s="733"/>
      <c r="C38" s="735"/>
      <c r="D38" s="734"/>
      <c r="E38" s="145" t="s">
        <v>186</v>
      </c>
      <c r="F38" s="701">
        <v>0.05</v>
      </c>
      <c r="G38" s="701">
        <v>0.052</v>
      </c>
      <c r="H38" s="545">
        <f>+G38/F38-1</f>
        <v>0.039999999999999813</v>
      </c>
    </row>
    <row r="39" spans="2:8" s="109" customFormat="1" ht="15">
      <c r="B39" s="733"/>
      <c r="C39" s="735"/>
      <c r="D39" s="145" t="s">
        <v>187</v>
      </c>
      <c r="E39" s="733"/>
      <c r="F39" s="549"/>
      <c r="G39" s="549"/>
      <c r="H39" s="545"/>
    </row>
    <row r="40" spans="2:8" s="109" customFormat="1" ht="18">
      <c r="B40" s="733"/>
      <c r="C40" s="735"/>
      <c r="D40" s="734"/>
      <c r="E40" s="145" t="s">
        <v>188</v>
      </c>
      <c r="F40" s="701">
        <v>0.006</v>
      </c>
      <c r="G40" s="701">
        <v>0.007</v>
      </c>
      <c r="H40" s="545">
        <f>+G40/F40-1</f>
        <v>0.16666666666666674</v>
      </c>
    </row>
    <row r="41" spans="2:8" s="109" customFormat="1" ht="15">
      <c r="B41" s="733"/>
      <c r="C41" s="145"/>
      <c r="D41" s="734"/>
      <c r="E41" s="733"/>
      <c r="F41" s="549"/>
      <c r="G41" s="549"/>
      <c r="H41" s="545"/>
    </row>
    <row r="42" spans="2:8" s="109" customFormat="1" ht="15">
      <c r="B42" s="733"/>
      <c r="C42" s="145" t="s">
        <v>190</v>
      </c>
      <c r="D42" s="734"/>
      <c r="E42" s="733"/>
      <c r="F42" s="549"/>
      <c r="G42" s="549"/>
      <c r="H42" s="545"/>
    </row>
    <row r="43" spans="2:8" s="109" customFormat="1" ht="15">
      <c r="B43" s="733"/>
      <c r="C43" s="735"/>
      <c r="D43" s="145" t="s">
        <v>191</v>
      </c>
      <c r="E43" s="733"/>
      <c r="F43" s="701">
        <v>0.012</v>
      </c>
      <c r="G43" s="701">
        <v>0.013</v>
      </c>
      <c r="H43" s="545">
        <f>+G43/F43-1</f>
        <v>0.08333333333333326</v>
      </c>
    </row>
    <row r="44" spans="2:8" s="109" customFormat="1" ht="15">
      <c r="B44" s="733"/>
      <c r="C44" s="735"/>
      <c r="D44" s="145" t="s">
        <v>192</v>
      </c>
      <c r="E44" s="733"/>
      <c r="F44" s="701">
        <v>0.012</v>
      </c>
      <c r="G44" s="701">
        <v>0.013</v>
      </c>
      <c r="H44" s="545">
        <f>+G44/F44-1</f>
        <v>0.08333333333333326</v>
      </c>
    </row>
    <row r="45" spans="2:8" s="109" customFormat="1" ht="15">
      <c r="B45" s="733"/>
      <c r="C45" s="145"/>
      <c r="D45" s="734"/>
      <c r="E45" s="733"/>
      <c r="F45" s="549"/>
      <c r="G45" s="549"/>
      <c r="H45" s="545"/>
    </row>
    <row r="46" spans="2:8" s="109" customFormat="1" ht="15">
      <c r="B46" s="733"/>
      <c r="C46" s="145" t="s">
        <v>195</v>
      </c>
      <c r="D46" s="734"/>
      <c r="E46" s="733"/>
      <c r="F46" s="549"/>
      <c r="G46" s="549"/>
      <c r="H46" s="545"/>
    </row>
    <row r="47" spans="2:8" s="109" customFormat="1" ht="15">
      <c r="B47" s="733"/>
      <c r="C47" s="735"/>
      <c r="D47" s="145" t="s">
        <v>196</v>
      </c>
      <c r="E47" s="733"/>
      <c r="F47" s="736">
        <f>+PermC</f>
        <v>180</v>
      </c>
      <c r="G47" s="736">
        <f>+PermP</f>
        <v>185</v>
      </c>
      <c r="H47" s="545">
        <f>+G47/F47-1</f>
        <v>0.02777777777777768</v>
      </c>
    </row>
    <row r="48" spans="2:8" s="109" customFormat="1" ht="15">
      <c r="B48" s="733"/>
      <c r="C48" s="735"/>
      <c r="D48" s="145" t="s">
        <v>197</v>
      </c>
      <c r="E48" s="734"/>
      <c r="F48" s="549">
        <f>+AcctMC</f>
        <v>565</v>
      </c>
      <c r="G48" s="549">
        <f>+AcctMP</f>
        <v>585</v>
      </c>
      <c r="H48" s="545">
        <f>+G48/F48-1</f>
        <v>0.03539823008849563</v>
      </c>
    </row>
    <row r="49" spans="2:8" s="109" customFormat="1" ht="15">
      <c r="B49" s="733"/>
      <c r="C49" s="735"/>
      <c r="D49" s="145" t="s">
        <v>198</v>
      </c>
      <c r="E49" s="734"/>
      <c r="F49" s="547">
        <v>1855</v>
      </c>
      <c r="G49" s="547">
        <v>1925</v>
      </c>
      <c r="H49" s="545">
        <f>+G49/F49-1</f>
        <v>0.037735849056603765</v>
      </c>
    </row>
    <row r="50" spans="2:8" s="109" customFormat="1" ht="15">
      <c r="B50" s="733"/>
      <c r="C50" s="735"/>
      <c r="D50" s="145" t="s">
        <v>199</v>
      </c>
      <c r="E50" s="734"/>
      <c r="F50" s="547">
        <v>930</v>
      </c>
      <c r="G50" s="547">
        <v>965</v>
      </c>
      <c r="H50" s="545">
        <f>+G50/F50-1</f>
        <v>0.037634408602150504</v>
      </c>
    </row>
    <row r="51" spans="2:8" s="109" customFormat="1" ht="15">
      <c r="B51" s="733"/>
      <c r="C51" s="145"/>
      <c r="D51" s="733"/>
      <c r="E51" s="733"/>
      <c r="F51" s="549"/>
      <c r="G51" s="549"/>
      <c r="H51" s="545"/>
    </row>
    <row r="52" spans="2:8" s="109" customFormat="1" ht="15">
      <c r="B52" s="733" t="s">
        <v>570</v>
      </c>
      <c r="C52" s="145"/>
      <c r="D52" s="733"/>
      <c r="E52" s="733"/>
      <c r="F52" s="549"/>
      <c r="G52" s="549"/>
      <c r="H52" s="545"/>
    </row>
    <row r="53" spans="2:8" s="109" customFormat="1" ht="15">
      <c r="B53" s="733"/>
      <c r="C53" s="145">
        <v>1</v>
      </c>
      <c r="D53" s="733"/>
      <c r="E53" s="733"/>
      <c r="F53" s="547">
        <v>644</v>
      </c>
      <c r="G53" s="547">
        <v>660</v>
      </c>
      <c r="H53" s="545">
        <f aca="true" t="shared" si="0" ref="H53:H59">+G53/F53-1</f>
        <v>0.024844720496894457</v>
      </c>
    </row>
    <row r="54" spans="2:8" s="109" customFormat="1" ht="15">
      <c r="B54" s="733"/>
      <c r="C54" s="145">
        <v>2</v>
      </c>
      <c r="D54" s="733"/>
      <c r="E54" s="733"/>
      <c r="F54" s="547">
        <v>562</v>
      </c>
      <c r="G54" s="547">
        <v>580</v>
      </c>
      <c r="H54" s="545">
        <f t="shared" si="0"/>
        <v>0.03202846975088969</v>
      </c>
    </row>
    <row r="55" spans="2:8" s="109" customFormat="1" ht="15">
      <c r="B55" s="733"/>
      <c r="C55" s="145">
        <v>3</v>
      </c>
      <c r="D55" s="733"/>
      <c r="E55" s="733"/>
      <c r="F55" s="547">
        <v>495</v>
      </c>
      <c r="G55" s="547">
        <v>520</v>
      </c>
      <c r="H55" s="545">
        <f t="shared" si="0"/>
        <v>0.05050505050505061</v>
      </c>
    </row>
    <row r="56" spans="2:8" s="109" customFormat="1" ht="15">
      <c r="B56" s="733"/>
      <c r="C56" s="145">
        <v>4</v>
      </c>
      <c r="D56" s="733"/>
      <c r="E56" s="733"/>
      <c r="F56" s="547">
        <v>487</v>
      </c>
      <c r="G56" s="547">
        <v>510</v>
      </c>
      <c r="H56" s="545">
        <f t="shared" si="0"/>
        <v>0.04722792607802884</v>
      </c>
    </row>
    <row r="57" spans="2:8" s="109" customFormat="1" ht="15">
      <c r="B57" s="733"/>
      <c r="C57" s="145">
        <v>5</v>
      </c>
      <c r="D57" s="733"/>
      <c r="E57" s="733"/>
      <c r="F57" s="547">
        <v>476</v>
      </c>
      <c r="G57" s="547">
        <v>500</v>
      </c>
      <c r="H57" s="545">
        <f t="shared" si="0"/>
        <v>0.050420168067226934</v>
      </c>
    </row>
    <row r="58" spans="2:8" s="109" customFormat="1" ht="15">
      <c r="B58" s="733"/>
      <c r="C58" s="145">
        <v>6</v>
      </c>
      <c r="D58" s="733"/>
      <c r="E58" s="733"/>
      <c r="F58" s="547">
        <v>425</v>
      </c>
      <c r="G58" s="547">
        <v>450</v>
      </c>
      <c r="H58" s="545">
        <f t="shared" si="0"/>
        <v>0.05882352941176472</v>
      </c>
    </row>
    <row r="59" spans="2:8" s="109" customFormat="1" ht="15">
      <c r="B59" s="733"/>
      <c r="C59" s="145">
        <v>7</v>
      </c>
      <c r="D59" s="733"/>
      <c r="E59" s="733"/>
      <c r="F59" s="547">
        <v>379</v>
      </c>
      <c r="G59" s="547">
        <v>410</v>
      </c>
      <c r="H59" s="545">
        <f t="shared" si="0"/>
        <v>0.08179419525065956</v>
      </c>
    </row>
    <row r="60" spans="2:8" s="109" customFormat="1" ht="15">
      <c r="B60" s="733"/>
      <c r="C60" s="145"/>
      <c r="D60" s="733"/>
      <c r="E60" s="733"/>
      <c r="F60" s="549"/>
      <c r="G60" s="549"/>
      <c r="H60" s="545"/>
    </row>
    <row r="61" spans="2:7" s="109" customFormat="1" ht="12.75">
      <c r="B61" s="541" t="s">
        <v>641</v>
      </c>
      <c r="C61" s="541"/>
      <c r="D61" s="542"/>
      <c r="E61" s="542"/>
      <c r="F61" s="543"/>
      <c r="G61" s="543"/>
    </row>
    <row r="62" spans="2:8" s="109" customFormat="1" ht="12.75">
      <c r="B62" s="541"/>
      <c r="C62" s="541"/>
      <c r="D62" s="542" t="s">
        <v>430</v>
      </c>
      <c r="E62" s="542"/>
      <c r="F62" s="547">
        <v>1.1</v>
      </c>
      <c r="G62" s="547">
        <v>1.15</v>
      </c>
      <c r="H62" s="545">
        <f>+G62/F62-1</f>
        <v>0.04545454545454519</v>
      </c>
    </row>
    <row r="63" spans="2:8" s="109" customFormat="1" ht="12.75">
      <c r="B63" s="541"/>
      <c r="C63" s="541"/>
      <c r="D63" s="542" t="s">
        <v>431</v>
      </c>
      <c r="E63" s="542"/>
      <c r="F63" s="547">
        <v>0.4</v>
      </c>
      <c r="G63" s="547">
        <v>0.42</v>
      </c>
      <c r="H63" s="545">
        <f>+G63/F63-1</f>
        <v>0.04999999999999982</v>
      </c>
    </row>
    <row r="64" spans="2:8" s="109" customFormat="1" ht="12.75">
      <c r="B64" s="541"/>
      <c r="C64" s="541"/>
      <c r="D64" s="542" t="s">
        <v>433</v>
      </c>
      <c r="E64" s="542"/>
      <c r="F64" s="547">
        <v>6</v>
      </c>
      <c r="G64" s="547">
        <v>6.5</v>
      </c>
      <c r="H64" s="545">
        <f>+G64/F64-1</f>
        <v>0.08333333333333326</v>
      </c>
    </row>
    <row r="65" spans="2:8" s="109" customFormat="1" ht="12.75">
      <c r="B65" s="541"/>
      <c r="C65" s="541"/>
      <c r="D65" s="542" t="s">
        <v>434</v>
      </c>
      <c r="E65" s="542"/>
      <c r="F65" s="547">
        <v>0.7</v>
      </c>
      <c r="G65" s="547">
        <v>0.75</v>
      </c>
      <c r="H65" s="545">
        <f>+G65/F65-1</f>
        <v>0.0714285714285714</v>
      </c>
    </row>
    <row r="66" spans="2:7" s="109" customFormat="1" ht="12.75">
      <c r="B66" s="548"/>
      <c r="C66" s="548"/>
      <c r="F66" s="543"/>
      <c r="G66" s="543"/>
    </row>
    <row r="67" spans="2:8" s="109" customFormat="1" ht="12.75">
      <c r="B67" s="548" t="s">
        <v>436</v>
      </c>
      <c r="C67" s="548"/>
      <c r="F67" s="547">
        <v>2.7</v>
      </c>
      <c r="G67" s="547">
        <v>2.8</v>
      </c>
      <c r="H67" s="545">
        <f>+G67/F67-1</f>
        <v>0.03703703703703698</v>
      </c>
    </row>
    <row r="68" spans="2:8" s="109" customFormat="1" ht="12.75">
      <c r="B68" s="548"/>
      <c r="C68" s="548"/>
      <c r="F68" s="547"/>
      <c r="G68" s="547"/>
      <c r="H68" s="545"/>
    </row>
    <row r="69" spans="2:8" s="109" customFormat="1" ht="12.75">
      <c r="B69" s="548" t="s">
        <v>751</v>
      </c>
      <c r="C69" s="548"/>
      <c r="F69" s="547">
        <v>1</v>
      </c>
      <c r="G69" s="547">
        <v>1</v>
      </c>
      <c r="H69" s="545">
        <f>+G69/F69-1</f>
        <v>0</v>
      </c>
    </row>
    <row r="70" spans="2:7" s="109" customFormat="1" ht="12.75">
      <c r="B70" s="548"/>
      <c r="C70" s="548"/>
      <c r="F70" s="543"/>
      <c r="G70" s="543"/>
    </row>
    <row r="71" spans="2:7" s="109" customFormat="1" ht="12.75">
      <c r="B71" s="548" t="s">
        <v>589</v>
      </c>
      <c r="C71" s="548"/>
      <c r="F71" s="543"/>
      <c r="G71" s="543"/>
    </row>
    <row r="72" spans="2:8" s="109" customFormat="1" ht="12.75">
      <c r="B72" s="548"/>
      <c r="C72" s="111">
        <v>50</v>
      </c>
      <c r="D72" s="111"/>
      <c r="E72" s="111"/>
      <c r="F72" s="547">
        <v>5.25</v>
      </c>
      <c r="G72" s="547">
        <v>5.5</v>
      </c>
      <c r="H72" s="545">
        <f>+G72/F72-1</f>
        <v>0.04761904761904767</v>
      </c>
    </row>
    <row r="73" spans="2:8" s="109" customFormat="1" ht="12.75">
      <c r="B73" s="548"/>
      <c r="C73" s="111">
        <v>100</v>
      </c>
      <c r="D73" s="111"/>
      <c r="E73" s="111"/>
      <c r="F73" s="547">
        <v>6.45</v>
      </c>
      <c r="G73" s="547">
        <v>6.8</v>
      </c>
      <c r="H73" s="545">
        <f>+G73/F73-1</f>
        <v>0.05426356589147274</v>
      </c>
    </row>
    <row r="74" spans="2:8" s="109" customFormat="1" ht="12.75">
      <c r="B74" s="548"/>
      <c r="C74" s="551" t="s">
        <v>70</v>
      </c>
      <c r="D74" s="111"/>
      <c r="E74" s="111"/>
      <c r="F74" s="547">
        <v>1.2</v>
      </c>
      <c r="G74" s="547">
        <v>1.3</v>
      </c>
      <c r="H74" s="545">
        <f>+G74/F74-1</f>
        <v>0.08333333333333348</v>
      </c>
    </row>
    <row r="75" spans="2:8" s="109" customFormat="1" ht="12.75">
      <c r="B75" s="548"/>
      <c r="C75" s="551" t="s">
        <v>376</v>
      </c>
      <c r="D75" s="111"/>
      <c r="E75" s="111"/>
      <c r="F75" s="543">
        <f>+COD!H10</f>
        <v>6.562260726819657</v>
      </c>
      <c r="G75" s="547">
        <f>+COD!H12</f>
        <v>6.942529430837675</v>
      </c>
      <c r="H75" s="545">
        <f>+G75/F75-1</f>
        <v>0.05794782009557742</v>
      </c>
    </row>
    <row r="76" spans="2:7" s="109" customFormat="1" ht="12.75">
      <c r="B76" s="548"/>
      <c r="C76" s="546"/>
      <c r="D76" s="111"/>
      <c r="E76" s="111"/>
      <c r="F76" s="543"/>
      <c r="G76" s="543"/>
    </row>
    <row r="77" spans="2:8" s="109" customFormat="1" ht="12.75">
      <c r="B77" s="548"/>
      <c r="C77" s="111" t="s">
        <v>449</v>
      </c>
      <c r="D77" s="111"/>
      <c r="E77" s="111"/>
      <c r="F77" s="547">
        <v>4.65</v>
      </c>
      <c r="G77" s="547">
        <v>4.85</v>
      </c>
      <c r="H77" s="545">
        <f>+G77/F77-1</f>
        <v>0.04301075268817178</v>
      </c>
    </row>
    <row r="78" spans="2:8" s="109" customFormat="1" ht="12.75">
      <c r="B78" s="548"/>
      <c r="C78" s="111" t="s">
        <v>642</v>
      </c>
      <c r="D78" s="111"/>
      <c r="E78" s="111"/>
      <c r="F78" s="547">
        <v>3.7</v>
      </c>
      <c r="G78" s="547">
        <v>3.85</v>
      </c>
      <c r="H78" s="545">
        <f>+G78/F78-1</f>
        <v>0.04054054054054057</v>
      </c>
    </row>
    <row r="79" spans="2:8" s="109" customFormat="1" ht="12.75">
      <c r="B79" s="548"/>
      <c r="C79" s="111" t="s">
        <v>451</v>
      </c>
      <c r="D79" s="111"/>
      <c r="E79" s="111"/>
      <c r="F79" s="547">
        <v>3.7</v>
      </c>
      <c r="G79" s="547">
        <v>3.85</v>
      </c>
      <c r="H79" s="545">
        <f>+G79/F79-1</f>
        <v>0.04054054054054057</v>
      </c>
    </row>
    <row r="80" spans="2:8" s="109" customFormat="1" ht="12.75">
      <c r="B80" s="548"/>
      <c r="C80" s="111"/>
      <c r="D80" s="111"/>
      <c r="E80" s="111"/>
      <c r="F80" s="543"/>
      <c r="G80" s="543"/>
      <c r="H80" s="545"/>
    </row>
    <row r="81" spans="2:8" s="109" customFormat="1" ht="12.75">
      <c r="B81" s="548" t="s">
        <v>175</v>
      </c>
      <c r="C81" s="111"/>
      <c r="D81" s="111"/>
      <c r="E81" s="111"/>
      <c r="F81" s="543"/>
      <c r="G81" s="543"/>
      <c r="H81" s="545"/>
    </row>
    <row r="82" spans="2:8" s="109" customFormat="1" ht="12.75">
      <c r="B82" s="548"/>
      <c r="C82" s="111" t="s">
        <v>721</v>
      </c>
      <c r="D82" s="111"/>
      <c r="E82" s="111"/>
      <c r="F82" s="543"/>
      <c r="G82" s="543"/>
      <c r="H82" s="545"/>
    </row>
    <row r="83" spans="2:8" s="109" customFormat="1" ht="12.75">
      <c r="B83" s="548"/>
      <c r="C83" s="111"/>
      <c r="D83" s="111" t="s">
        <v>404</v>
      </c>
      <c r="E83" s="111"/>
      <c r="F83" s="543">
        <v>2000</v>
      </c>
      <c r="G83" s="543">
        <v>1000</v>
      </c>
      <c r="H83" s="545">
        <f>+G83/F83-1</f>
        <v>-0.5</v>
      </c>
    </row>
    <row r="84" spans="2:8" s="109" customFormat="1" ht="12.75">
      <c r="B84" s="548"/>
      <c r="C84" s="111"/>
      <c r="D84" s="111" t="s">
        <v>405</v>
      </c>
      <c r="E84" s="111"/>
      <c r="F84" s="543">
        <v>500</v>
      </c>
      <c r="G84" s="543">
        <v>250</v>
      </c>
      <c r="H84" s="545">
        <f>+G84/F84-1</f>
        <v>-0.5</v>
      </c>
    </row>
    <row r="85" spans="2:8" s="109" customFormat="1" ht="12.75">
      <c r="B85" s="548"/>
      <c r="C85" s="111" t="s">
        <v>673</v>
      </c>
      <c r="D85" s="111"/>
      <c r="E85" s="111"/>
      <c r="F85" s="543"/>
      <c r="G85" s="543"/>
      <c r="H85" s="545"/>
    </row>
    <row r="86" spans="2:8" s="109" customFormat="1" ht="12.75">
      <c r="B86" s="548"/>
      <c r="C86" s="111"/>
      <c r="D86" s="111" t="s">
        <v>404</v>
      </c>
      <c r="E86" s="111"/>
      <c r="F86" s="547">
        <v>2000</v>
      </c>
      <c r="G86" s="547">
        <v>2000</v>
      </c>
      <c r="H86" s="545">
        <f>+G86/F86-1</f>
        <v>0</v>
      </c>
    </row>
    <row r="87" spans="2:8" s="109" customFormat="1" ht="12.75">
      <c r="B87" s="548"/>
      <c r="C87" s="111"/>
      <c r="D87" s="111" t="s">
        <v>405</v>
      </c>
      <c r="E87" s="111"/>
      <c r="F87" s="547">
        <v>500</v>
      </c>
      <c r="G87" s="547">
        <v>500</v>
      </c>
      <c r="H87" s="545">
        <f>+G87/F87-1</f>
        <v>0</v>
      </c>
    </row>
    <row r="88" spans="2:8" s="109" customFormat="1" ht="12.75">
      <c r="B88" s="548"/>
      <c r="C88" s="111" t="s">
        <v>675</v>
      </c>
      <c r="D88" s="111"/>
      <c r="E88" s="111"/>
      <c r="F88" s="556"/>
      <c r="G88" s="556"/>
      <c r="H88" s="545"/>
    </row>
    <row r="89" spans="2:8" s="109" customFormat="1" ht="12.75">
      <c r="B89" s="548"/>
      <c r="C89" s="111"/>
      <c r="D89" s="111" t="s">
        <v>725</v>
      </c>
      <c r="E89" s="111"/>
      <c r="F89" s="547">
        <v>6500</v>
      </c>
      <c r="G89" s="547">
        <v>7500</v>
      </c>
      <c r="H89" s="545">
        <f>+G89/F89-1</f>
        <v>0.15384615384615374</v>
      </c>
    </row>
    <row r="90" spans="2:8" s="109" customFormat="1" ht="12.75">
      <c r="B90" s="548"/>
      <c r="C90" s="111"/>
      <c r="D90" s="111" t="s">
        <v>726</v>
      </c>
      <c r="E90" s="111"/>
      <c r="F90" s="547">
        <v>6500</v>
      </c>
      <c r="G90" s="547">
        <v>10000</v>
      </c>
      <c r="H90" s="545">
        <f>+G90/F90-1</f>
        <v>0.5384615384615385</v>
      </c>
    </row>
    <row r="91" spans="2:8" s="109" customFormat="1" ht="12.75">
      <c r="B91" s="548"/>
      <c r="C91" s="111"/>
      <c r="D91" s="111" t="s">
        <v>405</v>
      </c>
      <c r="E91" s="111"/>
      <c r="F91" s="547">
        <v>800</v>
      </c>
      <c r="G91" s="547">
        <v>800</v>
      </c>
      <c r="H91" s="545">
        <f>+G91/F91-1</f>
        <v>0</v>
      </c>
    </row>
    <row r="92" spans="2:8" s="109" customFormat="1" ht="12.75">
      <c r="B92" s="548"/>
      <c r="C92" s="111" t="s">
        <v>406</v>
      </c>
      <c r="D92" s="111"/>
      <c r="E92" s="111"/>
      <c r="F92" s="737"/>
      <c r="G92" s="737"/>
      <c r="H92" s="544"/>
    </row>
    <row r="93" spans="2:8" s="109" customFormat="1" ht="12.75">
      <c r="B93" s="548"/>
      <c r="C93" s="111"/>
      <c r="D93" s="111" t="s">
        <v>725</v>
      </c>
      <c r="E93" s="111"/>
      <c r="F93" s="547">
        <v>23500</v>
      </c>
      <c r="G93" s="547">
        <v>25000</v>
      </c>
      <c r="H93" s="545">
        <f>+G93/F93-1</f>
        <v>0.06382978723404253</v>
      </c>
    </row>
    <row r="94" spans="2:8" s="109" customFormat="1" ht="12.75">
      <c r="B94" s="548"/>
      <c r="C94" s="111"/>
      <c r="D94" s="111" t="s">
        <v>726</v>
      </c>
      <c r="E94" s="111"/>
      <c r="F94" s="547">
        <v>23500</v>
      </c>
      <c r="G94" s="547">
        <v>250000</v>
      </c>
      <c r="H94" s="545">
        <f>+G94/F94-1</f>
        <v>9.638297872340425</v>
      </c>
    </row>
    <row r="95" spans="2:8" s="109" customFormat="1" ht="12.75">
      <c r="B95" s="548"/>
      <c r="C95" s="111" t="s">
        <v>407</v>
      </c>
      <c r="D95" s="111"/>
      <c r="E95" s="111"/>
      <c r="F95" s="556"/>
      <c r="G95" s="556"/>
      <c r="H95" s="545"/>
    </row>
    <row r="96" spans="2:8" s="109" customFormat="1" ht="12.75">
      <c r="B96" s="548"/>
      <c r="C96" s="111"/>
      <c r="D96" s="111" t="s">
        <v>408</v>
      </c>
      <c r="E96" s="111"/>
      <c r="F96" s="547">
        <v>2500</v>
      </c>
      <c r="G96" s="547">
        <v>2500</v>
      </c>
      <c r="H96" s="545">
        <f>+G96/F96-1</f>
        <v>0</v>
      </c>
    </row>
    <row r="97" spans="2:8" s="109" customFormat="1" ht="12.75">
      <c r="B97" s="548"/>
      <c r="C97" s="111"/>
      <c r="D97" s="111" t="s">
        <v>409</v>
      </c>
      <c r="E97" s="111"/>
      <c r="F97" s="547">
        <v>900</v>
      </c>
      <c r="G97" s="547">
        <v>900</v>
      </c>
      <c r="H97" s="545">
        <f>+G97/F97-1</f>
        <v>0</v>
      </c>
    </row>
    <row r="98" spans="2:7" s="109" customFormat="1" ht="15">
      <c r="B98" s="548"/>
      <c r="C98" s="104" t="s">
        <v>643</v>
      </c>
      <c r="F98" s="543"/>
      <c r="G98" s="543"/>
    </row>
    <row r="99" spans="2:8" s="109" customFormat="1" ht="12.75">
      <c r="B99" s="111" t="s">
        <v>402</v>
      </c>
      <c r="C99" s="548"/>
      <c r="F99" s="547">
        <v>0.34</v>
      </c>
      <c r="G99" s="547">
        <v>0.35</v>
      </c>
      <c r="H99" s="545">
        <f>+G99/F99-1</f>
        <v>0.02941176470588225</v>
      </c>
    </row>
    <row r="100" spans="2:7" s="109" customFormat="1" ht="12.75">
      <c r="B100" s="548"/>
      <c r="C100" s="548"/>
      <c r="F100" s="738"/>
      <c r="G100" s="738"/>
    </row>
    <row r="101" spans="2:7" s="109" customFormat="1" ht="12.75">
      <c r="B101" s="546" t="s">
        <v>469</v>
      </c>
      <c r="C101" s="546"/>
      <c r="D101" s="111"/>
      <c r="E101" s="111"/>
      <c r="F101" s="738"/>
      <c r="G101" s="738"/>
    </row>
    <row r="102" spans="2:8" s="109" customFormat="1" ht="12.75">
      <c r="B102" s="546"/>
      <c r="C102" s="111" t="s">
        <v>474</v>
      </c>
      <c r="D102" s="111"/>
      <c r="E102" s="111"/>
      <c r="F102" s="547">
        <v>0.75</v>
      </c>
      <c r="G102" s="547">
        <v>0.8</v>
      </c>
      <c r="H102" s="545">
        <f>+G102/F102-1</f>
        <v>0.06666666666666665</v>
      </c>
    </row>
    <row r="103" spans="2:8" s="109" customFormat="1" ht="12.75">
      <c r="B103" s="546"/>
      <c r="C103" s="111" t="s">
        <v>475</v>
      </c>
      <c r="D103" s="111"/>
      <c r="E103" s="111"/>
      <c r="F103" s="547">
        <v>0.18</v>
      </c>
      <c r="G103" s="547">
        <v>0.19</v>
      </c>
      <c r="H103" s="545">
        <f>+G103/F103-1</f>
        <v>0.05555555555555558</v>
      </c>
    </row>
    <row r="104" spans="2:8" s="109" customFormat="1" ht="12.75">
      <c r="B104" s="546"/>
      <c r="C104" s="111" t="s">
        <v>471</v>
      </c>
      <c r="D104" s="111"/>
      <c r="E104" s="111"/>
      <c r="F104" s="547">
        <v>0.65</v>
      </c>
      <c r="G104" s="547">
        <v>0.7</v>
      </c>
      <c r="H104" s="545">
        <f>+G104/F104-1</f>
        <v>0.07692307692307687</v>
      </c>
    </row>
    <row r="105" spans="2:8" s="109" customFormat="1" ht="12.75">
      <c r="B105" s="546"/>
      <c r="C105" s="111" t="s">
        <v>472</v>
      </c>
      <c r="D105" s="111"/>
      <c r="E105" s="111"/>
      <c r="F105" s="547">
        <v>0</v>
      </c>
      <c r="G105" s="547">
        <v>0</v>
      </c>
      <c r="H105" s="545"/>
    </row>
    <row r="106" spans="2:8" s="109" customFormat="1" ht="12.75">
      <c r="B106" s="546"/>
      <c r="C106" s="111" t="s">
        <v>477</v>
      </c>
      <c r="D106" s="111"/>
      <c r="E106" s="111"/>
      <c r="F106" s="547">
        <v>0.18</v>
      </c>
      <c r="G106" s="547">
        <v>0.19</v>
      </c>
      <c r="H106" s="545">
        <f>+G106/F106-1</f>
        <v>0.05555555555555558</v>
      </c>
    </row>
    <row r="107" spans="2:8" s="109" customFormat="1" ht="12.75">
      <c r="B107" s="546"/>
      <c r="C107" s="111" t="s">
        <v>478</v>
      </c>
      <c r="D107" s="111"/>
      <c r="E107" s="111"/>
      <c r="F107" s="547">
        <v>0.75</v>
      </c>
      <c r="G107" s="547">
        <v>0.8</v>
      </c>
      <c r="H107" s="545">
        <f>+G107/F107-1</f>
        <v>0.06666666666666665</v>
      </c>
    </row>
    <row r="108" spans="2:8" s="109" customFormat="1" ht="12.75">
      <c r="B108" s="546"/>
      <c r="C108" s="111" t="s">
        <v>479</v>
      </c>
      <c r="D108" s="111"/>
      <c r="E108" s="111"/>
      <c r="F108" s="547">
        <v>0.18</v>
      </c>
      <c r="G108" s="547">
        <v>0.19</v>
      </c>
      <c r="H108" s="545">
        <f>+G108/F108-1</f>
        <v>0.05555555555555558</v>
      </c>
    </row>
    <row r="109" spans="2:8" s="109" customFormat="1" ht="12.75">
      <c r="B109" s="546"/>
      <c r="C109" s="111" t="s">
        <v>610</v>
      </c>
      <c r="D109" s="111"/>
      <c r="E109" s="111"/>
      <c r="F109" s="547">
        <v>0</v>
      </c>
      <c r="G109" s="547">
        <v>0</v>
      </c>
      <c r="H109" s="545"/>
    </row>
    <row r="110" spans="2:7" s="109" customFormat="1" ht="12.75">
      <c r="B110" s="546"/>
      <c r="C110" s="546"/>
      <c r="D110" s="111"/>
      <c r="E110" s="111"/>
      <c r="F110" s="738"/>
      <c r="G110" s="738"/>
    </row>
    <row r="111" spans="2:7" s="109" customFormat="1" ht="12.75">
      <c r="B111" s="548" t="s">
        <v>490</v>
      </c>
      <c r="C111" s="548"/>
      <c r="F111" s="738"/>
      <c r="G111" s="738"/>
    </row>
    <row r="112" spans="2:7" s="109" customFormat="1" ht="15">
      <c r="B112" s="548"/>
      <c r="C112" s="739" t="s">
        <v>414</v>
      </c>
      <c r="F112" s="738"/>
      <c r="G112" s="738"/>
    </row>
    <row r="113" spans="2:8" s="109" customFormat="1" ht="12.75">
      <c r="B113" s="548"/>
      <c r="C113" s="740">
        <v>50</v>
      </c>
      <c r="F113" s="547">
        <v>1.7</v>
      </c>
      <c r="G113" s="547">
        <v>1.75</v>
      </c>
      <c r="H113" s="545">
        <f aca="true" t="shared" si="1" ref="H113:H118">+G113/F113-1</f>
        <v>0.02941176470588247</v>
      </c>
    </row>
    <row r="114" spans="2:8" s="109" customFormat="1" ht="12.75">
      <c r="B114" s="548"/>
      <c r="C114" s="551">
        <v>100</v>
      </c>
      <c r="F114" s="547">
        <v>2.15</v>
      </c>
      <c r="G114" s="547">
        <v>2.25</v>
      </c>
      <c r="H114" s="545">
        <f t="shared" si="1"/>
        <v>0.04651162790697683</v>
      </c>
    </row>
    <row r="115" spans="2:8" s="109" customFormat="1" ht="12.75">
      <c r="B115" s="548"/>
      <c r="C115" s="551">
        <v>200</v>
      </c>
      <c r="F115" s="547">
        <v>2.6</v>
      </c>
      <c r="G115" s="547">
        <v>2.75</v>
      </c>
      <c r="H115" s="545">
        <f t="shared" si="1"/>
        <v>0.05769230769230771</v>
      </c>
    </row>
    <row r="116" spans="2:8" s="109" customFormat="1" ht="12.75">
      <c r="B116" s="548"/>
      <c r="C116" s="551">
        <v>300</v>
      </c>
      <c r="F116" s="547">
        <v>4.6</v>
      </c>
      <c r="G116" s="547">
        <v>4.7</v>
      </c>
      <c r="H116" s="545">
        <f t="shared" si="1"/>
        <v>0.021739130434782705</v>
      </c>
    </row>
    <row r="117" spans="2:8" s="109" customFormat="1" ht="12.75">
      <c r="B117" s="548"/>
      <c r="C117" s="551" t="s">
        <v>70</v>
      </c>
      <c r="F117" s="547">
        <v>0.95</v>
      </c>
      <c r="G117" s="547">
        <v>1</v>
      </c>
      <c r="H117" s="545">
        <f t="shared" si="1"/>
        <v>0.05263157894736836</v>
      </c>
    </row>
    <row r="118" spans="2:8" s="109" customFormat="1" ht="12.75">
      <c r="B118" s="548"/>
      <c r="C118" s="551" t="s">
        <v>376</v>
      </c>
      <c r="F118" s="547">
        <f>+Insurance!K6</f>
        <v>4.06717162143228</v>
      </c>
      <c r="G118" s="547">
        <f>+Insurance!K8</f>
        <v>4.222991579298212</v>
      </c>
      <c r="H118" s="545">
        <f t="shared" si="1"/>
        <v>0.03831162595766213</v>
      </c>
    </row>
    <row r="119" spans="2:8" s="109" customFormat="1" ht="12.75">
      <c r="B119" s="548"/>
      <c r="C119" s="551"/>
      <c r="F119" s="547"/>
      <c r="G119" s="547"/>
      <c r="H119" s="545"/>
    </row>
    <row r="120" spans="2:8" s="109" customFormat="1" ht="15">
      <c r="B120" s="548"/>
      <c r="C120" s="739" t="s">
        <v>270</v>
      </c>
      <c r="D120" s="104"/>
      <c r="E120" s="104"/>
      <c r="F120" s="547"/>
      <c r="G120" s="547"/>
      <c r="H120" s="545"/>
    </row>
    <row r="121" spans="2:8" s="109" customFormat="1" ht="15">
      <c r="B121" s="548"/>
      <c r="C121" s="739" t="s">
        <v>411</v>
      </c>
      <c r="D121" s="104"/>
      <c r="E121" s="104"/>
      <c r="F121" s="547">
        <v>0.75</v>
      </c>
      <c r="G121" s="547">
        <v>0.75</v>
      </c>
      <c r="H121" s="545">
        <f>+G121/F121-1</f>
        <v>0</v>
      </c>
    </row>
    <row r="122" spans="2:8" s="109" customFormat="1" ht="15">
      <c r="B122" s="548"/>
      <c r="C122" s="739" t="s">
        <v>412</v>
      </c>
      <c r="D122" s="104"/>
      <c r="E122" s="104"/>
      <c r="F122" s="547">
        <v>2.1</v>
      </c>
      <c r="G122" s="547">
        <v>2.15</v>
      </c>
      <c r="H122" s="545">
        <f>+G122/F122-1</f>
        <v>0.023809523809523725</v>
      </c>
    </row>
    <row r="123" spans="2:8" s="109" customFormat="1" ht="15">
      <c r="B123" s="548"/>
      <c r="C123" s="741" t="s">
        <v>413</v>
      </c>
      <c r="D123" s="104"/>
      <c r="E123" s="104"/>
      <c r="F123" s="547">
        <v>1.35</v>
      </c>
      <c r="G123" s="547">
        <v>1.4</v>
      </c>
      <c r="H123" s="545">
        <f>+G123/F123-1</f>
        <v>0.03703703703703698</v>
      </c>
    </row>
    <row r="124" spans="2:8" s="109" customFormat="1" ht="12.75">
      <c r="B124" s="548"/>
      <c r="C124" s="551"/>
      <c r="F124" s="547"/>
      <c r="G124" s="547"/>
      <c r="H124" s="545"/>
    </row>
    <row r="125" spans="2:8" s="109" customFormat="1" ht="12.75">
      <c r="B125" s="541" t="s">
        <v>527</v>
      </c>
      <c r="C125" s="541"/>
      <c r="D125" s="542"/>
      <c r="E125" s="542"/>
      <c r="F125" s="742"/>
      <c r="G125" s="742"/>
      <c r="H125" s="542"/>
    </row>
    <row r="126" spans="2:8" s="109" customFormat="1" ht="12.75">
      <c r="B126" s="541"/>
      <c r="C126" s="542" t="s">
        <v>535</v>
      </c>
      <c r="D126" s="542"/>
      <c r="E126" s="542"/>
      <c r="F126" s="742"/>
      <c r="G126" s="742"/>
      <c r="H126" s="542"/>
    </row>
    <row r="127" spans="2:8" s="109" customFormat="1" ht="12.75">
      <c r="B127" s="541"/>
      <c r="C127" s="541"/>
      <c r="D127" s="743">
        <v>700</v>
      </c>
      <c r="E127" s="743"/>
      <c r="F127" s="547">
        <v>0.3</v>
      </c>
      <c r="G127" s="547">
        <v>0.3</v>
      </c>
      <c r="H127" s="545">
        <f>+G127/F127-1</f>
        <v>0</v>
      </c>
    </row>
    <row r="128" spans="2:8" s="109" customFormat="1" ht="12.75">
      <c r="B128" s="541"/>
      <c r="C128" s="542" t="s">
        <v>537</v>
      </c>
      <c r="D128" s="541"/>
      <c r="E128" s="541"/>
      <c r="F128" s="552"/>
      <c r="G128" s="552"/>
      <c r="H128" s="542"/>
    </row>
    <row r="129" spans="2:8" s="109" customFormat="1" ht="12.75">
      <c r="B129" s="541"/>
      <c r="C129" s="541"/>
      <c r="D129" s="744" t="s">
        <v>110</v>
      </c>
      <c r="E129" s="744"/>
      <c r="F129" s="547">
        <v>1.05</v>
      </c>
      <c r="G129" s="547">
        <v>1.1</v>
      </c>
      <c r="H129" s="545">
        <f>+G129/F129-1</f>
        <v>0.04761904761904767</v>
      </c>
    </row>
    <row r="130" spans="2:8" s="109" customFormat="1" ht="12.75">
      <c r="B130" s="541"/>
      <c r="C130" s="541"/>
      <c r="D130" s="744" t="s">
        <v>485</v>
      </c>
      <c r="E130" s="744"/>
      <c r="F130" s="547">
        <v>1.5</v>
      </c>
      <c r="G130" s="547">
        <v>1.5</v>
      </c>
      <c r="H130" s="545">
        <f>+G130/F130-1</f>
        <v>0</v>
      </c>
    </row>
    <row r="131" spans="2:8" s="109" customFormat="1" ht="12.75">
      <c r="B131" s="541"/>
      <c r="C131" s="541"/>
      <c r="D131" s="542" t="s">
        <v>541</v>
      </c>
      <c r="E131" s="542"/>
      <c r="F131" s="547">
        <v>5.2</v>
      </c>
      <c r="G131" s="547">
        <v>5.4</v>
      </c>
      <c r="H131" s="545">
        <f>+G131/F131-1</f>
        <v>0.03846153846153855</v>
      </c>
    </row>
    <row r="132" spans="2:8" s="109" customFormat="1" ht="12.75">
      <c r="B132" s="541"/>
      <c r="C132" s="541"/>
      <c r="D132" s="542"/>
      <c r="E132" s="542"/>
      <c r="F132" s="742"/>
      <c r="G132" s="742"/>
      <c r="H132" s="542"/>
    </row>
    <row r="133" spans="2:8" s="109" customFormat="1" ht="12.75">
      <c r="B133" s="542" t="s">
        <v>548</v>
      </c>
      <c r="C133" s="541"/>
      <c r="D133" s="542"/>
      <c r="E133" s="542"/>
      <c r="F133" s="742"/>
      <c r="G133" s="742"/>
      <c r="H133" s="542"/>
    </row>
    <row r="134" spans="2:8" s="109" customFormat="1" ht="12.75">
      <c r="B134" s="541"/>
      <c r="C134" s="541" t="s">
        <v>550</v>
      </c>
      <c r="D134" s="541"/>
      <c r="E134" s="541"/>
      <c r="F134" s="742"/>
      <c r="G134" s="742"/>
      <c r="H134" s="542"/>
    </row>
    <row r="135" spans="2:8" s="109" customFormat="1" ht="12.75">
      <c r="B135" s="541"/>
      <c r="C135" s="541"/>
      <c r="D135" s="541" t="s">
        <v>554</v>
      </c>
      <c r="E135" s="541"/>
      <c r="F135" s="547">
        <v>0.5</v>
      </c>
      <c r="G135" s="547">
        <v>0.55</v>
      </c>
      <c r="H135" s="545">
        <f>+G135/F135-1</f>
        <v>0.10000000000000009</v>
      </c>
    </row>
    <row r="136" spans="2:8" s="109" customFormat="1" ht="12.75">
      <c r="B136" s="541"/>
      <c r="C136" s="541"/>
      <c r="D136" s="541" t="s">
        <v>555</v>
      </c>
      <c r="E136" s="541"/>
      <c r="F136" s="547">
        <v>1.05</v>
      </c>
      <c r="G136" s="547">
        <v>1.1</v>
      </c>
      <c r="H136" s="545">
        <f>+G136/F136-1</f>
        <v>0.04761904761904767</v>
      </c>
    </row>
    <row r="137" spans="2:8" s="109" customFormat="1" ht="12.75">
      <c r="B137" s="541"/>
      <c r="C137" s="541"/>
      <c r="D137" s="541" t="s">
        <v>556</v>
      </c>
      <c r="E137" s="541"/>
      <c r="F137" s="547">
        <v>1.5</v>
      </c>
      <c r="G137" s="547">
        <v>1.55</v>
      </c>
      <c r="H137" s="545">
        <f>+G137/F137-1</f>
        <v>0.03333333333333344</v>
      </c>
    </row>
    <row r="138" spans="2:8" s="109" customFormat="1" ht="12.75">
      <c r="B138" s="541"/>
      <c r="C138" s="541"/>
      <c r="D138" s="541" t="s">
        <v>557</v>
      </c>
      <c r="E138" s="541"/>
      <c r="F138" s="547">
        <v>2.05</v>
      </c>
      <c r="G138" s="547">
        <v>2.15</v>
      </c>
      <c r="H138" s="545">
        <f>+G138/F138-1</f>
        <v>0.04878048780487809</v>
      </c>
    </row>
    <row r="139" spans="2:8" s="109" customFormat="1" ht="12.75">
      <c r="B139" s="541"/>
      <c r="C139" s="541"/>
      <c r="D139" s="542"/>
      <c r="E139" s="542"/>
      <c r="F139" s="552"/>
      <c r="G139" s="552"/>
      <c r="H139" s="542"/>
    </row>
    <row r="140" spans="2:8" s="109" customFormat="1" ht="12.75">
      <c r="B140" s="541" t="s">
        <v>644</v>
      </c>
      <c r="C140" s="541"/>
      <c r="D140" s="542"/>
      <c r="E140" s="542"/>
      <c r="F140" s="552"/>
      <c r="G140" s="552"/>
      <c r="H140" s="542"/>
    </row>
    <row r="141" spans="2:8" s="109" customFormat="1" ht="12.75">
      <c r="B141" s="541"/>
      <c r="C141" s="111" t="s">
        <v>559</v>
      </c>
      <c r="D141" s="542"/>
      <c r="E141" s="542"/>
      <c r="F141" s="547">
        <v>510</v>
      </c>
      <c r="G141" s="547">
        <v>540</v>
      </c>
      <c r="H141" s="545">
        <f>+G141/F141-1</f>
        <v>0.05882352941176472</v>
      </c>
    </row>
    <row r="142" spans="2:8" s="109" customFormat="1" ht="12.75">
      <c r="B142" s="541"/>
      <c r="C142" s="111" t="s">
        <v>561</v>
      </c>
      <c r="D142" s="542"/>
      <c r="E142" s="542"/>
      <c r="F142" s="547">
        <v>60</v>
      </c>
      <c r="G142" s="547">
        <v>65</v>
      </c>
      <c r="H142" s="545">
        <f>+G142/F142-1</f>
        <v>0.08333333333333326</v>
      </c>
    </row>
    <row r="143" spans="2:8" s="109" customFormat="1" ht="12.75">
      <c r="B143" s="541"/>
      <c r="C143" s="111" t="s">
        <v>562</v>
      </c>
      <c r="D143" s="542"/>
      <c r="E143" s="542"/>
      <c r="F143" s="547">
        <v>80</v>
      </c>
      <c r="G143" s="547">
        <v>85</v>
      </c>
      <c r="H143" s="545">
        <f>+G143/F143-1</f>
        <v>0.0625</v>
      </c>
    </row>
    <row r="144" spans="2:8" s="109" customFormat="1" ht="12.75">
      <c r="B144" s="541"/>
      <c r="C144" s="111" t="s">
        <v>565</v>
      </c>
      <c r="D144" s="542"/>
      <c r="E144" s="542"/>
      <c r="F144" s="547">
        <v>50</v>
      </c>
      <c r="G144" s="547">
        <v>55</v>
      </c>
      <c r="H144" s="545">
        <f>+G144/F144-1</f>
        <v>0.10000000000000009</v>
      </c>
    </row>
    <row r="145" spans="2:8" s="109" customFormat="1" ht="12.75">
      <c r="B145" s="541"/>
      <c r="C145" s="111"/>
      <c r="D145" s="542"/>
      <c r="E145" s="542"/>
      <c r="F145" s="745"/>
      <c r="G145" s="745"/>
      <c r="H145" s="545"/>
    </row>
    <row r="146" spans="2:8" s="109" customFormat="1" ht="12.75">
      <c r="B146" s="541" t="s">
        <v>374</v>
      </c>
      <c r="C146" s="111"/>
      <c r="D146" s="542"/>
      <c r="E146" s="542"/>
      <c r="F146" s="745"/>
      <c r="G146" s="745"/>
      <c r="H146" s="545"/>
    </row>
    <row r="147" spans="2:8" s="109" customFormat="1" ht="12.75">
      <c r="B147" s="541"/>
      <c r="C147" s="111" t="s">
        <v>357</v>
      </c>
      <c r="D147" s="542"/>
      <c r="E147" s="542"/>
      <c r="F147" s="745"/>
      <c r="G147" s="745"/>
      <c r="H147" s="545"/>
    </row>
    <row r="148" spans="2:8" s="109" customFormat="1" ht="12.75">
      <c r="B148" s="541"/>
      <c r="C148" s="111"/>
      <c r="D148" s="542">
        <v>1</v>
      </c>
      <c r="E148" s="542"/>
      <c r="F148" s="547">
        <v>43</v>
      </c>
      <c r="G148" s="547">
        <v>46</v>
      </c>
      <c r="H148" s="545">
        <f aca="true" t="shared" si="2" ref="H148:H186">+G148/F148-1</f>
        <v>0.06976744186046502</v>
      </c>
    </row>
    <row r="149" spans="2:8" s="109" customFormat="1" ht="12.75">
      <c r="B149" s="541"/>
      <c r="C149" s="111"/>
      <c r="D149" s="542">
        <v>2</v>
      </c>
      <c r="E149" s="542"/>
      <c r="F149" s="547">
        <v>36</v>
      </c>
      <c r="G149" s="547">
        <v>36</v>
      </c>
      <c r="H149" s="545">
        <f t="shared" si="2"/>
        <v>0</v>
      </c>
    </row>
    <row r="150" spans="2:8" s="109" customFormat="1" ht="12.75">
      <c r="B150" s="541"/>
      <c r="C150" s="111"/>
      <c r="D150" s="542">
        <v>3</v>
      </c>
      <c r="E150" s="542"/>
      <c r="F150" s="547">
        <v>29</v>
      </c>
      <c r="G150" s="547">
        <v>30</v>
      </c>
      <c r="H150" s="545">
        <f t="shared" si="2"/>
        <v>0.034482758620689724</v>
      </c>
    </row>
    <row r="151" spans="2:8" s="109" customFormat="1" ht="12.75">
      <c r="B151" s="541"/>
      <c r="C151" s="111"/>
      <c r="D151" s="542">
        <v>4</v>
      </c>
      <c r="E151" s="542"/>
      <c r="F151" s="547">
        <v>21</v>
      </c>
      <c r="G151" s="547">
        <v>22</v>
      </c>
      <c r="H151" s="545">
        <f t="shared" si="2"/>
        <v>0.04761904761904767</v>
      </c>
    </row>
    <row r="152" spans="2:8" s="109" customFormat="1" ht="12.75">
      <c r="B152" s="541"/>
      <c r="C152" s="111"/>
      <c r="D152" s="542">
        <v>5</v>
      </c>
      <c r="E152" s="542"/>
      <c r="F152" s="547">
        <v>19</v>
      </c>
      <c r="G152" s="547">
        <v>20</v>
      </c>
      <c r="H152" s="545">
        <f t="shared" si="2"/>
        <v>0.05263157894736836</v>
      </c>
    </row>
    <row r="153" spans="2:8" s="109" customFormat="1" ht="12.75">
      <c r="B153" s="541"/>
      <c r="C153" s="111"/>
      <c r="D153" s="542">
        <v>6</v>
      </c>
      <c r="E153" s="542"/>
      <c r="F153" s="547">
        <v>13</v>
      </c>
      <c r="G153" s="547">
        <v>14</v>
      </c>
      <c r="H153" s="545">
        <f t="shared" si="2"/>
        <v>0.07692307692307687</v>
      </c>
    </row>
    <row r="154" spans="2:8" s="109" customFormat="1" ht="12.75">
      <c r="B154" s="541"/>
      <c r="C154" s="111"/>
      <c r="D154" s="542">
        <v>7</v>
      </c>
      <c r="E154" s="542"/>
      <c r="F154" s="547">
        <v>10</v>
      </c>
      <c r="G154" s="547">
        <v>12</v>
      </c>
      <c r="H154" s="545">
        <f t="shared" si="2"/>
        <v>0.19999999999999996</v>
      </c>
    </row>
    <row r="155" spans="2:8" s="109" customFormat="1" ht="12.75">
      <c r="B155" s="541"/>
      <c r="C155" s="111" t="s">
        <v>358</v>
      </c>
      <c r="D155" s="542"/>
      <c r="E155" s="542"/>
      <c r="F155" s="745"/>
      <c r="G155" s="745"/>
      <c r="H155" s="545"/>
    </row>
    <row r="156" spans="2:8" s="109" customFormat="1" ht="12.75">
      <c r="B156" s="541"/>
      <c r="C156" s="111"/>
      <c r="D156" s="542">
        <v>1</v>
      </c>
      <c r="E156" s="542"/>
      <c r="F156" s="547">
        <v>66</v>
      </c>
      <c r="G156" s="547">
        <v>70</v>
      </c>
      <c r="H156" s="545">
        <f t="shared" si="2"/>
        <v>0.06060606060606055</v>
      </c>
    </row>
    <row r="157" spans="2:8" s="109" customFormat="1" ht="12.75">
      <c r="B157" s="541"/>
      <c r="C157" s="111"/>
      <c r="D157" s="542">
        <v>2</v>
      </c>
      <c r="E157" s="542"/>
      <c r="F157" s="547">
        <v>56</v>
      </c>
      <c r="G157" s="547">
        <v>58</v>
      </c>
      <c r="H157" s="545">
        <f t="shared" si="2"/>
        <v>0.03571428571428581</v>
      </c>
    </row>
    <row r="158" spans="2:8" s="109" customFormat="1" ht="12.75">
      <c r="B158" s="541"/>
      <c r="C158" s="111"/>
      <c r="D158" s="542">
        <v>3</v>
      </c>
      <c r="E158" s="542"/>
      <c r="F158" s="547">
        <v>47</v>
      </c>
      <c r="G158" s="547">
        <v>48</v>
      </c>
      <c r="H158" s="545">
        <f t="shared" si="2"/>
        <v>0.02127659574468077</v>
      </c>
    </row>
    <row r="159" spans="2:8" s="109" customFormat="1" ht="12.75">
      <c r="B159" s="541"/>
      <c r="C159" s="111"/>
      <c r="D159" s="542">
        <v>4</v>
      </c>
      <c r="E159" s="542"/>
      <c r="F159" s="547">
        <v>35</v>
      </c>
      <c r="G159" s="547">
        <v>35</v>
      </c>
      <c r="H159" s="545">
        <f t="shared" si="2"/>
        <v>0</v>
      </c>
    </row>
    <row r="160" spans="2:8" s="109" customFormat="1" ht="12.75">
      <c r="B160" s="541"/>
      <c r="C160" s="111"/>
      <c r="D160" s="542">
        <v>5</v>
      </c>
      <c r="E160" s="542"/>
      <c r="F160" s="547">
        <v>27</v>
      </c>
      <c r="G160" s="547">
        <v>28</v>
      </c>
      <c r="H160" s="545">
        <f t="shared" si="2"/>
        <v>0.03703703703703698</v>
      </c>
    </row>
    <row r="161" spans="2:8" s="109" customFormat="1" ht="12.75">
      <c r="B161" s="541"/>
      <c r="C161" s="111"/>
      <c r="D161" s="542">
        <v>6</v>
      </c>
      <c r="E161" s="542"/>
      <c r="F161" s="547">
        <v>21</v>
      </c>
      <c r="G161" s="547">
        <v>22</v>
      </c>
      <c r="H161" s="545">
        <f t="shared" si="2"/>
        <v>0.04761904761904767</v>
      </c>
    </row>
    <row r="162" spans="2:8" s="109" customFormat="1" ht="12.75">
      <c r="B162" s="541"/>
      <c r="C162" s="111"/>
      <c r="D162" s="542">
        <v>7</v>
      </c>
      <c r="E162" s="542"/>
      <c r="F162" s="547">
        <v>16</v>
      </c>
      <c r="G162" s="547">
        <v>18</v>
      </c>
      <c r="H162" s="545">
        <f t="shared" si="2"/>
        <v>0.125</v>
      </c>
    </row>
    <row r="163" spans="2:8" s="109" customFormat="1" ht="12.75">
      <c r="B163" s="541"/>
      <c r="C163" s="111" t="s">
        <v>359</v>
      </c>
      <c r="D163" s="542"/>
      <c r="E163" s="542"/>
      <c r="F163" s="745"/>
      <c r="G163" s="745"/>
      <c r="H163" s="545"/>
    </row>
    <row r="164" spans="2:8" s="109" customFormat="1" ht="12.75">
      <c r="B164" s="541"/>
      <c r="C164" s="111"/>
      <c r="D164" s="542">
        <v>1</v>
      </c>
      <c r="E164" s="542"/>
      <c r="F164" s="547">
        <v>120</v>
      </c>
      <c r="G164" s="547">
        <v>125</v>
      </c>
      <c r="H164" s="545">
        <f t="shared" si="2"/>
        <v>0.04166666666666674</v>
      </c>
    </row>
    <row r="165" spans="2:8" s="109" customFormat="1" ht="12.75">
      <c r="B165" s="541"/>
      <c r="C165" s="111"/>
      <c r="D165" s="542">
        <v>2</v>
      </c>
      <c r="E165" s="542"/>
      <c r="F165" s="547">
        <v>95</v>
      </c>
      <c r="G165" s="547">
        <v>100</v>
      </c>
      <c r="H165" s="545">
        <f t="shared" si="2"/>
        <v>0.05263157894736836</v>
      </c>
    </row>
    <row r="166" spans="2:8" s="109" customFormat="1" ht="12.75">
      <c r="B166" s="541"/>
      <c r="C166" s="111"/>
      <c r="D166" s="542">
        <v>3</v>
      </c>
      <c r="E166" s="542"/>
      <c r="F166" s="547">
        <v>85</v>
      </c>
      <c r="G166" s="547">
        <v>88</v>
      </c>
      <c r="H166" s="545">
        <f t="shared" si="2"/>
        <v>0.03529411764705892</v>
      </c>
    </row>
    <row r="167" spans="2:8" s="109" customFormat="1" ht="12.75">
      <c r="B167" s="541"/>
      <c r="C167" s="111"/>
      <c r="D167" s="542">
        <v>4</v>
      </c>
      <c r="E167" s="542"/>
      <c r="F167" s="547">
        <v>53</v>
      </c>
      <c r="G167" s="547">
        <v>55</v>
      </c>
      <c r="H167" s="545">
        <f t="shared" si="2"/>
        <v>0.037735849056603765</v>
      </c>
    </row>
    <row r="168" spans="2:8" s="109" customFormat="1" ht="12.75">
      <c r="B168" s="541"/>
      <c r="C168" s="111"/>
      <c r="D168" s="542">
        <v>5</v>
      </c>
      <c r="E168" s="542"/>
      <c r="F168" s="547">
        <v>49</v>
      </c>
      <c r="G168" s="547">
        <v>50</v>
      </c>
      <c r="H168" s="545">
        <f t="shared" si="2"/>
        <v>0.020408163265306145</v>
      </c>
    </row>
    <row r="169" spans="2:8" s="109" customFormat="1" ht="12.75">
      <c r="B169" s="541"/>
      <c r="C169" s="111"/>
      <c r="D169" s="542">
        <v>6</v>
      </c>
      <c r="E169" s="542"/>
      <c r="F169" s="547">
        <v>36</v>
      </c>
      <c r="G169" s="547">
        <v>38</v>
      </c>
      <c r="H169" s="545">
        <f t="shared" si="2"/>
        <v>0.05555555555555558</v>
      </c>
    </row>
    <row r="170" spans="2:8" s="109" customFormat="1" ht="12.75">
      <c r="B170" s="541"/>
      <c r="C170" s="111"/>
      <c r="D170" s="542">
        <v>7</v>
      </c>
      <c r="E170" s="542"/>
      <c r="F170" s="547">
        <v>29</v>
      </c>
      <c r="G170" s="547">
        <v>30</v>
      </c>
      <c r="H170" s="545">
        <f t="shared" si="2"/>
        <v>0.034482758620689724</v>
      </c>
    </row>
    <row r="171" spans="2:8" s="109" customFormat="1" ht="12.75">
      <c r="B171" s="541"/>
      <c r="C171" s="111" t="s">
        <v>360</v>
      </c>
      <c r="D171" s="542"/>
      <c r="E171" s="542"/>
      <c r="F171" s="745"/>
      <c r="G171" s="745"/>
      <c r="H171" s="545"/>
    </row>
    <row r="172" spans="2:8" s="109" customFormat="1" ht="12.75">
      <c r="B172" s="541"/>
      <c r="C172" s="111"/>
      <c r="D172" s="542">
        <v>1</v>
      </c>
      <c r="E172" s="542"/>
      <c r="F172" s="547">
        <v>247</v>
      </c>
      <c r="G172" s="547">
        <v>255</v>
      </c>
      <c r="H172" s="545">
        <f t="shared" si="2"/>
        <v>0.03238866396761142</v>
      </c>
    </row>
    <row r="173" spans="2:8" s="109" customFormat="1" ht="12.75">
      <c r="B173" s="541"/>
      <c r="C173" s="111"/>
      <c r="D173" s="542">
        <v>2</v>
      </c>
      <c r="E173" s="542"/>
      <c r="F173" s="547">
        <v>187</v>
      </c>
      <c r="G173" s="547">
        <v>195</v>
      </c>
      <c r="H173" s="545">
        <f t="shared" si="2"/>
        <v>0.04278074866310155</v>
      </c>
    </row>
    <row r="174" spans="2:8" s="109" customFormat="1" ht="12.75">
      <c r="B174" s="541"/>
      <c r="C174" s="111"/>
      <c r="D174" s="542">
        <v>3</v>
      </c>
      <c r="E174" s="542"/>
      <c r="F174" s="547">
        <v>153</v>
      </c>
      <c r="G174" s="547">
        <v>160</v>
      </c>
      <c r="H174" s="545">
        <f t="shared" si="2"/>
        <v>0.045751633986928164</v>
      </c>
    </row>
    <row r="175" spans="2:8" s="109" customFormat="1" ht="12.75">
      <c r="B175" s="541"/>
      <c r="C175" s="111"/>
      <c r="D175" s="542">
        <v>4</v>
      </c>
      <c r="E175" s="542"/>
      <c r="F175" s="547">
        <v>104</v>
      </c>
      <c r="G175" s="547">
        <v>110</v>
      </c>
      <c r="H175" s="545">
        <f t="shared" si="2"/>
        <v>0.05769230769230771</v>
      </c>
    </row>
    <row r="176" spans="2:8" s="109" customFormat="1" ht="12.75">
      <c r="B176" s="541"/>
      <c r="C176" s="111"/>
      <c r="D176" s="542">
        <v>5</v>
      </c>
      <c r="E176" s="542"/>
      <c r="F176" s="547">
        <v>90</v>
      </c>
      <c r="G176" s="547">
        <v>90</v>
      </c>
      <c r="H176" s="545">
        <f t="shared" si="2"/>
        <v>0</v>
      </c>
    </row>
    <row r="177" spans="2:8" s="109" customFormat="1" ht="12.75">
      <c r="B177" s="541"/>
      <c r="C177" s="111"/>
      <c r="D177" s="542">
        <v>6</v>
      </c>
      <c r="E177" s="542"/>
      <c r="F177" s="547">
        <v>63</v>
      </c>
      <c r="G177" s="547">
        <v>65</v>
      </c>
      <c r="H177" s="545">
        <f t="shared" si="2"/>
        <v>0.031746031746031855</v>
      </c>
    </row>
    <row r="178" spans="2:8" s="109" customFormat="1" ht="12.75">
      <c r="B178" s="541"/>
      <c r="C178" s="111"/>
      <c r="D178" s="542">
        <v>7</v>
      </c>
      <c r="E178" s="542"/>
      <c r="F178" s="547">
        <v>49</v>
      </c>
      <c r="G178" s="547">
        <v>50</v>
      </c>
      <c r="H178" s="545">
        <f t="shared" si="2"/>
        <v>0.020408163265306145</v>
      </c>
    </row>
    <row r="179" spans="2:8" s="109" customFormat="1" ht="12.75">
      <c r="B179" s="541"/>
      <c r="C179" s="111" t="s">
        <v>361</v>
      </c>
      <c r="D179" s="542"/>
      <c r="E179" s="542"/>
      <c r="F179" s="745"/>
      <c r="G179" s="745"/>
      <c r="H179" s="545"/>
    </row>
    <row r="180" spans="2:8" s="109" customFormat="1" ht="12.75">
      <c r="B180" s="541"/>
      <c r="C180" s="111"/>
      <c r="D180" s="542">
        <v>1</v>
      </c>
      <c r="E180" s="542"/>
      <c r="F180" s="547">
        <v>398</v>
      </c>
      <c r="G180" s="547">
        <v>410</v>
      </c>
      <c r="H180" s="545">
        <f t="shared" si="2"/>
        <v>0.03015075376884413</v>
      </c>
    </row>
    <row r="181" spans="2:8" s="109" customFormat="1" ht="12.75">
      <c r="B181" s="541"/>
      <c r="C181" s="111"/>
      <c r="D181" s="542">
        <v>2</v>
      </c>
      <c r="E181" s="542"/>
      <c r="F181" s="547">
        <v>333</v>
      </c>
      <c r="G181" s="547">
        <v>350</v>
      </c>
      <c r="H181" s="545">
        <f t="shared" si="2"/>
        <v>0.05105105105105112</v>
      </c>
    </row>
    <row r="182" spans="2:8" s="109" customFormat="1" ht="12.75">
      <c r="B182" s="541"/>
      <c r="C182" s="111"/>
      <c r="D182" s="542">
        <v>3</v>
      </c>
      <c r="E182" s="542"/>
      <c r="F182" s="547">
        <v>255</v>
      </c>
      <c r="G182" s="547">
        <v>270</v>
      </c>
      <c r="H182" s="545">
        <f t="shared" si="2"/>
        <v>0.05882352941176472</v>
      </c>
    </row>
    <row r="183" spans="2:8" s="109" customFormat="1" ht="12.75">
      <c r="B183" s="541"/>
      <c r="C183" s="111"/>
      <c r="D183" s="542">
        <v>4</v>
      </c>
      <c r="E183" s="542"/>
      <c r="F183" s="547">
        <v>200</v>
      </c>
      <c r="G183" s="547">
        <v>205</v>
      </c>
      <c r="H183" s="545">
        <f t="shared" si="2"/>
        <v>0.02499999999999991</v>
      </c>
    </row>
    <row r="184" spans="2:8" s="109" customFormat="1" ht="12.75">
      <c r="B184" s="541"/>
      <c r="C184" s="111"/>
      <c r="D184" s="542">
        <v>5</v>
      </c>
      <c r="E184" s="542"/>
      <c r="F184" s="547">
        <v>151</v>
      </c>
      <c r="G184" s="547">
        <v>155</v>
      </c>
      <c r="H184" s="545">
        <f t="shared" si="2"/>
        <v>0.026490066225165476</v>
      </c>
    </row>
    <row r="185" spans="2:8" s="109" customFormat="1" ht="12.75">
      <c r="B185" s="541"/>
      <c r="C185" s="111"/>
      <c r="D185" s="542">
        <v>6</v>
      </c>
      <c r="E185" s="542"/>
      <c r="F185" s="547">
        <v>112</v>
      </c>
      <c r="G185" s="547">
        <v>115</v>
      </c>
      <c r="H185" s="545">
        <f t="shared" si="2"/>
        <v>0.02678571428571419</v>
      </c>
    </row>
    <row r="186" spans="2:8" s="109" customFormat="1" ht="12.75">
      <c r="B186" s="541"/>
      <c r="C186" s="111"/>
      <c r="D186" s="542">
        <v>7</v>
      </c>
      <c r="E186" s="542"/>
      <c r="F186" s="547">
        <v>87</v>
      </c>
      <c r="G186" s="547">
        <v>90</v>
      </c>
      <c r="H186" s="545">
        <f t="shared" si="2"/>
        <v>0.034482758620689724</v>
      </c>
    </row>
    <row r="187" spans="2:8" s="109" customFormat="1" ht="12.75">
      <c r="B187" s="541"/>
      <c r="C187" s="111"/>
      <c r="D187" s="542"/>
      <c r="E187" s="542"/>
      <c r="F187" s="547"/>
      <c r="G187" s="547"/>
      <c r="H187" s="545"/>
    </row>
    <row r="188" spans="2:8" s="109" customFormat="1" ht="12.75">
      <c r="B188" s="541" t="s">
        <v>364</v>
      </c>
      <c r="C188" s="111"/>
      <c r="D188" s="542"/>
      <c r="E188" s="542"/>
      <c r="F188" s="746">
        <v>1</v>
      </c>
      <c r="G188" s="547">
        <v>1</v>
      </c>
      <c r="H188" s="545">
        <f>+G188/F188-1</f>
        <v>0</v>
      </c>
    </row>
    <row r="189" spans="2:8" s="109" customFormat="1" ht="12.75">
      <c r="B189" s="541" t="s">
        <v>688</v>
      </c>
      <c r="C189" s="111"/>
      <c r="D189" s="542"/>
      <c r="E189" s="542"/>
      <c r="F189" s="746">
        <v>6</v>
      </c>
      <c r="G189" s="746">
        <v>6</v>
      </c>
      <c r="H189" s="545">
        <f>+G189/F189-1</f>
        <v>0</v>
      </c>
    </row>
    <row r="190" spans="2:8" s="109" customFormat="1" ht="12.75">
      <c r="B190" s="541" t="s">
        <v>689</v>
      </c>
      <c r="C190" s="111"/>
      <c r="D190" s="542"/>
      <c r="E190" s="542"/>
      <c r="F190" s="746">
        <v>14</v>
      </c>
      <c r="G190" s="746">
        <v>15</v>
      </c>
      <c r="H190" s="545">
        <f>+G190/F190-1</f>
        <v>0.0714285714285714</v>
      </c>
    </row>
    <row r="191" spans="2:8" s="109" customFormat="1" ht="13.5" customHeight="1">
      <c r="B191" s="541"/>
      <c r="C191" s="541"/>
      <c r="D191" s="542"/>
      <c r="E191" s="542"/>
      <c r="F191" s="552"/>
      <c r="G191" s="552"/>
      <c r="H191" s="542"/>
    </row>
    <row r="192" spans="2:8" s="109" customFormat="1" ht="12.75">
      <c r="B192" s="111" t="s">
        <v>718</v>
      </c>
      <c r="C192" s="541"/>
      <c r="D192" s="542"/>
      <c r="E192" s="542"/>
      <c r="F192" s="547">
        <f>+'Premium Stamped Cards'!C6/'Premium Stamped Cards'!C8</f>
        <v>7.725826103908763</v>
      </c>
      <c r="G192" s="547">
        <f>+(1+1/27)*F192</f>
        <v>8.01196781146094</v>
      </c>
      <c r="H192" s="545">
        <f>+G192/F192-1</f>
        <v>0.03703703703703698</v>
      </c>
    </row>
    <row r="193" spans="2:8" s="109" customFormat="1" ht="12.75">
      <c r="B193" s="111"/>
      <c r="C193" s="541"/>
      <c r="D193" s="542"/>
      <c r="E193" s="542"/>
      <c r="F193" s="547"/>
      <c r="G193" s="547"/>
      <c r="H193" s="545"/>
    </row>
    <row r="194" spans="2:8" s="109" customFormat="1" ht="12.75">
      <c r="B194" s="111" t="s">
        <v>719</v>
      </c>
      <c r="C194" s="541"/>
      <c r="D194" s="542"/>
      <c r="E194" s="542"/>
      <c r="F194" s="547">
        <f>+'Premium Stamped Stationery'!C6/'Premium Stamped Stationery'!C8</f>
        <v>10.668324607329843</v>
      </c>
      <c r="G194" s="547">
        <f>+(1+0.0476190476190476)*F194</f>
        <v>11.17634006482174</v>
      </c>
      <c r="H194" s="545">
        <f>+G194/F194-1</f>
        <v>0.04761904761904767</v>
      </c>
    </row>
    <row r="195" spans="2:8" s="109" customFormat="1" ht="12.75">
      <c r="B195" s="541"/>
      <c r="C195" s="541"/>
      <c r="D195" s="542"/>
      <c r="E195" s="542"/>
      <c r="F195" s="552"/>
      <c r="G195" s="552"/>
      <c r="H195" s="542"/>
    </row>
    <row r="196" spans="2:8" s="109" customFormat="1" ht="12.75">
      <c r="B196" s="111" t="s">
        <v>572</v>
      </c>
      <c r="C196" s="541"/>
      <c r="D196" s="542"/>
      <c r="E196" s="542"/>
      <c r="F196" s="552"/>
      <c r="G196" s="552"/>
      <c r="H196" s="542"/>
    </row>
    <row r="197" spans="2:10" s="109" customFormat="1" ht="12.75">
      <c r="B197" s="553"/>
      <c r="C197" s="554" t="s">
        <v>575</v>
      </c>
      <c r="D197" s="555"/>
      <c r="E197" s="555"/>
      <c r="F197" s="547">
        <v>10.8</v>
      </c>
      <c r="G197" s="547">
        <v>11.5</v>
      </c>
      <c r="H197" s="545">
        <f aca="true" t="shared" si="3" ref="H197:H202">+G197/F197-1</f>
        <v>0.06481481481481466</v>
      </c>
      <c r="J197" s="547"/>
    </row>
    <row r="198" spans="2:10" s="109" customFormat="1" ht="12.75">
      <c r="B198" s="553"/>
      <c r="C198" s="557">
        <v>500</v>
      </c>
      <c r="D198" s="555"/>
      <c r="E198" s="555"/>
      <c r="F198" s="547">
        <v>12.1</v>
      </c>
      <c r="G198" s="547">
        <v>13.1</v>
      </c>
      <c r="H198" s="545">
        <f t="shared" si="3"/>
        <v>0.0826446280991735</v>
      </c>
      <c r="J198" s="547"/>
    </row>
    <row r="199" spans="2:10" s="109" customFormat="1" ht="12.75">
      <c r="B199" s="553"/>
      <c r="C199" s="557" t="s">
        <v>71</v>
      </c>
      <c r="D199" s="555"/>
      <c r="E199" s="555"/>
      <c r="F199" s="547">
        <v>1.2</v>
      </c>
      <c r="G199" s="547">
        <v>1.35</v>
      </c>
      <c r="H199" s="545">
        <f t="shared" si="3"/>
        <v>0.12500000000000022</v>
      </c>
      <c r="J199" s="547"/>
    </row>
    <row r="200" spans="2:10" s="109" customFormat="1" ht="12.75">
      <c r="B200" s="553"/>
      <c r="C200" s="558" t="s">
        <v>645</v>
      </c>
      <c r="D200" s="555"/>
      <c r="E200" s="555"/>
      <c r="F200" s="547">
        <f>+F199</f>
        <v>1.2</v>
      </c>
      <c r="G200" s="547">
        <f>+G199</f>
        <v>1.35</v>
      </c>
      <c r="H200" s="545">
        <f t="shared" si="3"/>
        <v>0.12500000000000022</v>
      </c>
      <c r="J200" s="547"/>
    </row>
    <row r="201" spans="2:10" s="109" customFormat="1" ht="12.75">
      <c r="B201" s="553"/>
      <c r="C201" s="559" t="s">
        <v>583</v>
      </c>
      <c r="D201" s="555"/>
      <c r="E201" s="555"/>
      <c r="F201" s="547">
        <v>10</v>
      </c>
      <c r="G201" s="547">
        <v>10.6</v>
      </c>
      <c r="H201" s="545">
        <f t="shared" si="3"/>
        <v>0.06000000000000005</v>
      </c>
      <c r="J201" s="547"/>
    </row>
    <row r="202" spans="2:10" s="109" customFormat="1" ht="15">
      <c r="B202" s="553"/>
      <c r="C202" s="548" t="s">
        <v>680</v>
      </c>
      <c r="D202" s="555"/>
      <c r="E202" s="555"/>
      <c r="F202" s="560">
        <f>+'Registered Mail'!J17</f>
        <v>136.3411141049672</v>
      </c>
      <c r="G202" s="547">
        <f>+'Registered Mail'!J19</f>
        <v>149.194584039643</v>
      </c>
      <c r="H202" s="545">
        <f t="shared" si="3"/>
        <v>0.0942743501771599</v>
      </c>
      <c r="J202" s="547"/>
    </row>
    <row r="203" spans="2:10" s="109" customFormat="1" ht="15">
      <c r="B203" s="553"/>
      <c r="C203" s="548" t="s">
        <v>376</v>
      </c>
      <c r="D203" s="555"/>
      <c r="E203" s="555"/>
      <c r="F203" s="560">
        <f>+'Registered Mail'!J23</f>
        <v>13.046758453773407</v>
      </c>
      <c r="G203" s="547">
        <f>+'Registered Mail'!J24</f>
        <v>14.276733128921263</v>
      </c>
      <c r="H203" s="545">
        <f>+G203/F203-1</f>
        <v>0.0942743501771599</v>
      </c>
      <c r="J203" s="547"/>
    </row>
    <row r="204" spans="2:8" s="109" customFormat="1" ht="15">
      <c r="B204" s="553"/>
      <c r="C204" s="548"/>
      <c r="D204" s="555"/>
      <c r="E204" s="555"/>
      <c r="F204" s="126"/>
      <c r="G204" s="126"/>
      <c r="H204" s="542"/>
    </row>
    <row r="205" spans="2:8" s="109" customFormat="1" ht="12.75">
      <c r="B205" s="111" t="s">
        <v>571</v>
      </c>
      <c r="C205" s="548"/>
      <c r="D205" s="555"/>
      <c r="E205" s="555"/>
      <c r="F205" s="547">
        <v>39</v>
      </c>
      <c r="G205" s="547">
        <v>40</v>
      </c>
      <c r="H205" s="545">
        <f>+G205/F205-1</f>
        <v>0.02564102564102555</v>
      </c>
    </row>
    <row r="206" spans="2:8" s="109" customFormat="1" ht="15">
      <c r="B206" s="553"/>
      <c r="C206" s="548"/>
      <c r="D206" s="555"/>
      <c r="E206" s="555"/>
      <c r="F206" s="126"/>
      <c r="G206" s="126"/>
      <c r="H206" s="542"/>
    </row>
    <row r="207" spans="2:8" s="109" customFormat="1" ht="12.75">
      <c r="B207" s="111" t="s">
        <v>442</v>
      </c>
      <c r="C207" s="553"/>
      <c r="D207" s="555"/>
      <c r="E207" s="555"/>
      <c r="F207" s="547">
        <v>4.3</v>
      </c>
      <c r="G207" s="547">
        <v>4.5</v>
      </c>
      <c r="H207" s="545">
        <f>+G207/F207-1</f>
        <v>0.04651162790697683</v>
      </c>
    </row>
    <row r="208" spans="2:8" s="109" customFormat="1" ht="12.75">
      <c r="B208" s="553"/>
      <c r="C208" s="553"/>
      <c r="D208" s="555"/>
      <c r="E208" s="555"/>
      <c r="F208" s="552"/>
      <c r="G208" s="552"/>
      <c r="H208" s="542"/>
    </row>
    <row r="209" spans="2:7" s="542" customFormat="1" ht="12.75">
      <c r="B209" s="542" t="s">
        <v>497</v>
      </c>
      <c r="C209" s="553"/>
      <c r="D209" s="555"/>
      <c r="E209" s="555"/>
      <c r="F209" s="552"/>
      <c r="G209" s="552"/>
    </row>
    <row r="210" spans="2:7" s="542" customFormat="1" ht="12.75">
      <c r="B210" s="553"/>
      <c r="C210" s="747" t="s">
        <v>591</v>
      </c>
      <c r="F210" s="552"/>
      <c r="G210" s="552"/>
    </row>
    <row r="211" spans="2:8" s="542" customFormat="1" ht="12.75">
      <c r="B211" s="553"/>
      <c r="D211" s="542" t="s">
        <v>592</v>
      </c>
      <c r="F211" s="547">
        <v>1</v>
      </c>
      <c r="G211" s="547">
        <v>1.1</v>
      </c>
      <c r="H211" s="545">
        <f>+G211/F211-1</f>
        <v>0.10000000000000009</v>
      </c>
    </row>
    <row r="212" spans="2:8" s="542" customFormat="1" ht="12.75">
      <c r="B212" s="553"/>
      <c r="D212" s="542" t="s">
        <v>661</v>
      </c>
      <c r="F212" s="547">
        <v>2.2</v>
      </c>
      <c r="G212" s="547">
        <v>2.3</v>
      </c>
      <c r="H212" s="545">
        <f>+G212/F212-1</f>
        <v>0.04545454545454519</v>
      </c>
    </row>
    <row r="213" spans="2:8" s="542" customFormat="1" ht="12.75">
      <c r="B213" s="553"/>
      <c r="D213" s="542" t="s">
        <v>593</v>
      </c>
      <c r="F213" s="547">
        <v>3.6</v>
      </c>
      <c r="G213" s="547">
        <v>3.8</v>
      </c>
      <c r="H213" s="545">
        <f>+G213/F213-1</f>
        <v>0.05555555555555558</v>
      </c>
    </row>
    <row r="214" spans="2:8" s="542" customFormat="1" ht="12.75">
      <c r="B214" s="553"/>
      <c r="C214" s="542" t="s">
        <v>594</v>
      </c>
      <c r="F214" s="547">
        <v>4.35</v>
      </c>
      <c r="G214" s="547">
        <v>4.6</v>
      </c>
      <c r="H214" s="545">
        <f>+G214/F214-1</f>
        <v>0.05747126436781613</v>
      </c>
    </row>
    <row r="215" spans="2:8" s="109" customFormat="1" ht="12.75">
      <c r="B215" s="553"/>
      <c r="C215" s="553"/>
      <c r="D215" s="555"/>
      <c r="E215" s="555"/>
      <c r="F215" s="552"/>
      <c r="G215" s="552"/>
      <c r="H215" s="542"/>
    </row>
    <row r="216" spans="2:8" s="109" customFormat="1" ht="12.75">
      <c r="B216" s="553" t="s">
        <v>245</v>
      </c>
      <c r="C216" s="553"/>
      <c r="D216" s="555"/>
      <c r="E216" s="555"/>
      <c r="F216" s="552">
        <v>14.75</v>
      </c>
      <c r="G216" s="552">
        <v>15.3</v>
      </c>
      <c r="H216" s="545">
        <f>+G216/F216-1</f>
        <v>0.03728813559322042</v>
      </c>
    </row>
    <row r="217" spans="2:8" s="109" customFormat="1" ht="12.75">
      <c r="B217" s="553"/>
      <c r="C217" s="553"/>
      <c r="D217" s="555"/>
      <c r="E217" s="555"/>
      <c r="F217" s="552"/>
      <c r="G217" s="552"/>
      <c r="H217" s="542"/>
    </row>
    <row r="218" spans="2:8" s="109" customFormat="1" ht="12.75">
      <c r="B218" s="553"/>
      <c r="C218" s="553"/>
      <c r="D218" s="555"/>
      <c r="E218" s="555"/>
      <c r="F218" s="552"/>
      <c r="G218" s="552"/>
      <c r="H218" s="542"/>
    </row>
    <row r="219" spans="2:8" s="109" customFormat="1" ht="12.75">
      <c r="B219" s="553" t="s">
        <v>646</v>
      </c>
      <c r="C219" s="553"/>
      <c r="D219" s="555"/>
      <c r="E219" s="555"/>
      <c r="F219" s="552"/>
      <c r="G219" s="552"/>
      <c r="H219" s="542"/>
    </row>
    <row r="220" spans="2:8" s="109" customFormat="1" ht="12.75">
      <c r="B220" s="553"/>
      <c r="C220" s="111" t="s">
        <v>522</v>
      </c>
      <c r="D220" s="555"/>
      <c r="F220" s="757">
        <v>1.8</v>
      </c>
      <c r="G220" s="757">
        <v>1.95</v>
      </c>
      <c r="H220" s="545">
        <f aca="true" t="shared" si="4" ref="H220:H225">+G220/F220-1</f>
        <v>0.08333333333333326</v>
      </c>
    </row>
    <row r="221" spans="2:8" s="109" customFormat="1" ht="12.75">
      <c r="B221" s="553"/>
      <c r="C221" s="111" t="s">
        <v>526</v>
      </c>
      <c r="D221" s="555"/>
      <c r="F221" s="757">
        <v>2.2</v>
      </c>
      <c r="G221" s="757">
        <v>2.35</v>
      </c>
      <c r="H221" s="545">
        <f t="shared" si="4"/>
        <v>0.06818181818181812</v>
      </c>
    </row>
    <row r="222" spans="2:8" s="109" customFormat="1" ht="12.75">
      <c r="B222" s="553"/>
      <c r="C222" s="111" t="s">
        <v>472</v>
      </c>
      <c r="D222" s="555"/>
      <c r="F222" s="552">
        <f>+F220</f>
        <v>1.8</v>
      </c>
      <c r="G222" s="552">
        <f>+G220</f>
        <v>1.95</v>
      </c>
      <c r="H222" s="545">
        <f t="shared" si="4"/>
        <v>0.08333333333333326</v>
      </c>
    </row>
    <row r="223" spans="2:8" s="109" customFormat="1" ht="12.75">
      <c r="B223" s="553"/>
      <c r="C223" s="111" t="s">
        <v>471</v>
      </c>
      <c r="D223" s="555"/>
      <c r="F223" s="552">
        <f>+F221</f>
        <v>2.2</v>
      </c>
      <c r="G223" s="552">
        <f>+G221</f>
        <v>2.35</v>
      </c>
      <c r="H223" s="545">
        <f t="shared" si="4"/>
        <v>0.06818181818181812</v>
      </c>
    </row>
    <row r="224" spans="2:8" s="109" customFormat="1" ht="12.75">
      <c r="B224" s="553"/>
      <c r="C224" s="111" t="s">
        <v>476</v>
      </c>
      <c r="D224" s="555"/>
      <c r="F224" s="552">
        <f>+F220</f>
        <v>1.8</v>
      </c>
      <c r="G224" s="552">
        <f>+G220</f>
        <v>1.95</v>
      </c>
      <c r="H224" s="545">
        <f t="shared" si="4"/>
        <v>0.08333333333333326</v>
      </c>
    </row>
    <row r="225" spans="2:8" s="109" customFormat="1" ht="12.75">
      <c r="B225" s="553"/>
      <c r="C225" s="111" t="s">
        <v>473</v>
      </c>
      <c r="D225" s="555"/>
      <c r="F225" s="552">
        <f>+F221</f>
        <v>2.2</v>
      </c>
      <c r="G225" s="552">
        <f>+G221</f>
        <v>2.35</v>
      </c>
      <c r="H225" s="545">
        <f t="shared" si="4"/>
        <v>0.06818181818181812</v>
      </c>
    </row>
    <row r="226" spans="2:8" s="109" customFormat="1" ht="12.75">
      <c r="B226" s="553"/>
      <c r="C226" s="553"/>
      <c r="D226" s="555"/>
      <c r="E226" s="555"/>
      <c r="F226" s="552"/>
      <c r="G226" s="552"/>
      <c r="H226" s="542"/>
    </row>
    <row r="227" spans="2:8" s="109" customFormat="1" ht="12.75">
      <c r="B227" s="553" t="s">
        <v>597</v>
      </c>
      <c r="C227" s="553"/>
      <c r="D227" s="555"/>
      <c r="E227" s="555"/>
      <c r="F227" s="552"/>
      <c r="G227" s="552"/>
      <c r="H227" s="542"/>
    </row>
    <row r="228" spans="2:8" s="109" customFormat="1" ht="12.75">
      <c r="B228" s="553"/>
      <c r="C228" s="542" t="s">
        <v>426</v>
      </c>
      <c r="D228" s="555"/>
      <c r="E228" s="555"/>
      <c r="F228" s="549">
        <f>+F230</f>
        <v>7.1</v>
      </c>
      <c r="G228" s="549">
        <f>+G230</f>
        <v>7.4</v>
      </c>
      <c r="H228" s="545">
        <f>+G228/F228-1</f>
        <v>0.04225352112676073</v>
      </c>
    </row>
    <row r="229" spans="2:8" s="109" customFormat="1" ht="12.75">
      <c r="B229" s="541"/>
      <c r="C229" s="747" t="s">
        <v>603</v>
      </c>
      <c r="D229" s="542"/>
      <c r="E229" s="542"/>
      <c r="F229" s="549"/>
      <c r="G229" s="549"/>
      <c r="H229" s="542"/>
    </row>
    <row r="230" spans="2:8" s="109" customFormat="1" ht="12.75">
      <c r="B230" s="541"/>
      <c r="C230" s="541"/>
      <c r="D230" s="542" t="s">
        <v>604</v>
      </c>
      <c r="E230" s="542"/>
      <c r="F230" s="757">
        <v>7.1</v>
      </c>
      <c r="G230" s="757">
        <v>7.4</v>
      </c>
      <c r="H230" s="545">
        <f>+G230/F230-1</f>
        <v>0.04225352112676073</v>
      </c>
    </row>
    <row r="231" spans="2:8" s="109" customFormat="1" ht="12.75">
      <c r="B231" s="541"/>
      <c r="C231" s="541"/>
      <c r="D231" s="542" t="s">
        <v>605</v>
      </c>
      <c r="E231" s="542"/>
      <c r="F231" s="757">
        <v>9.9</v>
      </c>
      <c r="G231" s="757">
        <v>10.4</v>
      </c>
      <c r="H231" s="545">
        <f>+G231/F231-1</f>
        <v>0.05050505050505061</v>
      </c>
    </row>
    <row r="232" spans="2:8" s="109" customFormat="1" ht="12.75">
      <c r="B232" s="541"/>
      <c r="C232" s="542" t="s">
        <v>435</v>
      </c>
      <c r="D232" s="542"/>
      <c r="E232" s="542"/>
      <c r="F232" s="549"/>
      <c r="G232" s="549"/>
      <c r="H232" s="542"/>
    </row>
    <row r="233" spans="2:8" s="109" customFormat="1" ht="12.75">
      <c r="B233" s="541"/>
      <c r="C233" s="541"/>
      <c r="D233" s="542" t="s">
        <v>606</v>
      </c>
      <c r="E233" s="542"/>
      <c r="F233" s="549"/>
      <c r="G233" s="549"/>
      <c r="H233" s="542"/>
    </row>
    <row r="234" spans="2:8" s="109" customFormat="1" ht="12.75">
      <c r="B234" s="541"/>
      <c r="C234" s="541"/>
      <c r="D234" s="541"/>
      <c r="E234" s="542" t="s">
        <v>604</v>
      </c>
      <c r="F234" s="547">
        <f>+F228</f>
        <v>7.1</v>
      </c>
      <c r="G234" s="547">
        <f>+G228</f>
        <v>7.4</v>
      </c>
      <c r="H234" s="545">
        <f>+G234/F234-1</f>
        <v>0.04225352112676073</v>
      </c>
    </row>
    <row r="235" spans="2:8" s="109" customFormat="1" ht="12.75">
      <c r="B235" s="541"/>
      <c r="C235" s="541"/>
      <c r="D235" s="541"/>
      <c r="E235" s="542" t="s">
        <v>605</v>
      </c>
      <c r="F235" s="748">
        <f>+F231</f>
        <v>9.9</v>
      </c>
      <c r="G235" s="748">
        <f>+G231</f>
        <v>10.4</v>
      </c>
      <c r="H235" s="545">
        <f>+G235/F235-1</f>
        <v>0.05050505050505061</v>
      </c>
    </row>
    <row r="236" spans="2:8" s="109" customFormat="1" ht="12.75">
      <c r="B236" s="541"/>
      <c r="C236" s="541"/>
      <c r="D236" s="542" t="s">
        <v>21</v>
      </c>
      <c r="E236" s="542"/>
      <c r="F236" s="549"/>
      <c r="G236" s="549"/>
      <c r="H236" s="542"/>
    </row>
    <row r="237" spans="2:8" s="109" customFormat="1" ht="12.75">
      <c r="B237" s="541"/>
      <c r="C237" s="541"/>
      <c r="D237" s="541"/>
      <c r="E237" s="542" t="s">
        <v>604</v>
      </c>
      <c r="F237" s="547">
        <f>+F228</f>
        <v>7.1</v>
      </c>
      <c r="G237" s="547">
        <f>+G228</f>
        <v>7.4</v>
      </c>
      <c r="H237" s="545">
        <f>+G237/F237-1</f>
        <v>0.04225352112676073</v>
      </c>
    </row>
    <row r="238" spans="2:8" s="109" customFormat="1" ht="12.75">
      <c r="B238" s="541"/>
      <c r="C238" s="541"/>
      <c r="D238" s="541"/>
      <c r="E238" s="542" t="s">
        <v>605</v>
      </c>
      <c r="F238" s="748">
        <f>+F231</f>
        <v>9.9</v>
      </c>
      <c r="G238" s="748">
        <f>+G231</f>
        <v>10.4</v>
      </c>
      <c r="H238" s="545">
        <f>+G238/F238-1</f>
        <v>0.05050505050505061</v>
      </c>
    </row>
    <row r="239" spans="2:8" s="109" customFormat="1" ht="12.75">
      <c r="B239" s="541"/>
      <c r="C239" s="541"/>
      <c r="D239" s="542" t="s">
        <v>607</v>
      </c>
      <c r="E239" s="542"/>
      <c r="F239" s="549"/>
      <c r="G239" s="549"/>
      <c r="H239" s="542"/>
    </row>
    <row r="240" spans="2:8" s="109" customFormat="1" ht="12.75">
      <c r="B240" s="541"/>
      <c r="C240" s="541"/>
      <c r="D240" s="541"/>
      <c r="E240" s="542" t="s">
        <v>604</v>
      </c>
      <c r="F240" s="547">
        <f>+F228</f>
        <v>7.1</v>
      </c>
      <c r="G240" s="547">
        <f>+G228</f>
        <v>7.4</v>
      </c>
      <c r="H240" s="545">
        <f>+G240/F240-1</f>
        <v>0.04225352112676073</v>
      </c>
    </row>
    <row r="241" spans="2:8" s="109" customFormat="1" ht="12.75">
      <c r="B241" s="541"/>
      <c r="C241" s="541"/>
      <c r="D241" s="541"/>
      <c r="E241" s="542" t="s">
        <v>605</v>
      </c>
      <c r="F241" s="748">
        <f>+F231</f>
        <v>9.9</v>
      </c>
      <c r="G241" s="748">
        <f>+G231</f>
        <v>10.4</v>
      </c>
      <c r="H241" s="545">
        <f>+G241/F241-1</f>
        <v>0.05050505050505061</v>
      </c>
    </row>
    <row r="242" spans="2:8" s="109" customFormat="1" ht="12.75">
      <c r="B242" s="541"/>
      <c r="C242" s="541"/>
      <c r="D242" s="542"/>
      <c r="E242" s="542"/>
      <c r="F242" s="552"/>
      <c r="G242" s="552"/>
      <c r="H242" s="542"/>
    </row>
    <row r="243" spans="2:8" s="542" customFormat="1" ht="12.75">
      <c r="B243" s="542" t="s">
        <v>611</v>
      </c>
      <c r="C243" s="541"/>
      <c r="F243" s="547">
        <v>0.03</v>
      </c>
      <c r="G243" s="547">
        <v>0.03</v>
      </c>
      <c r="H243" s="545">
        <f>+G243/F243-1</f>
        <v>0</v>
      </c>
    </row>
    <row r="244" spans="2:8" s="109" customFormat="1" ht="12.75">
      <c r="B244" s="541"/>
      <c r="C244" s="541"/>
      <c r="D244" s="542"/>
      <c r="E244" s="542"/>
      <c r="F244" s="552"/>
      <c r="G244" s="552"/>
      <c r="H244" s="542"/>
    </row>
    <row r="245" spans="2:7" s="542" customFormat="1" ht="12.75">
      <c r="B245" s="542" t="s">
        <v>612</v>
      </c>
      <c r="C245" s="541"/>
      <c r="F245" s="552"/>
      <c r="G245" s="552"/>
    </row>
    <row r="246" spans="2:7" s="542" customFormat="1" ht="12.75">
      <c r="B246" s="541"/>
      <c r="C246" s="542" t="s">
        <v>614</v>
      </c>
      <c r="F246" s="552"/>
      <c r="G246" s="552"/>
    </row>
    <row r="247" spans="2:8" s="542" customFormat="1" ht="25.5">
      <c r="B247" s="541"/>
      <c r="C247" s="541"/>
      <c r="D247" s="749" t="s">
        <v>615</v>
      </c>
      <c r="E247" s="750" t="s">
        <v>647</v>
      </c>
      <c r="F247" s="547">
        <v>22</v>
      </c>
      <c r="G247" s="547">
        <v>24</v>
      </c>
      <c r="H247" s="545">
        <f>+G247/F247-1</f>
        <v>0.09090909090909083</v>
      </c>
    </row>
    <row r="248" spans="2:7" s="542" customFormat="1" ht="12.75">
      <c r="B248" s="541"/>
      <c r="C248" s="541"/>
      <c r="F248" s="549"/>
      <c r="G248" s="549"/>
    </row>
    <row r="249" spans="2:7" s="542" customFormat="1" ht="12.75">
      <c r="B249" s="541"/>
      <c r="C249" s="541"/>
      <c r="D249" s="751" t="s">
        <v>616</v>
      </c>
      <c r="F249" s="549"/>
      <c r="G249" s="549"/>
    </row>
    <row r="250" spans="2:8" s="542" customFormat="1" ht="25.5">
      <c r="B250" s="541"/>
      <c r="C250" s="541"/>
      <c r="E250" s="750" t="s">
        <v>647</v>
      </c>
      <c r="F250" s="547">
        <v>25</v>
      </c>
      <c r="G250" s="547">
        <v>27</v>
      </c>
      <c r="H250" s="545">
        <f>+G250/F250-1</f>
        <v>0.08000000000000007</v>
      </c>
    </row>
    <row r="251" spans="2:8" s="542" customFormat="1" ht="12.75">
      <c r="B251" s="541"/>
      <c r="C251" s="541"/>
      <c r="E251" s="542" t="s">
        <v>648</v>
      </c>
      <c r="F251" s="547">
        <v>4.6</v>
      </c>
      <c r="G251" s="547">
        <v>4.8</v>
      </c>
      <c r="H251" s="545">
        <f>+G251/F251-1</f>
        <v>0.04347826086956519</v>
      </c>
    </row>
    <row r="252" spans="2:7" s="542" customFormat="1" ht="12.75">
      <c r="B252" s="541"/>
      <c r="C252" s="542" t="s">
        <v>618</v>
      </c>
      <c r="F252" s="552"/>
      <c r="G252" s="552"/>
    </row>
    <row r="253" spans="2:8" s="542" customFormat="1" ht="25.5">
      <c r="B253" s="541"/>
      <c r="C253" s="541"/>
      <c r="D253" s="749" t="s">
        <v>615</v>
      </c>
      <c r="E253" s="750" t="s">
        <v>647</v>
      </c>
      <c r="F253" s="547">
        <v>14.9</v>
      </c>
      <c r="G253" s="547">
        <v>15.5</v>
      </c>
      <c r="H253" s="545">
        <f>+G253/F253-1</f>
        <v>0.04026845637583887</v>
      </c>
    </row>
    <row r="254" spans="2:8" s="542" customFormat="1" ht="25.5">
      <c r="B254" s="541"/>
      <c r="C254" s="541"/>
      <c r="D254" s="751" t="s">
        <v>616</v>
      </c>
      <c r="E254" s="750" t="s">
        <v>647</v>
      </c>
      <c r="F254" s="547">
        <v>16.95</v>
      </c>
      <c r="G254" s="547">
        <v>17.75</v>
      </c>
      <c r="H254" s="545">
        <f>+G254/F254-1</f>
        <v>0.0471976401179941</v>
      </c>
    </row>
    <row r="255" spans="2:7" s="542" customFormat="1" ht="12.75">
      <c r="B255" s="541"/>
      <c r="C255" s="542" t="s">
        <v>623</v>
      </c>
      <c r="F255" s="552"/>
      <c r="G255" s="552"/>
    </row>
    <row r="256" spans="2:8" s="542" customFormat="1" ht="12.75">
      <c r="B256" s="541"/>
      <c r="C256" s="541"/>
      <c r="D256" s="749">
        <v>6.75</v>
      </c>
      <c r="F256" s="547">
        <v>0.09</v>
      </c>
      <c r="G256" s="547">
        <v>0.1</v>
      </c>
      <c r="H256" s="545">
        <f>+G256/F256-1</f>
        <v>0.11111111111111116</v>
      </c>
    </row>
    <row r="257" spans="2:8" s="542" customFormat="1" ht="12.75">
      <c r="B257" s="541"/>
      <c r="C257" s="541"/>
      <c r="D257" s="751">
        <v>10</v>
      </c>
      <c r="F257" s="547">
        <v>0.09</v>
      </c>
      <c r="G257" s="547">
        <v>0.1</v>
      </c>
      <c r="H257" s="545">
        <f>+G257/F257-1</f>
        <v>0.11111111111111116</v>
      </c>
    </row>
    <row r="258" spans="2:8" s="542" customFormat="1" ht="12.75">
      <c r="B258" s="541"/>
      <c r="C258" s="541"/>
      <c r="D258" s="751"/>
      <c r="F258" s="552"/>
      <c r="G258" s="547"/>
      <c r="H258" s="545"/>
    </row>
    <row r="259" spans="2:8" s="542" customFormat="1" ht="12.75">
      <c r="B259" s="541" t="s">
        <v>375</v>
      </c>
      <c r="C259" s="541"/>
      <c r="D259" s="751"/>
      <c r="F259" s="552"/>
      <c r="G259" s="547"/>
      <c r="H259" s="545"/>
    </row>
    <row r="260" spans="2:8" s="542" customFormat="1" ht="15">
      <c r="B260" s="541"/>
      <c r="C260" s="541"/>
      <c r="D260" s="751"/>
      <c r="F260" s="752">
        <v>1.6262499224882945</v>
      </c>
      <c r="G260" s="547">
        <f>+F260*(1+F1)</f>
        <v>1.6880474195428496</v>
      </c>
      <c r="H260" s="545">
        <f>+G260/F260-1</f>
        <v>0.038000000000000034</v>
      </c>
    </row>
    <row r="261" spans="2:8" s="542" customFormat="1" ht="15">
      <c r="B261" s="541"/>
      <c r="C261" s="541"/>
      <c r="D261" s="751"/>
      <c r="F261" s="752">
        <v>1.3530132427345045</v>
      </c>
      <c r="G261" s="547">
        <f>+F261*(1+F1)</f>
        <v>1.4044277459584158</v>
      </c>
      <c r="H261" s="545">
        <f>+G261/F261-1</f>
        <v>0.038000000000000034</v>
      </c>
    </row>
    <row r="262" spans="2:8" s="109" customFormat="1" ht="12.75">
      <c r="B262" s="541"/>
      <c r="C262" s="541"/>
      <c r="D262" s="542"/>
      <c r="E262" s="542"/>
      <c r="F262" s="552"/>
      <c r="G262" s="552"/>
      <c r="H262" s="542"/>
    </row>
    <row r="263" spans="2:8" s="109" customFormat="1" ht="12.75">
      <c r="B263" s="111" t="s">
        <v>630</v>
      </c>
      <c r="C263" s="541"/>
      <c r="D263" s="542"/>
      <c r="E263" s="542"/>
      <c r="F263" s="547">
        <v>115</v>
      </c>
      <c r="G263" s="547">
        <v>120</v>
      </c>
      <c r="H263" s="545">
        <f>+G263/F263-1</f>
        <v>0.04347826086956519</v>
      </c>
    </row>
    <row r="264" spans="2:8" s="109" customFormat="1" ht="12.75">
      <c r="B264" s="548"/>
      <c r="C264" s="548"/>
      <c r="F264" s="737"/>
      <c r="G264" s="737"/>
      <c r="H264" s="544"/>
    </row>
    <row r="265" spans="2:8" s="109" customFormat="1" ht="12.75">
      <c r="B265" s="548"/>
      <c r="C265" s="548"/>
      <c r="E265" s="672"/>
      <c r="F265" s="737"/>
      <c r="G265" s="737"/>
      <c r="H265" s="544"/>
    </row>
    <row r="266" spans="2:8" s="109" customFormat="1" ht="12.75">
      <c r="B266" s="548"/>
      <c r="C266" s="548"/>
      <c r="F266" s="737"/>
      <c r="G266" s="737"/>
      <c r="H266" s="544"/>
    </row>
    <row r="267" spans="2:8" s="109" customFormat="1" ht="12.75">
      <c r="B267" s="548"/>
      <c r="C267" s="548"/>
      <c r="F267" s="737"/>
      <c r="G267" s="737"/>
      <c r="H267" s="544"/>
    </row>
    <row r="268" spans="2:8" s="109" customFormat="1" ht="12.75">
      <c r="B268" s="548"/>
      <c r="C268" s="548"/>
      <c r="F268" s="737"/>
      <c r="G268" s="737"/>
      <c r="H268" s="544"/>
    </row>
    <row r="269" spans="2:8" s="109" customFormat="1" ht="12.75">
      <c r="B269" s="548"/>
      <c r="C269" s="548"/>
      <c r="F269" s="737"/>
      <c r="G269" s="737"/>
      <c r="H269" s="544"/>
    </row>
    <row r="270" spans="2:8" s="109" customFormat="1" ht="12.75">
      <c r="B270" s="548"/>
      <c r="C270" s="548"/>
      <c r="F270" s="737"/>
      <c r="G270" s="737"/>
      <c r="H270" s="544"/>
    </row>
    <row r="271" spans="2:8" s="109" customFormat="1" ht="12.75">
      <c r="B271" s="548"/>
      <c r="C271" s="548"/>
      <c r="F271" s="737"/>
      <c r="G271" s="737"/>
      <c r="H271" s="544"/>
    </row>
    <row r="272" spans="2:8" s="109" customFormat="1" ht="12.75">
      <c r="B272" s="548"/>
      <c r="C272" s="548"/>
      <c r="F272" s="737"/>
      <c r="G272" s="737"/>
      <c r="H272" s="544"/>
    </row>
    <row r="273" spans="2:8" s="109" customFormat="1" ht="12.75">
      <c r="B273" s="548"/>
      <c r="C273" s="548"/>
      <c r="F273" s="737"/>
      <c r="G273" s="737"/>
      <c r="H273" s="544"/>
    </row>
    <row r="274" spans="2:8" s="109" customFormat="1" ht="12.75">
      <c r="B274" s="548"/>
      <c r="C274" s="548"/>
      <c r="F274" s="737"/>
      <c r="G274" s="737"/>
      <c r="H274" s="544"/>
    </row>
    <row r="275" spans="2:8" s="109" customFormat="1" ht="12.75">
      <c r="B275" s="548"/>
      <c r="C275" s="548"/>
      <c r="F275" s="737"/>
      <c r="G275" s="737"/>
      <c r="H275" s="544"/>
    </row>
    <row r="276" spans="2:8" s="109" customFormat="1" ht="12.75">
      <c r="B276" s="548"/>
      <c r="C276" s="548"/>
      <c r="F276" s="737"/>
      <c r="G276" s="737"/>
      <c r="H276" s="544"/>
    </row>
    <row r="277" spans="2:8" s="109" customFormat="1" ht="12.75">
      <c r="B277" s="548"/>
      <c r="C277" s="548"/>
      <c r="F277" s="737"/>
      <c r="G277" s="737"/>
      <c r="H277" s="544"/>
    </row>
    <row r="278" spans="2:8" s="109" customFormat="1" ht="12.75">
      <c r="B278" s="548"/>
      <c r="C278" s="548"/>
      <c r="F278" s="737"/>
      <c r="G278" s="737"/>
      <c r="H278" s="544"/>
    </row>
    <row r="279" spans="2:8" s="109" customFormat="1" ht="12.75">
      <c r="B279" s="548"/>
      <c r="C279" s="548"/>
      <c r="F279" s="737"/>
      <c r="G279" s="737"/>
      <c r="H279" s="544"/>
    </row>
    <row r="280" spans="2:8" s="109" customFormat="1" ht="12.75">
      <c r="B280" s="548"/>
      <c r="C280" s="548"/>
      <c r="F280" s="737"/>
      <c r="G280" s="737"/>
      <c r="H280" s="544"/>
    </row>
    <row r="281" spans="2:8" s="109" customFormat="1" ht="12.75">
      <c r="B281" s="548"/>
      <c r="C281" s="548"/>
      <c r="F281" s="737"/>
      <c r="G281" s="737"/>
      <c r="H281" s="544"/>
    </row>
    <row r="282" spans="2:8" s="109" customFormat="1" ht="12.75">
      <c r="B282" s="548"/>
      <c r="C282" s="548"/>
      <c r="F282" s="737"/>
      <c r="G282" s="737"/>
      <c r="H282" s="544"/>
    </row>
    <row r="283" spans="2:8" s="109" customFormat="1" ht="12.75">
      <c r="B283" s="548"/>
      <c r="C283" s="548"/>
      <c r="F283" s="737"/>
      <c r="G283" s="737"/>
      <c r="H283" s="544"/>
    </row>
    <row r="284" spans="2:8" s="109" customFormat="1" ht="12.75">
      <c r="B284" s="548"/>
      <c r="C284" s="548"/>
      <c r="F284" s="737"/>
      <c r="G284" s="737"/>
      <c r="H284" s="544"/>
    </row>
    <row r="285" spans="2:8" s="109" customFormat="1" ht="12.75">
      <c r="B285" s="548"/>
      <c r="C285" s="548"/>
      <c r="F285" s="737"/>
      <c r="G285" s="737"/>
      <c r="H285" s="544"/>
    </row>
    <row r="286" spans="2:8" s="109" customFormat="1" ht="12.75">
      <c r="B286" s="548"/>
      <c r="C286" s="548"/>
      <c r="F286" s="737"/>
      <c r="G286" s="737"/>
      <c r="H286" s="544"/>
    </row>
    <row r="287" spans="2:8" s="109" customFormat="1" ht="12.75">
      <c r="B287" s="548"/>
      <c r="C287" s="548"/>
      <c r="F287" s="737"/>
      <c r="G287" s="737"/>
      <c r="H287" s="544"/>
    </row>
    <row r="288" spans="2:8" s="109" customFormat="1" ht="12.75">
      <c r="B288" s="548"/>
      <c r="C288" s="548"/>
      <c r="F288" s="737"/>
      <c r="G288" s="737"/>
      <c r="H288" s="544"/>
    </row>
    <row r="289" spans="2:8" s="109" customFormat="1" ht="12.75">
      <c r="B289" s="548"/>
      <c r="C289" s="548"/>
      <c r="F289" s="737"/>
      <c r="G289" s="737"/>
      <c r="H289" s="544"/>
    </row>
    <row r="290" spans="2:8" s="109" customFormat="1" ht="12.75">
      <c r="B290" s="548"/>
      <c r="C290" s="548"/>
      <c r="F290" s="737"/>
      <c r="G290" s="737"/>
      <c r="H290" s="544"/>
    </row>
    <row r="291" spans="2:8" s="109" customFormat="1" ht="12.75">
      <c r="B291" s="548"/>
      <c r="C291" s="548"/>
      <c r="F291" s="737"/>
      <c r="G291" s="737"/>
      <c r="H291" s="544"/>
    </row>
    <row r="292" spans="2:8" s="109" customFormat="1" ht="12.75">
      <c r="B292" s="548"/>
      <c r="C292" s="548"/>
      <c r="F292" s="737"/>
      <c r="G292" s="737"/>
      <c r="H292" s="544"/>
    </row>
    <row r="293" spans="2:8" s="109" customFormat="1" ht="12.75">
      <c r="B293" s="548"/>
      <c r="C293" s="548"/>
      <c r="F293" s="737"/>
      <c r="G293" s="737"/>
      <c r="H293" s="544"/>
    </row>
    <row r="294" spans="2:8" s="109" customFormat="1" ht="12.75">
      <c r="B294" s="548"/>
      <c r="C294" s="548"/>
      <c r="F294" s="737"/>
      <c r="G294" s="737"/>
      <c r="H294" s="544"/>
    </row>
    <row r="295" spans="2:8" s="109" customFormat="1" ht="12.75">
      <c r="B295" s="548"/>
      <c r="C295" s="548"/>
      <c r="F295" s="737"/>
      <c r="G295" s="737"/>
      <c r="H295" s="544"/>
    </row>
    <row r="296" spans="2:8" s="109" customFormat="1" ht="12.75">
      <c r="B296" s="548"/>
      <c r="C296" s="548"/>
      <c r="F296" s="737"/>
      <c r="G296" s="737"/>
      <c r="H296" s="544"/>
    </row>
    <row r="297" spans="2:8" s="109" customFormat="1" ht="12.75">
      <c r="B297" s="548"/>
      <c r="C297" s="548"/>
      <c r="F297" s="737"/>
      <c r="G297" s="737"/>
      <c r="H297" s="544"/>
    </row>
    <row r="298" spans="2:8" s="109" customFormat="1" ht="12.75">
      <c r="B298" s="548"/>
      <c r="C298" s="548"/>
      <c r="F298" s="737"/>
      <c r="G298" s="737"/>
      <c r="H298" s="544"/>
    </row>
    <row r="299" spans="2:8" s="109" customFormat="1" ht="12.75">
      <c r="B299" s="548"/>
      <c r="C299" s="548"/>
      <c r="F299" s="737"/>
      <c r="G299" s="737"/>
      <c r="H299" s="544"/>
    </row>
    <row r="300" spans="2:8" s="109" customFormat="1" ht="12.75">
      <c r="B300" s="548"/>
      <c r="C300" s="548"/>
      <c r="F300" s="737"/>
      <c r="G300" s="737"/>
      <c r="H300" s="544"/>
    </row>
    <row r="301" spans="2:8" s="109" customFormat="1" ht="12.75">
      <c r="B301" s="548"/>
      <c r="C301" s="548"/>
      <c r="F301" s="737"/>
      <c r="G301" s="737"/>
      <c r="H301" s="544"/>
    </row>
    <row r="302" spans="2:8" s="109" customFormat="1" ht="12.75">
      <c r="B302" s="548"/>
      <c r="C302" s="548"/>
      <c r="F302" s="737"/>
      <c r="G302" s="737"/>
      <c r="H302" s="544"/>
    </row>
    <row r="303" spans="2:8" s="109" customFormat="1" ht="12.75">
      <c r="B303" s="548"/>
      <c r="C303" s="548"/>
      <c r="F303" s="737"/>
      <c r="G303" s="737"/>
      <c r="H303" s="544"/>
    </row>
    <row r="304" spans="2:8" s="109" customFormat="1" ht="12.75">
      <c r="B304" s="548"/>
      <c r="C304" s="548"/>
      <c r="F304" s="737"/>
      <c r="G304" s="737"/>
      <c r="H304" s="544"/>
    </row>
    <row r="305" spans="2:8" s="109" customFormat="1" ht="12.75">
      <c r="B305" s="548"/>
      <c r="C305" s="548"/>
      <c r="F305" s="737"/>
      <c r="G305" s="737"/>
      <c r="H305" s="544"/>
    </row>
    <row r="306" spans="2:8" s="109" customFormat="1" ht="12.75">
      <c r="B306" s="548"/>
      <c r="C306" s="548"/>
      <c r="F306" s="737"/>
      <c r="G306" s="737"/>
      <c r="H306" s="544"/>
    </row>
    <row r="307" spans="2:8" s="109" customFormat="1" ht="12.75">
      <c r="B307" s="548"/>
      <c r="C307" s="548"/>
      <c r="F307" s="737"/>
      <c r="G307" s="737"/>
      <c r="H307" s="544"/>
    </row>
    <row r="308" spans="2:8" s="109" customFormat="1" ht="12.75">
      <c r="B308" s="548"/>
      <c r="C308" s="548"/>
      <c r="F308" s="737"/>
      <c r="G308" s="737"/>
      <c r="H308" s="544"/>
    </row>
    <row r="309" spans="2:8" s="109" customFormat="1" ht="12.75">
      <c r="B309" s="548"/>
      <c r="C309" s="548"/>
      <c r="F309" s="737"/>
      <c r="G309" s="737"/>
      <c r="H309" s="544"/>
    </row>
    <row r="310" spans="2:8" s="109" customFormat="1" ht="12.75">
      <c r="B310" s="548"/>
      <c r="C310" s="548"/>
      <c r="F310" s="737"/>
      <c r="G310" s="737"/>
      <c r="H310" s="544"/>
    </row>
    <row r="311" spans="2:8" s="109" customFormat="1" ht="12.75">
      <c r="B311" s="548"/>
      <c r="C311" s="548"/>
      <c r="F311" s="737"/>
      <c r="G311" s="737"/>
      <c r="H311" s="544"/>
    </row>
    <row r="312" spans="2:8" s="109" customFormat="1" ht="12.75">
      <c r="B312" s="548"/>
      <c r="C312" s="548"/>
      <c r="F312" s="737"/>
      <c r="G312" s="737"/>
      <c r="H312" s="544"/>
    </row>
    <row r="313" spans="2:8" s="109" customFormat="1" ht="12.75">
      <c r="B313" s="548"/>
      <c r="C313" s="548"/>
      <c r="F313" s="737"/>
      <c r="G313" s="737"/>
      <c r="H313" s="544"/>
    </row>
    <row r="314" spans="2:8" s="109" customFormat="1" ht="12.75">
      <c r="B314" s="548"/>
      <c r="C314" s="548"/>
      <c r="F314" s="737"/>
      <c r="G314" s="737"/>
      <c r="H314" s="544"/>
    </row>
    <row r="315" spans="2:8" s="109" customFormat="1" ht="12.75">
      <c r="B315" s="548"/>
      <c r="C315" s="548"/>
      <c r="F315" s="737"/>
      <c r="G315" s="737"/>
      <c r="H315" s="544"/>
    </row>
    <row r="316" spans="2:8" s="109" customFormat="1" ht="12.75">
      <c r="B316" s="548"/>
      <c r="C316" s="548"/>
      <c r="F316" s="737"/>
      <c r="G316" s="737"/>
      <c r="H316" s="544"/>
    </row>
    <row r="317" spans="2:8" s="109" customFormat="1" ht="12.75">
      <c r="B317" s="548"/>
      <c r="C317" s="548"/>
      <c r="F317" s="737"/>
      <c r="G317" s="737"/>
      <c r="H317" s="544"/>
    </row>
    <row r="318" spans="2:8" s="109" customFormat="1" ht="12.75">
      <c r="B318" s="548"/>
      <c r="C318" s="548"/>
      <c r="F318" s="737"/>
      <c r="G318" s="737"/>
      <c r="H318" s="544"/>
    </row>
    <row r="319" spans="2:8" s="109" customFormat="1" ht="12.75">
      <c r="B319" s="548"/>
      <c r="C319" s="548"/>
      <c r="F319" s="737"/>
      <c r="G319" s="737"/>
      <c r="H319" s="544"/>
    </row>
    <row r="320" spans="2:8" s="109" customFormat="1" ht="12.75">
      <c r="B320" s="548"/>
      <c r="C320" s="548"/>
      <c r="F320" s="737"/>
      <c r="G320" s="737"/>
      <c r="H320" s="544"/>
    </row>
    <row r="321" spans="2:8" s="109" customFormat="1" ht="12.75">
      <c r="B321" s="548"/>
      <c r="C321" s="548"/>
      <c r="F321" s="737"/>
      <c r="G321" s="737"/>
      <c r="H321" s="544"/>
    </row>
    <row r="322" spans="2:8" s="109" customFormat="1" ht="12.75">
      <c r="B322" s="548"/>
      <c r="C322" s="548"/>
      <c r="F322" s="737"/>
      <c r="G322" s="737"/>
      <c r="H322" s="544"/>
    </row>
    <row r="323" spans="2:8" s="109" customFormat="1" ht="12.75">
      <c r="B323" s="548"/>
      <c r="C323" s="548"/>
      <c r="F323" s="737"/>
      <c r="G323" s="737"/>
      <c r="H323" s="544"/>
    </row>
    <row r="324" spans="2:8" s="109" customFormat="1" ht="12.75">
      <c r="B324" s="548"/>
      <c r="C324" s="548"/>
      <c r="F324" s="737"/>
      <c r="G324" s="737"/>
      <c r="H324" s="544"/>
    </row>
    <row r="325" spans="2:8" s="109" customFormat="1" ht="12.75">
      <c r="B325" s="548"/>
      <c r="C325" s="548"/>
      <c r="F325" s="737"/>
      <c r="G325" s="737"/>
      <c r="H325" s="544"/>
    </row>
    <row r="326" spans="2:8" s="109" customFormat="1" ht="12.75">
      <c r="B326" s="548"/>
      <c r="C326" s="548"/>
      <c r="F326" s="737"/>
      <c r="G326" s="737"/>
      <c r="H326" s="544"/>
    </row>
    <row r="327" spans="2:8" s="109" customFormat="1" ht="12.75">
      <c r="B327" s="548"/>
      <c r="C327" s="548"/>
      <c r="F327" s="737"/>
      <c r="G327" s="737"/>
      <c r="H327" s="544"/>
    </row>
    <row r="328" spans="2:8" s="109" customFormat="1" ht="12.75">
      <c r="B328" s="548"/>
      <c r="C328" s="548"/>
      <c r="F328" s="737"/>
      <c r="G328" s="737"/>
      <c r="H328" s="544"/>
    </row>
    <row r="329" spans="2:8" s="109" customFormat="1" ht="12.75">
      <c r="B329" s="548"/>
      <c r="C329" s="548"/>
      <c r="F329" s="737"/>
      <c r="G329" s="737"/>
      <c r="H329" s="544"/>
    </row>
    <row r="330" spans="2:8" s="109" customFormat="1" ht="12.75">
      <c r="B330" s="548"/>
      <c r="C330" s="548"/>
      <c r="F330" s="737"/>
      <c r="G330" s="737"/>
      <c r="H330" s="544"/>
    </row>
    <row r="331" spans="2:8" s="109" customFormat="1" ht="12.75">
      <c r="B331" s="548"/>
      <c r="C331" s="548"/>
      <c r="F331" s="737"/>
      <c r="G331" s="737"/>
      <c r="H331" s="544"/>
    </row>
    <row r="332" spans="2:8" s="109" customFormat="1" ht="12.75">
      <c r="B332" s="548"/>
      <c r="C332" s="548"/>
      <c r="F332" s="737"/>
      <c r="G332" s="737"/>
      <c r="H332" s="544"/>
    </row>
    <row r="333" spans="2:8" s="109" customFormat="1" ht="12.75">
      <c r="B333" s="548"/>
      <c r="C333" s="548"/>
      <c r="F333" s="737"/>
      <c r="G333" s="737"/>
      <c r="H333" s="544"/>
    </row>
    <row r="334" spans="2:8" s="109" customFormat="1" ht="12.75">
      <c r="B334" s="548"/>
      <c r="C334" s="548"/>
      <c r="F334" s="737"/>
      <c r="G334" s="737"/>
      <c r="H334" s="544"/>
    </row>
    <row r="335" spans="2:8" s="109" customFormat="1" ht="12.75">
      <c r="B335" s="548"/>
      <c r="C335" s="548"/>
      <c r="F335" s="737"/>
      <c r="G335" s="737"/>
      <c r="H335" s="544"/>
    </row>
    <row r="336" spans="2:8" s="109" customFormat="1" ht="12.75">
      <c r="B336" s="548"/>
      <c r="C336" s="548"/>
      <c r="F336" s="737"/>
      <c r="G336" s="737"/>
      <c r="H336" s="544"/>
    </row>
    <row r="337" spans="2:8" s="109" customFormat="1" ht="12.75">
      <c r="B337" s="548"/>
      <c r="C337" s="548"/>
      <c r="F337" s="737"/>
      <c r="G337" s="737"/>
      <c r="H337" s="544"/>
    </row>
    <row r="338" spans="2:8" s="109" customFormat="1" ht="12.75">
      <c r="B338" s="548"/>
      <c r="C338" s="548"/>
      <c r="F338" s="737"/>
      <c r="G338" s="737"/>
      <c r="H338" s="544"/>
    </row>
    <row r="339" spans="2:8" s="109" customFormat="1" ht="12.75">
      <c r="B339" s="548"/>
      <c r="C339" s="548"/>
      <c r="F339" s="737"/>
      <c r="G339" s="737"/>
      <c r="H339" s="544"/>
    </row>
    <row r="340" spans="2:8" s="109" customFormat="1" ht="12.75">
      <c r="B340" s="548"/>
      <c r="C340" s="548"/>
      <c r="F340" s="737"/>
      <c r="G340" s="737"/>
      <c r="H340" s="544"/>
    </row>
    <row r="341" spans="2:8" s="109" customFormat="1" ht="12.75">
      <c r="B341" s="548"/>
      <c r="C341" s="548"/>
      <c r="F341" s="737"/>
      <c r="G341" s="737"/>
      <c r="H341" s="544"/>
    </row>
    <row r="342" spans="2:8" s="109" customFormat="1" ht="12.75">
      <c r="B342" s="548"/>
      <c r="C342" s="548"/>
      <c r="F342" s="737"/>
      <c r="G342" s="737"/>
      <c r="H342" s="544"/>
    </row>
    <row r="343" spans="2:8" s="109" customFormat="1" ht="12.75">
      <c r="B343" s="548"/>
      <c r="C343" s="548"/>
      <c r="F343" s="737"/>
      <c r="G343" s="737"/>
      <c r="H343" s="544"/>
    </row>
    <row r="344" spans="2:8" s="109" customFormat="1" ht="12.75">
      <c r="B344" s="548"/>
      <c r="C344" s="548"/>
      <c r="F344" s="737"/>
      <c r="G344" s="737"/>
      <c r="H344" s="544"/>
    </row>
    <row r="345" spans="2:8" s="109" customFormat="1" ht="12.75">
      <c r="B345" s="548"/>
      <c r="C345" s="548"/>
      <c r="F345" s="737"/>
      <c r="G345" s="737"/>
      <c r="H345" s="544"/>
    </row>
    <row r="346" spans="2:8" s="109" customFormat="1" ht="12.75">
      <c r="B346" s="548"/>
      <c r="C346" s="548"/>
      <c r="F346" s="737"/>
      <c r="G346" s="737"/>
      <c r="H346" s="544"/>
    </row>
    <row r="347" spans="2:8" s="109" customFormat="1" ht="12.75">
      <c r="B347" s="548"/>
      <c r="C347" s="548"/>
      <c r="F347" s="737"/>
      <c r="G347" s="737"/>
      <c r="H347" s="544"/>
    </row>
    <row r="348" spans="2:8" s="109" customFormat="1" ht="12.75">
      <c r="B348" s="548"/>
      <c r="C348" s="548"/>
      <c r="F348" s="737"/>
      <c r="G348" s="737"/>
      <c r="H348" s="544"/>
    </row>
    <row r="349" spans="2:8" s="109" customFormat="1" ht="12.75">
      <c r="B349" s="548"/>
      <c r="C349" s="548"/>
      <c r="F349" s="737"/>
      <c r="G349" s="737"/>
      <c r="H349" s="544"/>
    </row>
    <row r="350" spans="2:8" s="109" customFormat="1" ht="12.75">
      <c r="B350" s="548"/>
      <c r="C350" s="548"/>
      <c r="F350" s="737"/>
      <c r="G350" s="737"/>
      <c r="H350" s="544"/>
    </row>
    <row r="351" spans="2:8" s="109" customFormat="1" ht="12.75">
      <c r="B351" s="548"/>
      <c r="C351" s="548"/>
      <c r="F351" s="737"/>
      <c r="G351" s="737"/>
      <c r="H351" s="544"/>
    </row>
    <row r="352" spans="2:8" s="109" customFormat="1" ht="12.75">
      <c r="B352" s="548"/>
      <c r="C352" s="548"/>
      <c r="F352" s="737"/>
      <c r="G352" s="737"/>
      <c r="H352" s="544"/>
    </row>
    <row r="353" spans="2:8" s="109" customFormat="1" ht="12.75">
      <c r="B353" s="548"/>
      <c r="C353" s="548"/>
      <c r="F353" s="737"/>
      <c r="G353" s="737"/>
      <c r="H353" s="544"/>
    </row>
    <row r="354" spans="2:8" s="109" customFormat="1" ht="12.75">
      <c r="B354" s="548"/>
      <c r="C354" s="548"/>
      <c r="F354" s="737"/>
      <c r="G354" s="737"/>
      <c r="H354" s="544"/>
    </row>
    <row r="355" spans="2:8" s="109" customFormat="1" ht="12.75">
      <c r="B355" s="548"/>
      <c r="C355" s="548"/>
      <c r="F355" s="737"/>
      <c r="G355" s="737"/>
      <c r="H355" s="544"/>
    </row>
    <row r="356" spans="2:8" s="109" customFormat="1" ht="12.75">
      <c r="B356" s="548"/>
      <c r="C356" s="548"/>
      <c r="F356" s="737"/>
      <c r="G356" s="737"/>
      <c r="H356" s="544"/>
    </row>
    <row r="357" spans="2:8" s="109" customFormat="1" ht="12.75">
      <c r="B357" s="548"/>
      <c r="C357" s="548"/>
      <c r="F357" s="737"/>
      <c r="G357" s="737"/>
      <c r="H357" s="544"/>
    </row>
    <row r="358" spans="2:8" s="109" customFormat="1" ht="12.75">
      <c r="B358" s="548"/>
      <c r="C358" s="548"/>
      <c r="F358" s="737"/>
      <c r="G358" s="737"/>
      <c r="H358" s="544"/>
    </row>
    <row r="359" spans="2:8" s="109" customFormat="1" ht="12.75">
      <c r="B359" s="548"/>
      <c r="C359" s="548"/>
      <c r="F359" s="737"/>
      <c r="G359" s="737"/>
      <c r="H359" s="544"/>
    </row>
    <row r="360" spans="2:8" s="109" customFormat="1" ht="12.75">
      <c r="B360" s="548"/>
      <c r="C360" s="548"/>
      <c r="F360" s="737"/>
      <c r="G360" s="737"/>
      <c r="H360" s="544"/>
    </row>
    <row r="361" spans="2:8" s="109" customFormat="1" ht="12.75">
      <c r="B361" s="548"/>
      <c r="C361" s="548"/>
      <c r="F361" s="737"/>
      <c r="G361" s="737"/>
      <c r="H361" s="544"/>
    </row>
    <row r="362" spans="2:8" s="109" customFormat="1" ht="12.75">
      <c r="B362" s="548"/>
      <c r="C362" s="548"/>
      <c r="F362" s="737"/>
      <c r="G362" s="737"/>
      <c r="H362" s="544"/>
    </row>
    <row r="363" spans="2:8" s="109" customFormat="1" ht="12.75">
      <c r="B363" s="548"/>
      <c r="C363" s="548"/>
      <c r="F363" s="737"/>
      <c r="G363" s="737"/>
      <c r="H363" s="544"/>
    </row>
    <row r="364" spans="2:8" s="109" customFormat="1" ht="12.75">
      <c r="B364" s="548"/>
      <c r="C364" s="548"/>
      <c r="F364" s="737"/>
      <c r="G364" s="737"/>
      <c r="H364" s="544"/>
    </row>
    <row r="365" spans="2:8" s="109" customFormat="1" ht="12.75">
      <c r="B365" s="548"/>
      <c r="C365" s="548"/>
      <c r="F365" s="737"/>
      <c r="G365" s="737"/>
      <c r="H365" s="544"/>
    </row>
    <row r="366" spans="2:8" s="109" customFormat="1" ht="12.75">
      <c r="B366" s="548"/>
      <c r="C366" s="548"/>
      <c r="F366" s="737"/>
      <c r="G366" s="737"/>
      <c r="H366" s="544"/>
    </row>
    <row r="367" spans="2:8" s="109" customFormat="1" ht="12.75">
      <c r="B367" s="548"/>
      <c r="C367" s="548"/>
      <c r="F367" s="737"/>
      <c r="G367" s="737"/>
      <c r="H367" s="544"/>
    </row>
    <row r="368" spans="2:8" s="109" customFormat="1" ht="12.75">
      <c r="B368" s="548"/>
      <c r="C368" s="548"/>
      <c r="F368" s="737"/>
      <c r="G368" s="737"/>
      <c r="H368" s="544"/>
    </row>
    <row r="369" spans="2:8" s="109" customFormat="1" ht="12.75">
      <c r="B369" s="548"/>
      <c r="C369" s="548"/>
      <c r="F369" s="737"/>
      <c r="G369" s="737"/>
      <c r="H369" s="544"/>
    </row>
    <row r="370" spans="2:8" s="109" customFormat="1" ht="12.75">
      <c r="B370" s="548"/>
      <c r="C370" s="548"/>
      <c r="F370" s="737"/>
      <c r="G370" s="737"/>
      <c r="H370" s="544"/>
    </row>
    <row r="371" spans="2:8" s="109" customFormat="1" ht="12.75">
      <c r="B371" s="548"/>
      <c r="C371" s="548"/>
      <c r="F371" s="737"/>
      <c r="G371" s="737"/>
      <c r="H371" s="544"/>
    </row>
    <row r="372" spans="2:8" s="109" customFormat="1" ht="12.75">
      <c r="B372" s="548"/>
      <c r="C372" s="548"/>
      <c r="F372" s="737"/>
      <c r="G372" s="737"/>
      <c r="H372" s="544"/>
    </row>
    <row r="373" spans="2:8" s="109" customFormat="1" ht="12.75">
      <c r="B373" s="548"/>
      <c r="C373" s="548"/>
      <c r="F373" s="737"/>
      <c r="G373" s="737"/>
      <c r="H373" s="544"/>
    </row>
    <row r="374" spans="2:8" s="109" customFormat="1" ht="12.75">
      <c r="B374" s="548"/>
      <c r="C374" s="548"/>
      <c r="F374" s="737"/>
      <c r="G374" s="737"/>
      <c r="H374" s="544"/>
    </row>
    <row r="375" spans="2:8" s="109" customFormat="1" ht="12.75">
      <c r="B375" s="548"/>
      <c r="C375" s="548"/>
      <c r="F375" s="737"/>
      <c r="G375" s="737"/>
      <c r="H375" s="544"/>
    </row>
    <row r="376" spans="2:8" s="109" customFormat="1" ht="12.75">
      <c r="B376" s="548"/>
      <c r="C376" s="548"/>
      <c r="F376" s="737"/>
      <c r="G376" s="737"/>
      <c r="H376" s="544"/>
    </row>
    <row r="377" spans="2:8" s="109" customFormat="1" ht="12.75">
      <c r="B377" s="548"/>
      <c r="C377" s="548"/>
      <c r="F377" s="737"/>
      <c r="G377" s="737"/>
      <c r="H377" s="544"/>
    </row>
    <row r="378" spans="2:8" s="109" customFormat="1" ht="12.75">
      <c r="B378" s="548"/>
      <c r="C378" s="548"/>
      <c r="F378" s="737"/>
      <c r="G378" s="737"/>
      <c r="H378" s="544"/>
    </row>
    <row r="379" spans="2:8" s="109" customFormat="1" ht="12.75">
      <c r="B379" s="548"/>
      <c r="C379" s="548"/>
      <c r="F379" s="737"/>
      <c r="G379" s="737"/>
      <c r="H379" s="544"/>
    </row>
    <row r="380" spans="2:8" s="109" customFormat="1" ht="12.75">
      <c r="B380" s="548"/>
      <c r="C380" s="548"/>
      <c r="F380" s="737"/>
      <c r="G380" s="737"/>
      <c r="H380" s="544"/>
    </row>
    <row r="381" spans="2:8" s="109" customFormat="1" ht="12.75">
      <c r="B381" s="548"/>
      <c r="C381" s="548"/>
      <c r="F381" s="737"/>
      <c r="G381" s="737"/>
      <c r="H381" s="544"/>
    </row>
    <row r="382" spans="2:8" s="109" customFormat="1" ht="12.75">
      <c r="B382" s="548"/>
      <c r="C382" s="548"/>
      <c r="F382" s="737"/>
      <c r="G382" s="737"/>
      <c r="H382" s="544"/>
    </row>
    <row r="383" spans="2:8" s="109" customFormat="1" ht="12.75">
      <c r="B383" s="548"/>
      <c r="C383" s="548"/>
      <c r="F383" s="737"/>
      <c r="G383" s="737"/>
      <c r="H383" s="544"/>
    </row>
    <row r="384" spans="2:8" s="109" customFormat="1" ht="12.75">
      <c r="B384" s="548"/>
      <c r="C384" s="548"/>
      <c r="F384" s="737"/>
      <c r="G384" s="737"/>
      <c r="H384" s="544"/>
    </row>
    <row r="385" spans="2:8" s="109" customFormat="1" ht="12.75">
      <c r="B385" s="548"/>
      <c r="C385" s="548"/>
      <c r="F385" s="737"/>
      <c r="G385" s="737"/>
      <c r="H385" s="544"/>
    </row>
    <row r="386" spans="2:8" s="109" customFormat="1" ht="12.75">
      <c r="B386" s="548"/>
      <c r="C386" s="548"/>
      <c r="F386" s="737"/>
      <c r="G386" s="737"/>
      <c r="H386" s="544"/>
    </row>
    <row r="387" spans="2:8" s="109" customFormat="1" ht="12.75">
      <c r="B387" s="548"/>
      <c r="C387" s="548"/>
      <c r="F387" s="737"/>
      <c r="G387" s="737"/>
      <c r="H387" s="544"/>
    </row>
    <row r="388" spans="2:8" s="109" customFormat="1" ht="12.75">
      <c r="B388" s="548"/>
      <c r="C388" s="548"/>
      <c r="F388" s="737"/>
      <c r="G388" s="737"/>
      <c r="H388" s="544"/>
    </row>
    <row r="389" spans="2:8" s="109" customFormat="1" ht="12.75">
      <c r="B389" s="548"/>
      <c r="C389" s="548"/>
      <c r="F389" s="737"/>
      <c r="G389" s="737"/>
      <c r="H389" s="544"/>
    </row>
    <row r="390" spans="2:8" s="109" customFormat="1" ht="12.75">
      <c r="B390" s="548"/>
      <c r="C390" s="548"/>
      <c r="F390" s="737"/>
      <c r="G390" s="737"/>
      <c r="H390" s="544"/>
    </row>
    <row r="391" spans="2:8" s="109" customFormat="1" ht="12.75">
      <c r="B391" s="548"/>
      <c r="C391" s="548"/>
      <c r="F391" s="737"/>
      <c r="G391" s="737"/>
      <c r="H391" s="544"/>
    </row>
    <row r="392" spans="2:8" s="109" customFormat="1" ht="12.75">
      <c r="B392" s="548"/>
      <c r="C392" s="548"/>
      <c r="F392" s="737"/>
      <c r="G392" s="737"/>
      <c r="H392" s="544"/>
    </row>
    <row r="393" spans="2:8" s="109" customFormat="1" ht="12.75">
      <c r="B393" s="548"/>
      <c r="C393" s="548"/>
      <c r="F393" s="737"/>
      <c r="G393" s="737"/>
      <c r="H393" s="544"/>
    </row>
    <row r="394" spans="2:8" s="109" customFormat="1" ht="12.75">
      <c r="B394" s="548"/>
      <c r="C394" s="548"/>
      <c r="F394" s="737"/>
      <c r="G394" s="737"/>
      <c r="H394" s="544"/>
    </row>
    <row r="395" spans="2:8" s="109" customFormat="1" ht="12.75">
      <c r="B395" s="548"/>
      <c r="C395" s="548"/>
      <c r="F395" s="737"/>
      <c r="G395" s="737"/>
      <c r="H395" s="544"/>
    </row>
    <row r="396" spans="2:8" s="109" customFormat="1" ht="12.75">
      <c r="B396" s="548"/>
      <c r="C396" s="548"/>
      <c r="F396" s="737"/>
      <c r="G396" s="737"/>
      <c r="H396" s="544"/>
    </row>
    <row r="397" spans="2:8" s="109" customFormat="1" ht="12.75">
      <c r="B397" s="548"/>
      <c r="C397" s="548"/>
      <c r="F397" s="737"/>
      <c r="G397" s="737"/>
      <c r="H397" s="544"/>
    </row>
    <row r="398" spans="2:8" s="109" customFormat="1" ht="12.75">
      <c r="B398" s="548"/>
      <c r="C398" s="548"/>
      <c r="F398" s="737"/>
      <c r="G398" s="737"/>
      <c r="H398" s="544"/>
    </row>
    <row r="399" spans="2:8" s="109" customFormat="1" ht="12.75">
      <c r="B399" s="548"/>
      <c r="C399" s="548"/>
      <c r="F399" s="737"/>
      <c r="G399" s="737"/>
      <c r="H399" s="544"/>
    </row>
    <row r="400" spans="2:8" s="109" customFormat="1" ht="12.75">
      <c r="B400" s="548"/>
      <c r="C400" s="548"/>
      <c r="F400" s="737"/>
      <c r="G400" s="737"/>
      <c r="H400" s="544"/>
    </row>
    <row r="401" spans="2:8" s="109" customFormat="1" ht="12.75">
      <c r="B401" s="548"/>
      <c r="C401" s="548"/>
      <c r="F401" s="737"/>
      <c r="G401" s="737"/>
      <c r="H401" s="544"/>
    </row>
    <row r="402" spans="2:8" s="109" customFormat="1" ht="12.75">
      <c r="B402" s="548"/>
      <c r="C402" s="548"/>
      <c r="F402" s="737"/>
      <c r="G402" s="737"/>
      <c r="H402" s="544"/>
    </row>
    <row r="403" spans="2:8" s="109" customFormat="1" ht="12.75">
      <c r="B403" s="548"/>
      <c r="C403" s="548"/>
      <c r="F403" s="737"/>
      <c r="G403" s="737"/>
      <c r="H403" s="544"/>
    </row>
    <row r="404" spans="2:8" s="109" customFormat="1" ht="12.75">
      <c r="B404" s="548"/>
      <c r="C404" s="548"/>
      <c r="F404" s="737"/>
      <c r="G404" s="737"/>
      <c r="H404" s="544"/>
    </row>
    <row r="405" spans="2:8" s="109" customFormat="1" ht="12.75">
      <c r="B405" s="548"/>
      <c r="C405" s="548"/>
      <c r="F405" s="737"/>
      <c r="G405" s="737"/>
      <c r="H405" s="544"/>
    </row>
    <row r="406" spans="2:8" s="109" customFormat="1" ht="12.75">
      <c r="B406" s="548"/>
      <c r="C406" s="548"/>
      <c r="F406" s="737"/>
      <c r="G406" s="737"/>
      <c r="H406" s="544"/>
    </row>
    <row r="407" spans="2:8" s="109" customFormat="1" ht="12.75">
      <c r="B407" s="548"/>
      <c r="C407" s="548"/>
      <c r="F407" s="737"/>
      <c r="G407" s="737"/>
      <c r="H407" s="544"/>
    </row>
    <row r="408" spans="2:8" s="109" customFormat="1" ht="12.75">
      <c r="B408" s="548"/>
      <c r="C408" s="548"/>
      <c r="F408" s="737"/>
      <c r="G408" s="737"/>
      <c r="H408" s="544"/>
    </row>
    <row r="409" spans="2:8" s="109" customFormat="1" ht="12.75">
      <c r="B409" s="548"/>
      <c r="C409" s="548"/>
      <c r="F409" s="737"/>
      <c r="G409" s="737"/>
      <c r="H409" s="544"/>
    </row>
    <row r="410" spans="2:8" s="109" customFormat="1" ht="12.75">
      <c r="B410" s="548"/>
      <c r="C410" s="548"/>
      <c r="F410" s="737"/>
      <c r="G410" s="737"/>
      <c r="H410" s="544"/>
    </row>
    <row r="411" spans="2:8" s="109" customFormat="1" ht="12.75">
      <c r="B411" s="548"/>
      <c r="C411" s="548"/>
      <c r="F411" s="737"/>
      <c r="G411" s="737"/>
      <c r="H411" s="544"/>
    </row>
    <row r="412" spans="2:8" s="109" customFormat="1" ht="12.75">
      <c r="B412" s="548"/>
      <c r="C412" s="548"/>
      <c r="F412" s="737"/>
      <c r="G412" s="737"/>
      <c r="H412" s="544"/>
    </row>
    <row r="413" spans="2:8" s="109" customFormat="1" ht="12.75">
      <c r="B413" s="548"/>
      <c r="C413" s="548"/>
      <c r="F413" s="737"/>
      <c r="G413" s="737"/>
      <c r="H413" s="544"/>
    </row>
    <row r="414" spans="2:8" s="109" customFormat="1" ht="12.75">
      <c r="B414" s="548"/>
      <c r="C414" s="548"/>
      <c r="F414" s="737"/>
      <c r="G414" s="737"/>
      <c r="H414" s="544"/>
    </row>
    <row r="415" spans="2:8" s="109" customFormat="1" ht="12.75">
      <c r="B415" s="548"/>
      <c r="C415" s="548"/>
      <c r="F415" s="737"/>
      <c r="G415" s="737"/>
      <c r="H415" s="544"/>
    </row>
    <row r="416" spans="2:8" s="109" customFormat="1" ht="12.75">
      <c r="B416" s="548"/>
      <c r="C416" s="548"/>
      <c r="F416" s="737"/>
      <c r="G416" s="737"/>
      <c r="H416" s="544"/>
    </row>
    <row r="417" spans="2:8" s="109" customFormat="1" ht="12.75">
      <c r="B417" s="548"/>
      <c r="C417" s="548"/>
      <c r="F417" s="737"/>
      <c r="G417" s="737"/>
      <c r="H417" s="544"/>
    </row>
    <row r="418" spans="2:8" s="109" customFormat="1" ht="12.75">
      <c r="B418" s="548"/>
      <c r="C418" s="548"/>
      <c r="F418" s="737"/>
      <c r="G418" s="737"/>
      <c r="H418" s="544"/>
    </row>
    <row r="419" spans="2:8" s="109" customFormat="1" ht="12.75">
      <c r="B419" s="548"/>
      <c r="C419" s="548"/>
      <c r="F419" s="737"/>
      <c r="G419" s="737"/>
      <c r="H419" s="544"/>
    </row>
    <row r="420" spans="2:8" s="109" customFormat="1" ht="12.75">
      <c r="B420" s="548"/>
      <c r="C420" s="548"/>
      <c r="F420" s="737"/>
      <c r="G420" s="737"/>
      <c r="H420" s="544"/>
    </row>
    <row r="421" spans="2:8" s="109" customFormat="1" ht="12.75">
      <c r="B421" s="548"/>
      <c r="C421" s="548"/>
      <c r="F421" s="737"/>
      <c r="G421" s="737"/>
      <c r="H421" s="544"/>
    </row>
    <row r="422" spans="2:8" s="109" customFormat="1" ht="12.75">
      <c r="B422" s="548"/>
      <c r="C422" s="548"/>
      <c r="F422" s="737"/>
      <c r="G422" s="737"/>
      <c r="H422" s="544"/>
    </row>
    <row r="423" spans="2:8" s="109" customFormat="1" ht="12.75">
      <c r="B423" s="548"/>
      <c r="C423" s="548"/>
      <c r="F423" s="737"/>
      <c r="G423" s="737"/>
      <c r="H423" s="544"/>
    </row>
    <row r="424" spans="2:8" s="109" customFormat="1" ht="12.75">
      <c r="B424" s="548"/>
      <c r="C424" s="548"/>
      <c r="F424" s="737"/>
      <c r="G424" s="737"/>
      <c r="H424" s="544"/>
    </row>
    <row r="425" spans="2:8" s="109" customFormat="1" ht="12.75">
      <c r="B425" s="548"/>
      <c r="C425" s="548"/>
      <c r="F425" s="737"/>
      <c r="G425" s="737"/>
      <c r="H425" s="544"/>
    </row>
    <row r="426" spans="2:8" s="109" customFormat="1" ht="12.75">
      <c r="B426" s="548"/>
      <c r="C426" s="548"/>
      <c r="F426" s="737"/>
      <c r="G426" s="737"/>
      <c r="H426" s="544"/>
    </row>
    <row r="427" spans="2:8" s="109" customFormat="1" ht="12.75">
      <c r="B427" s="548"/>
      <c r="C427" s="548"/>
      <c r="F427" s="737"/>
      <c r="G427" s="737"/>
      <c r="H427" s="544"/>
    </row>
    <row r="428" spans="2:8" s="109" customFormat="1" ht="12.75">
      <c r="B428" s="548"/>
      <c r="C428" s="548"/>
      <c r="F428" s="737"/>
      <c r="G428" s="737"/>
      <c r="H428" s="544"/>
    </row>
    <row r="429" spans="2:8" s="109" customFormat="1" ht="12.75">
      <c r="B429" s="548"/>
      <c r="C429" s="548"/>
      <c r="F429" s="737"/>
      <c r="G429" s="737"/>
      <c r="H429" s="544"/>
    </row>
    <row r="430" spans="2:8" s="109" customFormat="1" ht="12.75">
      <c r="B430" s="548"/>
      <c r="C430" s="548"/>
      <c r="F430" s="737"/>
      <c r="G430" s="737"/>
      <c r="H430" s="544"/>
    </row>
    <row r="431" spans="2:8" s="109" customFormat="1" ht="12.75">
      <c r="B431" s="548"/>
      <c r="C431" s="548"/>
      <c r="F431" s="737"/>
      <c r="G431" s="737"/>
      <c r="H431" s="544"/>
    </row>
    <row r="432" spans="2:8" s="109" customFormat="1" ht="12.75">
      <c r="B432" s="548"/>
      <c r="C432" s="548"/>
      <c r="F432" s="737"/>
      <c r="G432" s="737"/>
      <c r="H432" s="544"/>
    </row>
    <row r="433" spans="2:8" s="109" customFormat="1" ht="12.75">
      <c r="B433" s="548"/>
      <c r="C433" s="548"/>
      <c r="F433" s="737"/>
      <c r="G433" s="737"/>
      <c r="H433" s="544"/>
    </row>
    <row r="434" spans="2:8" s="109" customFormat="1" ht="12.75">
      <c r="B434" s="548"/>
      <c r="C434" s="548"/>
      <c r="F434" s="737"/>
      <c r="G434" s="737"/>
      <c r="H434" s="544"/>
    </row>
    <row r="435" spans="2:8" s="109" customFormat="1" ht="12.75">
      <c r="B435" s="548"/>
      <c r="C435" s="548"/>
      <c r="F435" s="737"/>
      <c r="G435" s="737"/>
      <c r="H435" s="544"/>
    </row>
    <row r="436" spans="2:8" s="109" customFormat="1" ht="12.75">
      <c r="B436" s="548"/>
      <c r="C436" s="548"/>
      <c r="F436" s="737"/>
      <c r="G436" s="737"/>
      <c r="H436" s="544"/>
    </row>
    <row r="437" spans="2:8" s="109" customFormat="1" ht="12.75">
      <c r="B437" s="548"/>
      <c r="C437" s="548"/>
      <c r="F437" s="737"/>
      <c r="G437" s="737"/>
      <c r="H437" s="544"/>
    </row>
    <row r="438" spans="2:8" s="109" customFormat="1" ht="12.75">
      <c r="B438" s="548"/>
      <c r="C438" s="548"/>
      <c r="F438" s="737"/>
      <c r="G438" s="737"/>
      <c r="H438" s="544"/>
    </row>
    <row r="439" spans="2:8" s="109" customFormat="1" ht="12.75">
      <c r="B439" s="548"/>
      <c r="C439" s="548"/>
      <c r="F439" s="737"/>
      <c r="G439" s="737"/>
      <c r="H439" s="544"/>
    </row>
    <row r="440" spans="2:8" s="109" customFormat="1" ht="12.75">
      <c r="B440" s="548"/>
      <c r="C440" s="548"/>
      <c r="F440" s="737"/>
      <c r="G440" s="737"/>
      <c r="H440" s="544"/>
    </row>
    <row r="441" spans="2:8" s="109" customFormat="1" ht="12.75">
      <c r="B441" s="548"/>
      <c r="C441" s="548"/>
      <c r="F441" s="737"/>
      <c r="G441" s="737"/>
      <c r="H441" s="544"/>
    </row>
    <row r="442" spans="2:8" s="109" customFormat="1" ht="12.75">
      <c r="B442" s="548"/>
      <c r="C442" s="548"/>
      <c r="F442" s="737"/>
      <c r="G442" s="737"/>
      <c r="H442" s="544"/>
    </row>
    <row r="443" spans="2:8" s="109" customFormat="1" ht="12.75">
      <c r="B443" s="548"/>
      <c r="C443" s="548"/>
      <c r="F443" s="737"/>
      <c r="G443" s="737"/>
      <c r="H443" s="544"/>
    </row>
    <row r="444" spans="2:8" s="109" customFormat="1" ht="12.75">
      <c r="B444" s="548"/>
      <c r="C444" s="548"/>
      <c r="F444" s="737"/>
      <c r="G444" s="737"/>
      <c r="H444" s="544"/>
    </row>
    <row r="445" spans="2:8" s="109" customFormat="1" ht="12.75">
      <c r="B445" s="548"/>
      <c r="C445" s="548"/>
      <c r="F445" s="737"/>
      <c r="G445" s="737"/>
      <c r="H445" s="544"/>
    </row>
    <row r="446" spans="2:8" s="109" customFormat="1" ht="12.75">
      <c r="B446" s="548"/>
      <c r="C446" s="548"/>
      <c r="F446" s="737"/>
      <c r="G446" s="737"/>
      <c r="H446" s="544"/>
    </row>
    <row r="447" spans="2:8" s="109" customFormat="1" ht="12.75">
      <c r="B447" s="548"/>
      <c r="C447" s="548"/>
      <c r="F447" s="737"/>
      <c r="G447" s="737"/>
      <c r="H447" s="544"/>
    </row>
    <row r="448" spans="2:8" s="109" customFormat="1" ht="12.75">
      <c r="B448" s="548"/>
      <c r="C448" s="548"/>
      <c r="F448" s="737"/>
      <c r="G448" s="737"/>
      <c r="H448" s="544"/>
    </row>
    <row r="449" spans="2:8" s="109" customFormat="1" ht="12.75">
      <c r="B449" s="548"/>
      <c r="C449" s="548"/>
      <c r="F449" s="737"/>
      <c r="G449" s="737"/>
      <c r="H449" s="544"/>
    </row>
    <row r="450" spans="2:8" s="109" customFormat="1" ht="12.75">
      <c r="B450" s="548"/>
      <c r="C450" s="548"/>
      <c r="F450" s="737"/>
      <c r="G450" s="737"/>
      <c r="H450" s="544"/>
    </row>
    <row r="451" spans="2:8" s="109" customFormat="1" ht="12.75">
      <c r="B451" s="548"/>
      <c r="C451" s="548"/>
      <c r="F451" s="737"/>
      <c r="G451" s="737"/>
      <c r="H451" s="544"/>
    </row>
    <row r="452" spans="2:8" s="109" customFormat="1" ht="12.75">
      <c r="B452" s="548"/>
      <c r="C452" s="548"/>
      <c r="F452" s="737"/>
      <c r="G452" s="737"/>
      <c r="H452" s="544"/>
    </row>
    <row r="453" spans="2:8" s="109" customFormat="1" ht="12.75">
      <c r="B453" s="548"/>
      <c r="C453" s="548"/>
      <c r="F453" s="737"/>
      <c r="G453" s="737"/>
      <c r="H453" s="544"/>
    </row>
    <row r="454" spans="2:8" s="109" customFormat="1" ht="12.75">
      <c r="B454" s="548"/>
      <c r="C454" s="548"/>
      <c r="F454" s="737"/>
      <c r="G454" s="737"/>
      <c r="H454" s="544"/>
    </row>
    <row r="455" spans="2:8" s="109" customFormat="1" ht="12.75">
      <c r="B455" s="548"/>
      <c r="C455" s="548"/>
      <c r="F455" s="737"/>
      <c r="G455" s="737"/>
      <c r="H455" s="544"/>
    </row>
    <row r="456" spans="2:8" s="109" customFormat="1" ht="12.75">
      <c r="B456" s="548"/>
      <c r="C456" s="548"/>
      <c r="F456" s="737"/>
      <c r="G456" s="737"/>
      <c r="H456" s="544"/>
    </row>
    <row r="457" spans="2:8" s="109" customFormat="1" ht="12.75">
      <c r="B457" s="548"/>
      <c r="C457" s="548"/>
      <c r="F457" s="737"/>
      <c r="G457" s="737"/>
      <c r="H457" s="544"/>
    </row>
    <row r="458" spans="2:8" s="109" customFormat="1" ht="12.75">
      <c r="B458" s="548"/>
      <c r="C458" s="548"/>
      <c r="F458" s="737"/>
      <c r="G458" s="737"/>
      <c r="H458" s="544"/>
    </row>
    <row r="459" spans="2:8" s="109" customFormat="1" ht="12.75">
      <c r="B459" s="548"/>
      <c r="C459" s="548"/>
      <c r="F459" s="737"/>
      <c r="G459" s="737"/>
      <c r="H459" s="544"/>
    </row>
    <row r="460" spans="2:8" s="109" customFormat="1" ht="12.75">
      <c r="B460" s="548"/>
      <c r="C460" s="548"/>
      <c r="F460" s="737"/>
      <c r="G460" s="737"/>
      <c r="H460" s="544"/>
    </row>
    <row r="461" spans="2:8" s="109" customFormat="1" ht="12.75">
      <c r="B461" s="548"/>
      <c r="C461" s="548"/>
      <c r="F461" s="737"/>
      <c r="G461" s="737"/>
      <c r="H461" s="544"/>
    </row>
    <row r="462" spans="2:8" s="109" customFormat="1" ht="12.75">
      <c r="B462" s="548"/>
      <c r="C462" s="548"/>
      <c r="F462" s="737"/>
      <c r="G462" s="737"/>
      <c r="H462" s="544"/>
    </row>
    <row r="463" spans="2:8" s="109" customFormat="1" ht="12.75">
      <c r="B463" s="548"/>
      <c r="C463" s="548"/>
      <c r="F463" s="737"/>
      <c r="G463" s="737"/>
      <c r="H463" s="544"/>
    </row>
    <row r="464" spans="2:8" s="109" customFormat="1" ht="12.75">
      <c r="B464" s="548"/>
      <c r="C464" s="548"/>
      <c r="F464" s="737"/>
      <c r="G464" s="737"/>
      <c r="H464" s="544"/>
    </row>
    <row r="465" spans="2:8" s="109" customFormat="1" ht="12.75">
      <c r="B465" s="548"/>
      <c r="C465" s="548"/>
      <c r="F465" s="737"/>
      <c r="G465" s="737"/>
      <c r="H465" s="544"/>
    </row>
    <row r="466" spans="2:8" s="109" customFormat="1" ht="12.75">
      <c r="B466" s="548"/>
      <c r="C466" s="548"/>
      <c r="F466" s="737"/>
      <c r="G466" s="737"/>
      <c r="H466" s="544"/>
    </row>
    <row r="467" spans="2:8" s="109" customFormat="1" ht="12.75">
      <c r="B467" s="548"/>
      <c r="C467" s="548"/>
      <c r="F467" s="737"/>
      <c r="G467" s="737"/>
      <c r="H467" s="544"/>
    </row>
    <row r="468" spans="2:8" s="109" customFormat="1" ht="12.75">
      <c r="B468" s="548"/>
      <c r="C468" s="548"/>
      <c r="F468" s="737"/>
      <c r="G468" s="737"/>
      <c r="H468" s="544"/>
    </row>
    <row r="469" spans="2:8" s="109" customFormat="1" ht="12.75">
      <c r="B469" s="548"/>
      <c r="C469" s="548"/>
      <c r="F469" s="737"/>
      <c r="G469" s="737"/>
      <c r="H469" s="544"/>
    </row>
    <row r="470" spans="2:8" s="109" customFormat="1" ht="12.75">
      <c r="B470" s="548"/>
      <c r="C470" s="548"/>
      <c r="F470" s="737"/>
      <c r="G470" s="737"/>
      <c r="H470" s="544"/>
    </row>
    <row r="471" spans="2:8" s="109" customFormat="1" ht="12.75">
      <c r="B471" s="548"/>
      <c r="C471" s="548"/>
      <c r="F471" s="737"/>
      <c r="G471" s="737"/>
      <c r="H471" s="544"/>
    </row>
    <row r="472" spans="2:8" s="109" customFormat="1" ht="12.75">
      <c r="B472" s="548"/>
      <c r="C472" s="548"/>
      <c r="F472" s="737"/>
      <c r="G472" s="737"/>
      <c r="H472" s="544"/>
    </row>
    <row r="473" spans="2:8" s="109" customFormat="1" ht="12.75">
      <c r="B473" s="548"/>
      <c r="C473" s="548"/>
      <c r="F473" s="737"/>
      <c r="G473" s="737"/>
      <c r="H473" s="544"/>
    </row>
    <row r="474" spans="2:8" s="109" customFormat="1" ht="12.75">
      <c r="B474" s="548"/>
      <c r="C474" s="548"/>
      <c r="F474" s="737"/>
      <c r="G474" s="737"/>
      <c r="H474" s="544"/>
    </row>
    <row r="475" spans="2:8" s="109" customFormat="1" ht="12.75">
      <c r="B475" s="548"/>
      <c r="C475" s="548"/>
      <c r="F475" s="737"/>
      <c r="G475" s="737"/>
      <c r="H475" s="544"/>
    </row>
    <row r="476" spans="2:8" s="109" customFormat="1" ht="12.75">
      <c r="B476" s="548"/>
      <c r="C476" s="548"/>
      <c r="F476" s="737"/>
      <c r="G476" s="737"/>
      <c r="H476" s="544"/>
    </row>
    <row r="477" spans="2:8" s="109" customFormat="1" ht="12.75">
      <c r="B477" s="548"/>
      <c r="C477" s="548"/>
      <c r="F477" s="737"/>
      <c r="G477" s="737"/>
      <c r="H477" s="544"/>
    </row>
    <row r="478" spans="2:8" s="109" customFormat="1" ht="12.75">
      <c r="B478" s="548"/>
      <c r="C478" s="548"/>
      <c r="F478" s="737"/>
      <c r="G478" s="737"/>
      <c r="H478" s="544"/>
    </row>
    <row r="479" spans="2:8" s="109" customFormat="1" ht="12.75">
      <c r="B479" s="548"/>
      <c r="C479" s="548"/>
      <c r="F479" s="737"/>
      <c r="G479" s="737"/>
      <c r="H479" s="544"/>
    </row>
    <row r="480" spans="2:8" s="109" customFormat="1" ht="12.75">
      <c r="B480" s="548"/>
      <c r="C480" s="548"/>
      <c r="F480" s="737"/>
      <c r="G480" s="737"/>
      <c r="H480" s="544"/>
    </row>
    <row r="481" spans="2:8" s="109" customFormat="1" ht="12.75">
      <c r="B481" s="548"/>
      <c r="C481" s="548"/>
      <c r="F481" s="737"/>
      <c r="G481" s="737"/>
      <c r="H481" s="544"/>
    </row>
    <row r="482" spans="2:8" s="109" customFormat="1" ht="12.75">
      <c r="B482" s="548"/>
      <c r="C482" s="548"/>
      <c r="F482" s="737"/>
      <c r="G482" s="737"/>
      <c r="H482" s="544"/>
    </row>
    <row r="483" spans="2:8" s="109" customFormat="1" ht="12.75">
      <c r="B483" s="548"/>
      <c r="C483" s="548"/>
      <c r="F483" s="737"/>
      <c r="G483" s="737"/>
      <c r="H483" s="544"/>
    </row>
    <row r="484" spans="2:8" s="109" customFormat="1" ht="12.75">
      <c r="B484" s="548"/>
      <c r="C484" s="548"/>
      <c r="F484" s="737"/>
      <c r="G484" s="737"/>
      <c r="H484" s="544"/>
    </row>
    <row r="485" spans="2:8" s="109" customFormat="1" ht="12.75">
      <c r="B485" s="548"/>
      <c r="C485" s="548"/>
      <c r="F485" s="737"/>
      <c r="G485" s="737"/>
      <c r="H485" s="544"/>
    </row>
    <row r="486" spans="2:8" s="109" customFormat="1" ht="12.75">
      <c r="B486" s="548"/>
      <c r="C486" s="548"/>
      <c r="F486" s="737"/>
      <c r="G486" s="737"/>
      <c r="H486" s="544"/>
    </row>
    <row r="487" spans="2:8" s="109" customFormat="1" ht="12.75">
      <c r="B487" s="548"/>
      <c r="C487" s="548"/>
      <c r="F487" s="737"/>
      <c r="G487" s="737"/>
      <c r="H487" s="544"/>
    </row>
    <row r="488" spans="2:8" s="109" customFormat="1" ht="12.75">
      <c r="B488" s="548"/>
      <c r="C488" s="548"/>
      <c r="F488" s="737"/>
      <c r="G488" s="737"/>
      <c r="H488" s="544"/>
    </row>
    <row r="489" spans="2:8" s="109" customFormat="1" ht="12.75">
      <c r="B489" s="548"/>
      <c r="C489" s="548"/>
      <c r="F489" s="737"/>
      <c r="G489" s="737"/>
      <c r="H489" s="544"/>
    </row>
    <row r="490" spans="2:8" s="109" customFormat="1" ht="12.75">
      <c r="B490" s="548"/>
      <c r="C490" s="548"/>
      <c r="F490" s="737"/>
      <c r="G490" s="737"/>
      <c r="H490" s="544"/>
    </row>
    <row r="491" spans="2:8" s="109" customFormat="1" ht="12.75">
      <c r="B491" s="548"/>
      <c r="C491" s="548"/>
      <c r="F491" s="737"/>
      <c r="G491" s="737"/>
      <c r="H491" s="544"/>
    </row>
    <row r="492" spans="2:8" s="109" customFormat="1" ht="12.75">
      <c r="B492" s="548"/>
      <c r="C492" s="548"/>
      <c r="F492" s="737"/>
      <c r="G492" s="737"/>
      <c r="H492" s="544"/>
    </row>
    <row r="493" spans="2:8" s="109" customFormat="1" ht="12.75">
      <c r="B493" s="548"/>
      <c r="C493" s="548"/>
      <c r="F493" s="737"/>
      <c r="G493" s="737"/>
      <c r="H493" s="544"/>
    </row>
    <row r="494" spans="2:8" s="109" customFormat="1" ht="12.75">
      <c r="B494" s="548"/>
      <c r="C494" s="548"/>
      <c r="F494" s="737"/>
      <c r="G494" s="737"/>
      <c r="H494" s="544"/>
    </row>
    <row r="495" spans="2:8" s="109" customFormat="1" ht="12.75">
      <c r="B495" s="548"/>
      <c r="C495" s="548"/>
      <c r="F495" s="737"/>
      <c r="G495" s="737"/>
      <c r="H495" s="544"/>
    </row>
    <row r="496" spans="2:8" s="109" customFormat="1" ht="12.75">
      <c r="B496" s="548"/>
      <c r="C496" s="548"/>
      <c r="F496" s="737"/>
      <c r="G496" s="737"/>
      <c r="H496" s="544"/>
    </row>
    <row r="497" spans="2:8" s="109" customFormat="1" ht="12.75">
      <c r="B497" s="548"/>
      <c r="C497" s="548"/>
      <c r="F497" s="737"/>
      <c r="G497" s="737"/>
      <c r="H497" s="544"/>
    </row>
    <row r="498" spans="2:8" s="109" customFormat="1" ht="12.75">
      <c r="B498" s="548"/>
      <c r="C498" s="548"/>
      <c r="F498" s="737"/>
      <c r="G498" s="737"/>
      <c r="H498" s="544"/>
    </row>
    <row r="499" spans="2:8" s="109" customFormat="1" ht="12.75">
      <c r="B499" s="548"/>
      <c r="C499" s="548"/>
      <c r="F499" s="737"/>
      <c r="G499" s="737"/>
      <c r="H499" s="544"/>
    </row>
    <row r="500" spans="2:8" s="109" customFormat="1" ht="12.75">
      <c r="B500" s="548"/>
      <c r="C500" s="548"/>
      <c r="F500" s="737"/>
      <c r="G500" s="737"/>
      <c r="H500" s="544"/>
    </row>
    <row r="501" spans="2:8" s="109" customFormat="1" ht="12.75">
      <c r="B501" s="548"/>
      <c r="C501" s="548"/>
      <c r="F501" s="737"/>
      <c r="G501" s="737"/>
      <c r="H501" s="544"/>
    </row>
    <row r="502" spans="2:8" s="109" customFormat="1" ht="12.75">
      <c r="B502" s="548"/>
      <c r="C502" s="548"/>
      <c r="F502" s="737"/>
      <c r="G502" s="737"/>
      <c r="H502" s="544"/>
    </row>
    <row r="503" spans="2:8" s="109" customFormat="1" ht="12.75">
      <c r="B503" s="548"/>
      <c r="C503" s="548"/>
      <c r="F503" s="737"/>
      <c r="G503" s="737"/>
      <c r="H503" s="544"/>
    </row>
    <row r="504" spans="2:8" s="109" customFormat="1" ht="12.75">
      <c r="B504" s="548"/>
      <c r="C504" s="548"/>
      <c r="F504" s="737"/>
      <c r="G504" s="737"/>
      <c r="H504" s="544"/>
    </row>
    <row r="505" spans="2:8" s="109" customFormat="1" ht="12.75">
      <c r="B505" s="548"/>
      <c r="C505" s="548"/>
      <c r="F505" s="737"/>
      <c r="G505" s="737"/>
      <c r="H505" s="544"/>
    </row>
    <row r="506" spans="2:8" s="109" customFormat="1" ht="12.75">
      <c r="B506" s="548"/>
      <c r="C506" s="548"/>
      <c r="F506" s="737"/>
      <c r="G506" s="737"/>
      <c r="H506" s="544"/>
    </row>
    <row r="507" spans="2:8" s="109" customFormat="1" ht="12.75">
      <c r="B507" s="548"/>
      <c r="C507" s="548"/>
      <c r="F507" s="737"/>
      <c r="G507" s="737"/>
      <c r="H507" s="544"/>
    </row>
    <row r="508" spans="2:8" s="109" customFormat="1" ht="12.75">
      <c r="B508" s="548"/>
      <c r="C508" s="548"/>
      <c r="F508" s="737"/>
      <c r="G508" s="737"/>
      <c r="H508" s="544"/>
    </row>
    <row r="509" spans="2:8" s="109" customFormat="1" ht="12.75">
      <c r="B509" s="548"/>
      <c r="C509" s="548"/>
      <c r="F509" s="737"/>
      <c r="G509" s="737"/>
      <c r="H509" s="544"/>
    </row>
    <row r="510" spans="2:8" s="109" customFormat="1" ht="12.75">
      <c r="B510" s="548"/>
      <c r="C510" s="548"/>
      <c r="F510" s="737"/>
      <c r="G510" s="737"/>
      <c r="H510" s="544"/>
    </row>
    <row r="511" spans="2:8" s="109" customFormat="1" ht="12.75">
      <c r="B511" s="548"/>
      <c r="C511" s="548"/>
      <c r="F511" s="737"/>
      <c r="G511" s="737"/>
      <c r="H511" s="544"/>
    </row>
    <row r="512" spans="2:8" s="109" customFormat="1" ht="12.75">
      <c r="B512" s="548"/>
      <c r="C512" s="548"/>
      <c r="F512" s="737"/>
      <c r="G512" s="737"/>
      <c r="H512" s="544"/>
    </row>
    <row r="513" spans="2:8" s="109" customFormat="1" ht="12.75">
      <c r="B513" s="548"/>
      <c r="C513" s="548"/>
      <c r="F513" s="737"/>
      <c r="G513" s="737"/>
      <c r="H513" s="544"/>
    </row>
    <row r="514" spans="2:8" s="109" customFormat="1" ht="12.75">
      <c r="B514" s="548"/>
      <c r="C514" s="548"/>
      <c r="F514" s="737"/>
      <c r="G514" s="737"/>
      <c r="H514" s="544"/>
    </row>
    <row r="515" spans="2:8" s="109" customFormat="1" ht="12.75">
      <c r="B515" s="548"/>
      <c r="C515" s="548"/>
      <c r="F515" s="737"/>
      <c r="G515" s="737"/>
      <c r="H515" s="544"/>
    </row>
    <row r="516" spans="2:8" s="109" customFormat="1" ht="12.75">
      <c r="B516" s="548"/>
      <c r="C516" s="548"/>
      <c r="F516" s="737"/>
      <c r="G516" s="737"/>
      <c r="H516" s="544"/>
    </row>
    <row r="517" spans="2:8" s="109" customFormat="1" ht="12.75">
      <c r="B517" s="548"/>
      <c r="C517" s="548"/>
      <c r="F517" s="737"/>
      <c r="G517" s="737"/>
      <c r="H517" s="544"/>
    </row>
    <row r="518" spans="2:8" s="109" customFormat="1" ht="12.75">
      <c r="B518" s="548"/>
      <c r="C518" s="548"/>
      <c r="F518" s="737"/>
      <c r="G518" s="737"/>
      <c r="H518" s="544"/>
    </row>
    <row r="519" spans="2:8" s="109" customFormat="1" ht="12.75">
      <c r="B519" s="548"/>
      <c r="C519" s="548"/>
      <c r="F519" s="737"/>
      <c r="G519" s="737"/>
      <c r="H519" s="544"/>
    </row>
    <row r="520" spans="2:8" s="109" customFormat="1" ht="12.75">
      <c r="B520" s="548"/>
      <c r="C520" s="548"/>
      <c r="F520" s="737"/>
      <c r="G520" s="737"/>
      <c r="H520" s="544"/>
    </row>
    <row r="521" spans="2:8" s="109" customFormat="1" ht="12.75">
      <c r="B521" s="548"/>
      <c r="C521" s="548"/>
      <c r="F521" s="737"/>
      <c r="G521" s="737"/>
      <c r="H521" s="544"/>
    </row>
    <row r="522" spans="2:8" s="109" customFormat="1" ht="12.75">
      <c r="B522" s="548"/>
      <c r="C522" s="548"/>
      <c r="F522" s="737"/>
      <c r="G522" s="737"/>
      <c r="H522" s="544"/>
    </row>
    <row r="523" spans="2:8" s="109" customFormat="1" ht="12.75">
      <c r="B523" s="548"/>
      <c r="C523" s="548"/>
      <c r="F523" s="737"/>
      <c r="G523" s="737"/>
      <c r="H523" s="544"/>
    </row>
    <row r="524" spans="2:8" s="109" customFormat="1" ht="12.75">
      <c r="B524" s="548"/>
      <c r="C524" s="548"/>
      <c r="F524" s="737"/>
      <c r="G524" s="737"/>
      <c r="H524" s="544"/>
    </row>
    <row r="525" spans="2:8" s="109" customFormat="1" ht="12.75">
      <c r="B525" s="548"/>
      <c r="C525" s="548"/>
      <c r="F525" s="737"/>
      <c r="G525" s="737"/>
      <c r="H525" s="544"/>
    </row>
    <row r="526" spans="2:8" s="109" customFormat="1" ht="12.75">
      <c r="B526" s="548"/>
      <c r="C526" s="548"/>
      <c r="F526" s="737"/>
      <c r="G526" s="737"/>
      <c r="H526" s="544"/>
    </row>
    <row r="527" spans="2:8" s="109" customFormat="1" ht="12.75">
      <c r="B527" s="548"/>
      <c r="C527" s="548"/>
      <c r="F527" s="737"/>
      <c r="G527" s="737"/>
      <c r="H527" s="544"/>
    </row>
    <row r="528" spans="2:8" s="109" customFormat="1" ht="12.75">
      <c r="B528" s="548"/>
      <c r="C528" s="548"/>
      <c r="F528" s="737"/>
      <c r="G528" s="737"/>
      <c r="H528" s="544"/>
    </row>
    <row r="529" spans="2:8" s="109" customFormat="1" ht="12.75">
      <c r="B529" s="548"/>
      <c r="C529" s="548"/>
      <c r="F529" s="737"/>
      <c r="G529" s="737"/>
      <c r="H529" s="544"/>
    </row>
    <row r="530" spans="2:8" s="109" customFormat="1" ht="12.75">
      <c r="B530" s="548"/>
      <c r="C530" s="548"/>
      <c r="F530" s="737"/>
      <c r="G530" s="737"/>
      <c r="H530" s="544"/>
    </row>
    <row r="531" spans="2:8" s="109" customFormat="1" ht="12.75">
      <c r="B531" s="548"/>
      <c r="C531" s="548"/>
      <c r="F531" s="737"/>
      <c r="G531" s="737"/>
      <c r="H531" s="544"/>
    </row>
    <row r="532" spans="2:8" s="109" customFormat="1" ht="12.75">
      <c r="B532" s="548"/>
      <c r="C532" s="548"/>
      <c r="F532" s="737"/>
      <c r="G532" s="737"/>
      <c r="H532" s="544"/>
    </row>
    <row r="533" spans="2:8" s="109" customFormat="1" ht="12.75">
      <c r="B533" s="548"/>
      <c r="C533" s="548"/>
      <c r="F533" s="737"/>
      <c r="G533" s="737"/>
      <c r="H533" s="544"/>
    </row>
    <row r="534" spans="2:8" s="109" customFormat="1" ht="12.75">
      <c r="B534" s="548"/>
      <c r="C534" s="548"/>
      <c r="F534" s="737"/>
      <c r="G534" s="737"/>
      <c r="H534" s="544"/>
    </row>
    <row r="535" spans="2:8" s="109" customFormat="1" ht="12.75">
      <c r="B535" s="548"/>
      <c r="C535" s="548"/>
      <c r="F535" s="737"/>
      <c r="G535" s="737"/>
      <c r="H535" s="544"/>
    </row>
    <row r="536" spans="2:8" s="109" customFormat="1" ht="12.75">
      <c r="B536" s="548"/>
      <c r="C536" s="548"/>
      <c r="F536" s="737"/>
      <c r="G536" s="737"/>
      <c r="H536" s="544"/>
    </row>
    <row r="537" spans="2:8" s="109" customFormat="1" ht="12.75">
      <c r="B537" s="548"/>
      <c r="C537" s="548"/>
      <c r="F537" s="737"/>
      <c r="G537" s="737"/>
      <c r="H537" s="544"/>
    </row>
    <row r="538" spans="2:8" s="109" customFormat="1" ht="12.75">
      <c r="B538" s="548"/>
      <c r="C538" s="548"/>
      <c r="F538" s="737"/>
      <c r="G538" s="737"/>
      <c r="H538" s="544"/>
    </row>
    <row r="539" spans="2:8" s="109" customFormat="1" ht="12.75">
      <c r="B539" s="548"/>
      <c r="C539" s="548"/>
      <c r="F539" s="737"/>
      <c r="G539" s="737"/>
      <c r="H539" s="544"/>
    </row>
    <row r="540" spans="2:8" s="109" customFormat="1" ht="12.75">
      <c r="B540" s="548"/>
      <c r="C540" s="548"/>
      <c r="F540" s="737"/>
      <c r="G540" s="737"/>
      <c r="H540" s="544"/>
    </row>
    <row r="541" spans="2:8" s="109" customFormat="1" ht="12.75">
      <c r="B541" s="548"/>
      <c r="C541" s="548"/>
      <c r="F541" s="737"/>
      <c r="G541" s="737"/>
      <c r="H541" s="544"/>
    </row>
    <row r="542" spans="2:8" s="109" customFormat="1" ht="12.75">
      <c r="B542" s="548"/>
      <c r="C542" s="548"/>
      <c r="F542" s="737"/>
      <c r="G542" s="737"/>
      <c r="H542" s="544"/>
    </row>
    <row r="543" spans="2:8" s="109" customFormat="1" ht="12.75">
      <c r="B543" s="548"/>
      <c r="C543" s="548"/>
      <c r="F543" s="737"/>
      <c r="G543" s="737"/>
      <c r="H543" s="544"/>
    </row>
    <row r="544" spans="2:8" s="109" customFormat="1" ht="12.75">
      <c r="B544" s="548"/>
      <c r="C544" s="548"/>
      <c r="F544" s="737"/>
      <c r="G544" s="737"/>
      <c r="H544" s="544"/>
    </row>
    <row r="545" spans="2:8" s="109" customFormat="1" ht="12.75">
      <c r="B545" s="548"/>
      <c r="C545" s="548"/>
      <c r="F545" s="737"/>
      <c r="G545" s="737"/>
      <c r="H545" s="544"/>
    </row>
    <row r="546" spans="2:8" s="109" customFormat="1" ht="12.75">
      <c r="B546" s="548"/>
      <c r="C546" s="548"/>
      <c r="F546" s="737"/>
      <c r="G546" s="737"/>
      <c r="H546" s="544"/>
    </row>
    <row r="547" spans="2:8" s="109" customFormat="1" ht="12.75">
      <c r="B547" s="548"/>
      <c r="C547" s="548"/>
      <c r="F547" s="737"/>
      <c r="G547" s="737"/>
      <c r="H547" s="544"/>
    </row>
    <row r="548" spans="2:8" s="109" customFormat="1" ht="12.75">
      <c r="B548" s="548"/>
      <c r="C548" s="548"/>
      <c r="F548" s="737"/>
      <c r="G548" s="737"/>
      <c r="H548" s="544"/>
    </row>
    <row r="549" spans="2:8" s="109" customFormat="1" ht="12.75">
      <c r="B549" s="548"/>
      <c r="C549" s="548"/>
      <c r="F549" s="737"/>
      <c r="G549" s="737"/>
      <c r="H549" s="544"/>
    </row>
    <row r="550" spans="2:8" s="109" customFormat="1" ht="12.75">
      <c r="B550" s="548"/>
      <c r="C550" s="548"/>
      <c r="F550" s="737"/>
      <c r="G550" s="737"/>
      <c r="H550" s="544"/>
    </row>
    <row r="551" spans="2:8" s="109" customFormat="1" ht="12.75">
      <c r="B551" s="548"/>
      <c r="C551" s="548"/>
      <c r="F551" s="737"/>
      <c r="G551" s="737"/>
      <c r="H551" s="544"/>
    </row>
    <row r="552" spans="2:8" s="109" customFormat="1" ht="12.75">
      <c r="B552" s="548"/>
      <c r="C552" s="548"/>
      <c r="F552" s="737"/>
      <c r="G552" s="737"/>
      <c r="H552" s="544"/>
    </row>
    <row r="553" spans="2:8" s="109" customFormat="1" ht="12.75">
      <c r="B553" s="548"/>
      <c r="C553" s="548"/>
      <c r="F553" s="737"/>
      <c r="G553" s="737"/>
      <c r="H553" s="544"/>
    </row>
    <row r="554" spans="2:8" s="109" customFormat="1" ht="12.75">
      <c r="B554" s="548"/>
      <c r="C554" s="548"/>
      <c r="F554" s="737"/>
      <c r="G554" s="737"/>
      <c r="H554" s="544"/>
    </row>
    <row r="555" spans="2:8" s="109" customFormat="1" ht="12.75">
      <c r="B555" s="548"/>
      <c r="C555" s="548"/>
      <c r="F555" s="737"/>
      <c r="G555" s="737"/>
      <c r="H555" s="544"/>
    </row>
    <row r="556" spans="2:8" s="109" customFormat="1" ht="12.75">
      <c r="B556" s="548"/>
      <c r="C556" s="548"/>
      <c r="F556" s="737"/>
      <c r="G556" s="737"/>
      <c r="H556" s="544"/>
    </row>
    <row r="557" spans="2:8" s="109" customFormat="1" ht="12.75">
      <c r="B557" s="548"/>
      <c r="C557" s="548"/>
      <c r="F557" s="737"/>
      <c r="G557" s="737"/>
      <c r="H557" s="544"/>
    </row>
    <row r="558" spans="2:8" s="109" customFormat="1" ht="12.75">
      <c r="B558" s="548"/>
      <c r="C558" s="548"/>
      <c r="F558" s="737"/>
      <c r="G558" s="737"/>
      <c r="H558" s="544"/>
    </row>
    <row r="559" spans="2:8" s="109" customFormat="1" ht="12.75">
      <c r="B559" s="548"/>
      <c r="C559" s="548"/>
      <c r="F559" s="737"/>
      <c r="G559" s="737"/>
      <c r="H559" s="544"/>
    </row>
    <row r="560" spans="2:8" s="109" customFormat="1" ht="12.75">
      <c r="B560" s="548"/>
      <c r="C560" s="548"/>
      <c r="F560" s="737"/>
      <c r="G560" s="737"/>
      <c r="H560" s="544"/>
    </row>
    <row r="561" spans="2:8" s="109" customFormat="1" ht="12.75">
      <c r="B561" s="548"/>
      <c r="C561" s="548"/>
      <c r="F561" s="737"/>
      <c r="G561" s="737"/>
      <c r="H561" s="544"/>
    </row>
    <row r="562" spans="2:8" s="109" customFormat="1" ht="12.75">
      <c r="B562" s="548"/>
      <c r="C562" s="548"/>
      <c r="F562" s="737"/>
      <c r="G562" s="737"/>
      <c r="H562" s="544"/>
    </row>
    <row r="563" spans="2:8" s="109" customFormat="1" ht="12.75">
      <c r="B563" s="548"/>
      <c r="C563" s="548"/>
      <c r="F563" s="737"/>
      <c r="G563" s="737"/>
      <c r="H563" s="544"/>
    </row>
    <row r="564" spans="2:8" s="109" customFormat="1" ht="12.75">
      <c r="B564" s="548"/>
      <c r="C564" s="548"/>
      <c r="F564" s="737"/>
      <c r="G564" s="737"/>
      <c r="H564" s="544"/>
    </row>
    <row r="565" spans="2:8" s="109" customFormat="1" ht="12.75">
      <c r="B565" s="548"/>
      <c r="C565" s="548"/>
      <c r="F565" s="737"/>
      <c r="G565" s="737"/>
      <c r="H565" s="544"/>
    </row>
    <row r="566" spans="2:8" s="109" customFormat="1" ht="12.75">
      <c r="B566" s="548"/>
      <c r="C566" s="548"/>
      <c r="F566" s="737"/>
      <c r="G566" s="737"/>
      <c r="H566" s="544"/>
    </row>
    <row r="567" spans="2:8" s="109" customFormat="1" ht="12.75">
      <c r="B567" s="548"/>
      <c r="C567" s="548"/>
      <c r="F567" s="737"/>
      <c r="G567" s="737"/>
      <c r="H567" s="544"/>
    </row>
    <row r="568" spans="2:8" s="109" customFormat="1" ht="12.75">
      <c r="B568" s="548"/>
      <c r="C568" s="548"/>
      <c r="F568" s="737"/>
      <c r="G568" s="737"/>
      <c r="H568" s="544"/>
    </row>
    <row r="569" spans="2:8" s="109" customFormat="1" ht="12.75">
      <c r="B569" s="548"/>
      <c r="C569" s="548"/>
      <c r="F569" s="737"/>
      <c r="G569" s="737"/>
      <c r="H569" s="544"/>
    </row>
    <row r="570" spans="2:8" s="109" customFormat="1" ht="12.75">
      <c r="B570" s="548"/>
      <c r="C570" s="548"/>
      <c r="F570" s="737"/>
      <c r="G570" s="737"/>
      <c r="H570" s="544"/>
    </row>
    <row r="571" spans="2:8" s="109" customFormat="1" ht="12.75">
      <c r="B571" s="548"/>
      <c r="C571" s="548"/>
      <c r="F571" s="737"/>
      <c r="G571" s="737"/>
      <c r="H571" s="544"/>
    </row>
    <row r="572" spans="2:8" s="109" customFormat="1" ht="12.75">
      <c r="B572" s="548"/>
      <c r="C572" s="548"/>
      <c r="F572" s="737"/>
      <c r="G572" s="737"/>
      <c r="H572" s="544"/>
    </row>
    <row r="573" spans="2:8" s="109" customFormat="1" ht="12.75">
      <c r="B573" s="548"/>
      <c r="C573" s="548"/>
      <c r="F573" s="737"/>
      <c r="G573" s="737"/>
      <c r="H573" s="544"/>
    </row>
    <row r="574" spans="2:8" s="109" customFormat="1" ht="12.75">
      <c r="B574" s="548"/>
      <c r="C574" s="548"/>
      <c r="F574" s="737"/>
      <c r="G574" s="737"/>
      <c r="H574" s="544"/>
    </row>
    <row r="575" spans="2:8" s="109" customFormat="1" ht="12.75">
      <c r="B575" s="548"/>
      <c r="C575" s="548"/>
      <c r="F575" s="737"/>
      <c r="G575" s="737"/>
      <c r="H575" s="544"/>
    </row>
    <row r="576" spans="2:8" s="109" customFormat="1" ht="12.75">
      <c r="B576" s="548"/>
      <c r="C576" s="548"/>
      <c r="F576" s="737"/>
      <c r="G576" s="737"/>
      <c r="H576" s="544"/>
    </row>
    <row r="577" spans="2:8" s="109" customFormat="1" ht="12.75">
      <c r="B577" s="548"/>
      <c r="C577" s="548"/>
      <c r="F577" s="737"/>
      <c r="G577" s="737"/>
      <c r="H577" s="544"/>
    </row>
    <row r="578" spans="2:8" s="109" customFormat="1" ht="12.75">
      <c r="B578" s="548"/>
      <c r="C578" s="548"/>
      <c r="F578" s="737"/>
      <c r="G578" s="737"/>
      <c r="H578" s="544"/>
    </row>
    <row r="579" spans="2:8" s="109" customFormat="1" ht="12.75">
      <c r="B579" s="548"/>
      <c r="C579" s="548"/>
      <c r="F579" s="737"/>
      <c r="G579" s="737"/>
      <c r="H579" s="544"/>
    </row>
    <row r="580" spans="2:8" s="109" customFormat="1" ht="12.75">
      <c r="B580" s="548"/>
      <c r="C580" s="548"/>
      <c r="F580" s="737"/>
      <c r="G580" s="737"/>
      <c r="H580" s="544"/>
    </row>
    <row r="581" spans="2:8" s="109" customFormat="1" ht="12.75">
      <c r="B581" s="548"/>
      <c r="C581" s="548"/>
      <c r="F581" s="737"/>
      <c r="G581" s="737"/>
      <c r="H581" s="544"/>
    </row>
    <row r="582" spans="2:8" s="109" customFormat="1" ht="12.75">
      <c r="B582" s="548"/>
      <c r="C582" s="548"/>
      <c r="F582" s="737"/>
      <c r="G582" s="737"/>
      <c r="H582" s="544"/>
    </row>
    <row r="583" spans="2:8" s="109" customFormat="1" ht="12.75">
      <c r="B583" s="548"/>
      <c r="C583" s="548"/>
      <c r="F583" s="737"/>
      <c r="G583" s="737"/>
      <c r="H583" s="544"/>
    </row>
    <row r="584" spans="2:8" s="109" customFormat="1" ht="12.75">
      <c r="B584" s="548"/>
      <c r="C584" s="548"/>
      <c r="F584" s="737"/>
      <c r="G584" s="737"/>
      <c r="H584" s="544"/>
    </row>
    <row r="585" spans="2:8" s="109" customFormat="1" ht="12.75">
      <c r="B585" s="548"/>
      <c r="C585" s="548"/>
      <c r="F585" s="737"/>
      <c r="G585" s="737"/>
      <c r="H585" s="544"/>
    </row>
    <row r="586" spans="2:8" s="109" customFormat="1" ht="12.75">
      <c r="B586" s="548"/>
      <c r="C586" s="548"/>
      <c r="F586" s="737"/>
      <c r="G586" s="737"/>
      <c r="H586" s="544"/>
    </row>
    <row r="587" spans="2:8" s="109" customFormat="1" ht="12.75">
      <c r="B587" s="548"/>
      <c r="C587" s="548"/>
      <c r="F587" s="737"/>
      <c r="G587" s="737"/>
      <c r="H587" s="544"/>
    </row>
    <row r="588" spans="2:8" s="109" customFormat="1" ht="12.75">
      <c r="B588" s="548"/>
      <c r="C588" s="548"/>
      <c r="F588" s="737"/>
      <c r="G588" s="737"/>
      <c r="H588" s="544"/>
    </row>
    <row r="589" spans="2:8" s="109" customFormat="1" ht="12.75">
      <c r="B589" s="548"/>
      <c r="C589" s="548"/>
      <c r="F589" s="737"/>
      <c r="G589" s="737"/>
      <c r="H589" s="544"/>
    </row>
    <row r="590" spans="2:8" s="109" customFormat="1" ht="12.75">
      <c r="B590" s="548"/>
      <c r="C590" s="548"/>
      <c r="F590" s="737"/>
      <c r="G590" s="737"/>
      <c r="H590" s="544"/>
    </row>
    <row r="591" spans="2:8" s="109" customFormat="1" ht="12.75">
      <c r="B591" s="548"/>
      <c r="C591" s="548"/>
      <c r="F591" s="737"/>
      <c r="G591" s="737"/>
      <c r="H591" s="544"/>
    </row>
    <row r="592" spans="2:8" s="109" customFormat="1" ht="12.75">
      <c r="B592" s="548"/>
      <c r="C592" s="548"/>
      <c r="F592" s="737"/>
      <c r="G592" s="737"/>
      <c r="H592" s="544"/>
    </row>
    <row r="593" spans="2:8" s="109" customFormat="1" ht="12.75">
      <c r="B593" s="548"/>
      <c r="C593" s="548"/>
      <c r="F593" s="737"/>
      <c r="G593" s="737"/>
      <c r="H593" s="544"/>
    </row>
    <row r="594" spans="2:8" s="109" customFormat="1" ht="12.75">
      <c r="B594" s="548"/>
      <c r="C594" s="548"/>
      <c r="F594" s="737"/>
      <c r="G594" s="737"/>
      <c r="H594" s="544"/>
    </row>
    <row r="595" spans="2:8" s="109" customFormat="1" ht="12.75">
      <c r="B595" s="548"/>
      <c r="C595" s="548"/>
      <c r="F595" s="737"/>
      <c r="G595" s="737"/>
      <c r="H595" s="544"/>
    </row>
    <row r="596" spans="2:8" s="109" customFormat="1" ht="12.75">
      <c r="B596" s="548"/>
      <c r="C596" s="548"/>
      <c r="F596" s="737"/>
      <c r="G596" s="737"/>
      <c r="H596" s="544"/>
    </row>
    <row r="597" spans="2:8" s="109" customFormat="1" ht="12.75">
      <c r="B597" s="548"/>
      <c r="C597" s="548"/>
      <c r="F597" s="737"/>
      <c r="G597" s="737"/>
      <c r="H597" s="544"/>
    </row>
    <row r="598" spans="2:8" s="109" customFormat="1" ht="12.75">
      <c r="B598" s="548"/>
      <c r="C598" s="548"/>
      <c r="F598" s="737"/>
      <c r="G598" s="737"/>
      <c r="H598" s="544"/>
    </row>
    <row r="599" spans="2:8" s="109" customFormat="1" ht="12.75">
      <c r="B599" s="548"/>
      <c r="C599" s="548"/>
      <c r="F599" s="737"/>
      <c r="G599" s="737"/>
      <c r="H599" s="544"/>
    </row>
    <row r="600" spans="2:8" s="109" customFormat="1" ht="12.75">
      <c r="B600" s="548"/>
      <c r="C600" s="548"/>
      <c r="F600" s="737"/>
      <c r="G600" s="737"/>
      <c r="H600" s="544"/>
    </row>
    <row r="601" spans="2:8" s="109" customFormat="1" ht="12.75">
      <c r="B601" s="548"/>
      <c r="C601" s="548"/>
      <c r="F601" s="737"/>
      <c r="G601" s="737"/>
      <c r="H601" s="544"/>
    </row>
    <row r="602" spans="2:8" s="109" customFormat="1" ht="12.75">
      <c r="B602" s="548"/>
      <c r="C602" s="548"/>
      <c r="F602" s="737"/>
      <c r="G602" s="737"/>
      <c r="H602" s="544"/>
    </row>
    <row r="603" spans="2:8" s="109" customFormat="1" ht="12.75">
      <c r="B603" s="548"/>
      <c r="C603" s="548"/>
      <c r="F603" s="737"/>
      <c r="G603" s="737"/>
      <c r="H603" s="544"/>
    </row>
    <row r="604" spans="2:8" s="109" customFormat="1" ht="12.75">
      <c r="B604" s="548"/>
      <c r="C604" s="548"/>
      <c r="F604" s="737"/>
      <c r="G604" s="737"/>
      <c r="H604" s="544"/>
    </row>
    <row r="605" spans="2:8" s="109" customFormat="1" ht="12.75">
      <c r="B605" s="548"/>
      <c r="C605" s="548"/>
      <c r="F605" s="737"/>
      <c r="G605" s="737"/>
      <c r="H605" s="544"/>
    </row>
    <row r="606" spans="2:8" s="109" customFormat="1" ht="12.75">
      <c r="B606" s="548"/>
      <c r="C606" s="548"/>
      <c r="F606" s="737"/>
      <c r="G606" s="737"/>
      <c r="H606" s="544"/>
    </row>
    <row r="607" spans="2:8" s="109" customFormat="1" ht="12.75">
      <c r="B607" s="548"/>
      <c r="C607" s="548"/>
      <c r="F607" s="737"/>
      <c r="G607" s="737"/>
      <c r="H607" s="544"/>
    </row>
    <row r="608" spans="2:8" s="109" customFormat="1" ht="12.75">
      <c r="B608" s="548"/>
      <c r="C608" s="548"/>
      <c r="F608" s="737"/>
      <c r="G608" s="737"/>
      <c r="H608" s="544"/>
    </row>
    <row r="609" spans="2:8" s="109" customFormat="1" ht="12.75">
      <c r="B609" s="548"/>
      <c r="C609" s="548"/>
      <c r="F609" s="737"/>
      <c r="G609" s="737"/>
      <c r="H609" s="544"/>
    </row>
    <row r="610" spans="2:8" s="109" customFormat="1" ht="12.75">
      <c r="B610" s="548"/>
      <c r="C610" s="548"/>
      <c r="F610" s="737"/>
      <c r="G610" s="737"/>
      <c r="H610" s="544"/>
    </row>
    <row r="611" spans="2:8" s="109" customFormat="1" ht="12.75">
      <c r="B611" s="548"/>
      <c r="C611" s="548"/>
      <c r="F611" s="737"/>
      <c r="G611" s="737"/>
      <c r="H611" s="544"/>
    </row>
    <row r="612" spans="2:8" s="109" customFormat="1" ht="12.75">
      <c r="B612" s="548"/>
      <c r="C612" s="548"/>
      <c r="F612" s="737"/>
      <c r="G612" s="737"/>
      <c r="H612" s="544"/>
    </row>
    <row r="613" spans="2:8" s="109" customFormat="1" ht="12.75">
      <c r="B613" s="548"/>
      <c r="C613" s="548"/>
      <c r="F613" s="737"/>
      <c r="G613" s="737"/>
      <c r="H613" s="544"/>
    </row>
    <row r="614" spans="2:8" s="109" customFormat="1" ht="12.75">
      <c r="B614" s="548"/>
      <c r="C614" s="548"/>
      <c r="F614" s="737"/>
      <c r="G614" s="737"/>
      <c r="H614" s="544"/>
    </row>
    <row r="615" spans="2:8" s="109" customFormat="1" ht="12.75">
      <c r="B615" s="548"/>
      <c r="C615" s="548"/>
      <c r="F615" s="737"/>
      <c r="G615" s="737"/>
      <c r="H615" s="544"/>
    </row>
    <row r="616" spans="2:8" s="109" customFormat="1" ht="12.75">
      <c r="B616" s="548"/>
      <c r="C616" s="548"/>
      <c r="F616" s="737"/>
      <c r="G616" s="737"/>
      <c r="H616" s="544"/>
    </row>
    <row r="617" spans="2:8" s="109" customFormat="1" ht="12.75">
      <c r="B617" s="548"/>
      <c r="C617" s="548"/>
      <c r="F617" s="737"/>
      <c r="G617" s="737"/>
      <c r="H617" s="544"/>
    </row>
    <row r="618" spans="2:8" s="109" customFormat="1" ht="12.75">
      <c r="B618" s="548"/>
      <c r="C618" s="548"/>
      <c r="F618" s="737"/>
      <c r="G618" s="737"/>
      <c r="H618" s="544"/>
    </row>
    <row r="619" spans="2:8" s="109" customFormat="1" ht="12.75">
      <c r="B619" s="548"/>
      <c r="C619" s="548"/>
      <c r="F619" s="737"/>
      <c r="G619" s="737"/>
      <c r="H619" s="544"/>
    </row>
    <row r="620" spans="2:8" s="109" customFormat="1" ht="12.75">
      <c r="B620" s="548"/>
      <c r="C620" s="548"/>
      <c r="F620" s="737"/>
      <c r="G620" s="737"/>
      <c r="H620" s="544"/>
    </row>
    <row r="621" spans="2:8" s="109" customFormat="1" ht="12.75">
      <c r="B621" s="548"/>
      <c r="C621" s="548"/>
      <c r="F621" s="737"/>
      <c r="G621" s="737"/>
      <c r="H621" s="544"/>
    </row>
    <row r="622" spans="2:8" s="109" customFormat="1" ht="12.75">
      <c r="B622" s="548"/>
      <c r="C622" s="548"/>
      <c r="F622" s="737"/>
      <c r="G622" s="737"/>
      <c r="H622" s="544"/>
    </row>
    <row r="623" spans="2:8" s="109" customFormat="1" ht="12.75">
      <c r="B623" s="548"/>
      <c r="C623" s="548"/>
      <c r="F623" s="737"/>
      <c r="G623" s="737"/>
      <c r="H623" s="544"/>
    </row>
    <row r="624" spans="2:8" s="109" customFormat="1" ht="12.75">
      <c r="B624" s="548"/>
      <c r="C624" s="548"/>
      <c r="F624" s="737"/>
      <c r="G624" s="737"/>
      <c r="H624" s="544"/>
    </row>
    <row r="625" spans="2:8" s="109" customFormat="1" ht="12.75">
      <c r="B625" s="548"/>
      <c r="C625" s="548"/>
      <c r="F625" s="737"/>
      <c r="G625" s="737"/>
      <c r="H625" s="544"/>
    </row>
    <row r="626" spans="2:8" s="109" customFormat="1" ht="12.75">
      <c r="B626" s="548"/>
      <c r="C626" s="548"/>
      <c r="F626" s="737"/>
      <c r="G626" s="737"/>
      <c r="H626" s="544"/>
    </row>
    <row r="627" spans="2:8" s="109" customFormat="1" ht="12.75">
      <c r="B627" s="548"/>
      <c r="C627" s="548"/>
      <c r="F627" s="737"/>
      <c r="G627" s="737"/>
      <c r="H627" s="544"/>
    </row>
    <row r="628" spans="2:8" s="109" customFormat="1" ht="12.75">
      <c r="B628" s="548"/>
      <c r="C628" s="548"/>
      <c r="F628" s="737"/>
      <c r="G628" s="737"/>
      <c r="H628" s="544"/>
    </row>
    <row r="629" spans="2:8" s="109" customFormat="1" ht="12.75">
      <c r="B629" s="548"/>
      <c r="C629" s="548"/>
      <c r="F629" s="737"/>
      <c r="G629" s="737"/>
      <c r="H629" s="544"/>
    </row>
    <row r="630" spans="2:8" s="109" customFormat="1" ht="12.75">
      <c r="B630" s="548"/>
      <c r="C630" s="548"/>
      <c r="F630" s="737"/>
      <c r="G630" s="737"/>
      <c r="H630" s="544"/>
    </row>
    <row r="631" spans="2:8" s="109" customFormat="1" ht="12.75">
      <c r="B631" s="548"/>
      <c r="C631" s="548"/>
      <c r="F631" s="737"/>
      <c r="G631" s="737"/>
      <c r="H631" s="544"/>
    </row>
    <row r="632" spans="2:8" s="109" customFormat="1" ht="12.75">
      <c r="B632" s="548"/>
      <c r="C632" s="548"/>
      <c r="F632" s="737"/>
      <c r="G632" s="737"/>
      <c r="H632" s="544"/>
    </row>
    <row r="633" spans="2:8" s="109" customFormat="1" ht="12.75">
      <c r="B633" s="548"/>
      <c r="C633" s="548"/>
      <c r="F633" s="737"/>
      <c r="G633" s="737"/>
      <c r="H633" s="544"/>
    </row>
    <row r="634" spans="2:8" s="109" customFormat="1" ht="12.75">
      <c r="B634" s="548"/>
      <c r="C634" s="548"/>
      <c r="F634" s="737"/>
      <c r="G634" s="737"/>
      <c r="H634" s="544"/>
    </row>
    <row r="635" spans="2:8" s="109" customFormat="1" ht="12.75">
      <c r="B635" s="548"/>
      <c r="C635" s="548"/>
      <c r="F635" s="737"/>
      <c r="G635" s="737"/>
      <c r="H635" s="544"/>
    </row>
    <row r="636" spans="2:8" s="109" customFormat="1" ht="12.75">
      <c r="B636" s="548"/>
      <c r="C636" s="548"/>
      <c r="F636" s="737"/>
      <c r="G636" s="737"/>
      <c r="H636" s="544"/>
    </row>
    <row r="637" spans="2:8" s="109" customFormat="1" ht="12.75">
      <c r="B637" s="548"/>
      <c r="C637" s="548"/>
      <c r="F637" s="737"/>
      <c r="G637" s="737"/>
      <c r="H637" s="544"/>
    </row>
    <row r="638" spans="2:8" s="109" customFormat="1" ht="12.75">
      <c r="B638" s="548"/>
      <c r="C638" s="548"/>
      <c r="F638" s="737"/>
      <c r="G638" s="737"/>
      <c r="H638" s="544"/>
    </row>
    <row r="639" spans="2:8" s="109" customFormat="1" ht="12.75">
      <c r="B639" s="548"/>
      <c r="C639" s="548"/>
      <c r="F639" s="737"/>
      <c r="G639" s="737"/>
      <c r="H639" s="544"/>
    </row>
    <row r="640" spans="2:8" s="109" customFormat="1" ht="12.75">
      <c r="B640" s="548"/>
      <c r="C640" s="548"/>
      <c r="F640" s="737"/>
      <c r="G640" s="737"/>
      <c r="H640" s="544"/>
    </row>
    <row r="641" spans="2:8" s="109" customFormat="1" ht="12.75">
      <c r="B641" s="548"/>
      <c r="C641" s="548"/>
      <c r="F641" s="737"/>
      <c r="G641" s="737"/>
      <c r="H641" s="544"/>
    </row>
    <row r="642" spans="2:8" s="109" customFormat="1" ht="12.75">
      <c r="B642" s="548"/>
      <c r="C642" s="548"/>
      <c r="F642" s="737"/>
      <c r="G642" s="737"/>
      <c r="H642" s="544"/>
    </row>
    <row r="643" spans="2:8" s="109" customFormat="1" ht="12.75">
      <c r="B643" s="548"/>
      <c r="C643" s="548"/>
      <c r="F643" s="737"/>
      <c r="G643" s="737"/>
      <c r="H643" s="544"/>
    </row>
    <row r="644" spans="2:8" s="109" customFormat="1" ht="12.75">
      <c r="B644" s="548"/>
      <c r="C644" s="548"/>
      <c r="F644" s="737"/>
      <c r="G644" s="737"/>
      <c r="H644" s="544"/>
    </row>
    <row r="645" spans="2:8" s="109" customFormat="1" ht="12.75">
      <c r="B645" s="548"/>
      <c r="C645" s="548"/>
      <c r="F645" s="737"/>
      <c r="G645" s="737"/>
      <c r="H645" s="544"/>
    </row>
    <row r="646" spans="2:8" s="109" customFormat="1" ht="12.75">
      <c r="B646" s="548"/>
      <c r="C646" s="548"/>
      <c r="F646" s="737"/>
      <c r="G646" s="737"/>
      <c r="H646" s="544"/>
    </row>
    <row r="647" spans="2:8" s="109" customFormat="1" ht="12.75">
      <c r="B647" s="548"/>
      <c r="C647" s="548"/>
      <c r="F647" s="737"/>
      <c r="G647" s="737"/>
      <c r="H647" s="544"/>
    </row>
    <row r="648" spans="2:8" s="109" customFormat="1" ht="12.75">
      <c r="B648" s="548"/>
      <c r="C648" s="548"/>
      <c r="F648" s="737"/>
      <c r="G648" s="737"/>
      <c r="H648" s="544"/>
    </row>
    <row r="649" spans="2:8" s="109" customFormat="1" ht="12.75">
      <c r="B649" s="548"/>
      <c r="C649" s="548"/>
      <c r="F649" s="737"/>
      <c r="G649" s="737"/>
      <c r="H649" s="544"/>
    </row>
    <row r="650" spans="2:8" s="109" customFormat="1" ht="12.75">
      <c r="B650" s="548"/>
      <c r="C650" s="548"/>
      <c r="F650" s="737"/>
      <c r="G650" s="737"/>
      <c r="H650" s="544"/>
    </row>
    <row r="651" spans="2:8" s="109" customFormat="1" ht="12.75">
      <c r="B651" s="548"/>
      <c r="C651" s="548"/>
      <c r="F651" s="737"/>
      <c r="G651" s="737"/>
      <c r="H651" s="544"/>
    </row>
    <row r="652" spans="2:8" s="109" customFormat="1" ht="12.75">
      <c r="B652" s="548"/>
      <c r="C652" s="548"/>
      <c r="F652" s="737"/>
      <c r="G652" s="737"/>
      <c r="H652" s="544"/>
    </row>
    <row r="653" spans="2:8" s="109" customFormat="1" ht="12.75">
      <c r="B653" s="548"/>
      <c r="C653" s="548"/>
      <c r="F653" s="737"/>
      <c r="G653" s="737"/>
      <c r="H653" s="544"/>
    </row>
    <row r="654" spans="2:8" s="109" customFormat="1" ht="12.75">
      <c r="B654" s="548"/>
      <c r="C654" s="548"/>
      <c r="F654" s="737"/>
      <c r="G654" s="737"/>
      <c r="H654" s="544"/>
    </row>
    <row r="655" spans="2:8" s="109" customFormat="1" ht="12.75">
      <c r="B655" s="548"/>
      <c r="C655" s="548"/>
      <c r="F655" s="737"/>
      <c r="G655" s="737"/>
      <c r="H655" s="544"/>
    </row>
    <row r="656" spans="2:8" s="109" customFormat="1" ht="12.75">
      <c r="B656" s="548"/>
      <c r="C656" s="548"/>
      <c r="F656" s="737"/>
      <c r="G656" s="737"/>
      <c r="H656" s="544"/>
    </row>
    <row r="657" spans="2:8" s="109" customFormat="1" ht="12.75">
      <c r="B657" s="548"/>
      <c r="C657" s="548"/>
      <c r="F657" s="737"/>
      <c r="G657" s="737"/>
      <c r="H657" s="544"/>
    </row>
    <row r="658" spans="2:8" s="109" customFormat="1" ht="12.75">
      <c r="B658" s="548"/>
      <c r="C658" s="548"/>
      <c r="F658" s="737"/>
      <c r="G658" s="737"/>
      <c r="H658" s="544"/>
    </row>
    <row r="659" spans="2:8" s="109" customFormat="1" ht="12.75">
      <c r="B659" s="548"/>
      <c r="C659" s="548"/>
      <c r="F659" s="737"/>
      <c r="G659" s="737"/>
      <c r="H659" s="544"/>
    </row>
    <row r="660" spans="2:8" s="109" customFormat="1" ht="12.75">
      <c r="B660" s="548"/>
      <c r="C660" s="548"/>
      <c r="F660" s="737"/>
      <c r="G660" s="737"/>
      <c r="H660" s="544"/>
    </row>
    <row r="661" spans="2:8" s="109" customFormat="1" ht="12.75">
      <c r="B661" s="548"/>
      <c r="C661" s="548"/>
      <c r="F661" s="737"/>
      <c r="G661" s="737"/>
      <c r="H661" s="544"/>
    </row>
    <row r="662" spans="2:8" s="109" customFormat="1" ht="12.75">
      <c r="B662" s="548"/>
      <c r="C662" s="548"/>
      <c r="F662" s="737"/>
      <c r="G662" s="737"/>
      <c r="H662" s="544"/>
    </row>
    <row r="663" spans="2:8" s="109" customFormat="1" ht="12.75">
      <c r="B663" s="548"/>
      <c r="C663" s="548"/>
      <c r="F663" s="737"/>
      <c r="G663" s="737"/>
      <c r="H663" s="544"/>
    </row>
    <row r="664" spans="2:8" s="109" customFormat="1" ht="12.75">
      <c r="B664" s="548"/>
      <c r="C664" s="548"/>
      <c r="F664" s="737"/>
      <c r="G664" s="737"/>
      <c r="H664" s="544"/>
    </row>
    <row r="665" spans="2:8" s="109" customFormat="1" ht="12.75">
      <c r="B665" s="548"/>
      <c r="C665" s="548"/>
      <c r="F665" s="737"/>
      <c r="G665" s="737"/>
      <c r="H665" s="544"/>
    </row>
    <row r="666" spans="2:8" s="109" customFormat="1" ht="12.75">
      <c r="B666" s="548"/>
      <c r="C666" s="548"/>
      <c r="F666" s="737"/>
      <c r="G666" s="737"/>
      <c r="H666" s="544"/>
    </row>
    <row r="667" spans="2:8" s="109" customFormat="1" ht="12.75">
      <c r="B667" s="548"/>
      <c r="C667" s="548"/>
      <c r="F667" s="737"/>
      <c r="G667" s="737"/>
      <c r="H667" s="544"/>
    </row>
    <row r="668" spans="2:8" s="109" customFormat="1" ht="12.75">
      <c r="B668" s="548"/>
      <c r="C668" s="548"/>
      <c r="F668" s="737"/>
      <c r="G668" s="737"/>
      <c r="H668" s="544"/>
    </row>
    <row r="669" spans="2:8" s="109" customFormat="1" ht="12.75">
      <c r="B669" s="548"/>
      <c r="C669" s="548"/>
      <c r="F669" s="737"/>
      <c r="G669" s="737"/>
      <c r="H669" s="544"/>
    </row>
    <row r="670" spans="2:8" s="109" customFormat="1" ht="12.75">
      <c r="B670" s="548"/>
      <c r="C670" s="548"/>
      <c r="F670" s="737"/>
      <c r="G670" s="737"/>
      <c r="H670" s="544"/>
    </row>
    <row r="671" spans="2:8" s="109" customFormat="1" ht="12.75">
      <c r="B671" s="548"/>
      <c r="C671" s="548"/>
      <c r="F671" s="737"/>
      <c r="G671" s="737"/>
      <c r="H671" s="544"/>
    </row>
    <row r="672" spans="2:8" s="109" customFormat="1" ht="12.75">
      <c r="B672" s="548"/>
      <c r="C672" s="548"/>
      <c r="F672" s="737"/>
      <c r="G672" s="737"/>
      <c r="H672" s="544"/>
    </row>
    <row r="673" spans="2:8" s="109" customFormat="1" ht="12.75">
      <c r="B673" s="548"/>
      <c r="C673" s="548"/>
      <c r="F673" s="737"/>
      <c r="G673" s="737"/>
      <c r="H673" s="544"/>
    </row>
    <row r="674" spans="2:8" s="109" customFormat="1" ht="12.75">
      <c r="B674" s="548"/>
      <c r="C674" s="548"/>
      <c r="F674" s="737"/>
      <c r="G674" s="737"/>
      <c r="H674" s="544"/>
    </row>
    <row r="675" spans="2:8" s="109" customFormat="1" ht="12.75">
      <c r="B675" s="548"/>
      <c r="C675" s="548"/>
      <c r="F675" s="737"/>
      <c r="G675" s="737"/>
      <c r="H675" s="544"/>
    </row>
    <row r="676" spans="2:8" s="109" customFormat="1" ht="12.75">
      <c r="B676" s="548"/>
      <c r="C676" s="548"/>
      <c r="F676" s="737"/>
      <c r="G676" s="737"/>
      <c r="H676" s="544"/>
    </row>
    <row r="677" spans="2:8" s="109" customFormat="1" ht="12.75">
      <c r="B677" s="548"/>
      <c r="C677" s="548"/>
      <c r="F677" s="737"/>
      <c r="G677" s="737"/>
      <c r="H677" s="544"/>
    </row>
    <row r="678" spans="2:8" s="109" customFormat="1" ht="12.75">
      <c r="B678" s="548"/>
      <c r="C678" s="548"/>
      <c r="F678" s="737"/>
      <c r="G678" s="737"/>
      <c r="H678" s="544"/>
    </row>
    <row r="679" spans="2:8" s="109" customFormat="1" ht="12.75">
      <c r="B679" s="548"/>
      <c r="C679" s="548"/>
      <c r="F679" s="737"/>
      <c r="G679" s="737"/>
      <c r="H679" s="544"/>
    </row>
    <row r="680" spans="2:8" s="109" customFormat="1" ht="12.75">
      <c r="B680" s="548"/>
      <c r="C680" s="548"/>
      <c r="F680" s="737"/>
      <c r="G680" s="737"/>
      <c r="H680" s="544"/>
    </row>
    <row r="681" spans="2:8" s="109" customFormat="1" ht="12.75">
      <c r="B681" s="548"/>
      <c r="C681" s="548"/>
      <c r="F681" s="737"/>
      <c r="G681" s="737"/>
      <c r="H681" s="544"/>
    </row>
    <row r="682" spans="2:8" s="109" customFormat="1" ht="12.75">
      <c r="B682" s="548"/>
      <c r="C682" s="548"/>
      <c r="F682" s="737"/>
      <c r="G682" s="737"/>
      <c r="H682" s="544"/>
    </row>
    <row r="683" spans="2:8" s="109" customFormat="1" ht="12.75">
      <c r="B683" s="548"/>
      <c r="C683" s="548"/>
      <c r="F683" s="737"/>
      <c r="G683" s="737"/>
      <c r="H683" s="544"/>
    </row>
    <row r="684" spans="2:8" s="109" customFormat="1" ht="12.75">
      <c r="B684" s="548"/>
      <c r="C684" s="548"/>
      <c r="F684" s="737"/>
      <c r="G684" s="737"/>
      <c r="H684" s="544"/>
    </row>
    <row r="685" spans="2:8" s="109" customFormat="1" ht="12.75">
      <c r="B685" s="548"/>
      <c r="C685" s="548"/>
      <c r="F685" s="737"/>
      <c r="G685" s="737"/>
      <c r="H685" s="544"/>
    </row>
    <row r="686" spans="2:8" s="109" customFormat="1" ht="12.75">
      <c r="B686" s="548"/>
      <c r="C686" s="548"/>
      <c r="F686" s="737"/>
      <c r="G686" s="737"/>
      <c r="H686" s="544"/>
    </row>
    <row r="687" spans="2:8" s="109" customFormat="1" ht="12.75">
      <c r="B687" s="548"/>
      <c r="C687" s="548"/>
      <c r="F687" s="737"/>
      <c r="G687" s="737"/>
      <c r="H687" s="544"/>
    </row>
    <row r="688" spans="2:8" s="109" customFormat="1" ht="12.75">
      <c r="B688" s="548"/>
      <c r="C688" s="548"/>
      <c r="F688" s="737"/>
      <c r="G688" s="737"/>
      <c r="H688" s="544"/>
    </row>
    <row r="689" spans="2:8" s="109" customFormat="1" ht="12.75">
      <c r="B689" s="548"/>
      <c r="C689" s="548"/>
      <c r="F689" s="737"/>
      <c r="G689" s="737"/>
      <c r="H689" s="544"/>
    </row>
  </sheetData>
  <mergeCells count="1">
    <mergeCell ref="F3:G3"/>
  </mergeCells>
  <printOptions horizontalCentered="1"/>
  <pageMargins left="0.5" right="0.5" top="1" bottom="0.5" header="0.5" footer="0.5"/>
  <pageSetup fitToHeight="5" horizontalDpi="1200" verticalDpi="1200" orientation="portrait" scale="88" r:id="rId1"/>
  <rowBreaks count="6" manualBreakCount="6">
    <brk id="39" min="1" max="6" man="1"/>
    <brk id="76" min="1" max="6" man="1"/>
    <brk id="120" min="1" max="6" man="1"/>
    <brk id="158" min="1" max="6" man="1"/>
    <brk id="190" min="1" max="6" man="1"/>
    <brk id="225" min="1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2:N40"/>
  <sheetViews>
    <sheetView zoomScale="75" zoomScaleNormal="75" workbookViewId="0" topLeftCell="D1">
      <selection activeCell="M4" sqref="M4"/>
    </sheetView>
  </sheetViews>
  <sheetFormatPr defaultColWidth="9.140625" defaultRowHeight="12.75"/>
  <cols>
    <col min="1" max="1" width="9.140625" style="1" customWidth="1"/>
    <col min="2" max="2" width="30.28125" style="36" customWidth="1"/>
    <col min="3" max="4" width="15.7109375" style="36" customWidth="1"/>
    <col min="5" max="5" width="6.140625" style="145" customWidth="1"/>
    <col min="6" max="6" width="9.140625" style="36" customWidth="1"/>
    <col min="7" max="7" width="24.140625" style="1" customWidth="1"/>
    <col min="8" max="11" width="15.421875" style="1" customWidth="1"/>
    <col min="12" max="12" width="16.140625" style="1" bestFit="1" customWidth="1"/>
    <col min="13" max="13" width="15.421875" style="1" customWidth="1"/>
    <col min="14" max="16384" width="9.140625" style="1" customWidth="1"/>
  </cols>
  <sheetData>
    <row r="2" spans="2:4" ht="15">
      <c r="B2" s="1"/>
      <c r="C2" s="1"/>
      <c r="D2" s="9" t="s">
        <v>558</v>
      </c>
    </row>
    <row r="3" spans="2:4" ht="18">
      <c r="B3" s="771" t="s">
        <v>200</v>
      </c>
      <c r="C3" s="771"/>
      <c r="D3" s="771"/>
    </row>
    <row r="4" spans="2:13" ht="15.75">
      <c r="B4" s="772" t="s">
        <v>700</v>
      </c>
      <c r="C4" s="772"/>
      <c r="D4" s="772"/>
      <c r="M4" s="9" t="str">
        <f>WN</f>
        <v>February 2009</v>
      </c>
    </row>
    <row r="5" spans="2:4" ht="15.75" thickBot="1">
      <c r="B5" s="1"/>
      <c r="C5" s="1"/>
      <c r="D5" s="1"/>
    </row>
    <row r="6" spans="2:13" ht="16.5" thickTop="1">
      <c r="B6" s="1"/>
      <c r="C6" s="42" t="s">
        <v>529</v>
      </c>
      <c r="D6" s="42" t="s">
        <v>212</v>
      </c>
      <c r="G6" s="780" t="s">
        <v>200</v>
      </c>
      <c r="H6" s="781"/>
      <c r="I6" s="781"/>
      <c r="J6" s="781"/>
      <c r="K6" s="781"/>
      <c r="L6" s="781"/>
      <c r="M6" s="782"/>
    </row>
    <row r="7" spans="2:13" ht="15.75" thickBot="1">
      <c r="B7" s="1"/>
      <c r="C7" s="1"/>
      <c r="D7" s="1"/>
      <c r="G7" s="783" t="str">
        <f>"Fiscal Year 2008 "</f>
        <v>Fiscal Year 2008 </v>
      </c>
      <c r="H7" s="784"/>
      <c r="I7" s="784"/>
      <c r="J7" s="784"/>
      <c r="K7" s="784"/>
      <c r="L7" s="784"/>
      <c r="M7" s="785"/>
    </row>
    <row r="8" spans="2:13" ht="15.75" thickTop="1">
      <c r="B8" s="1" t="s">
        <v>563</v>
      </c>
      <c r="C8" s="13">
        <v>783</v>
      </c>
      <c r="D8" s="13">
        <v>341136.50662251655</v>
      </c>
      <c r="G8" s="184"/>
      <c r="H8" s="575" t="s">
        <v>423</v>
      </c>
      <c r="I8" s="786" t="s">
        <v>234</v>
      </c>
      <c r="J8" s="770"/>
      <c r="K8" s="786" t="s">
        <v>212</v>
      </c>
      <c r="L8" s="787"/>
      <c r="M8" s="777" t="s">
        <v>233</v>
      </c>
    </row>
    <row r="9" spans="2:13" ht="15">
      <c r="B9" s="1"/>
      <c r="C9" s="1"/>
      <c r="D9" s="1"/>
      <c r="G9" s="187"/>
      <c r="H9" s="207"/>
      <c r="I9" s="72"/>
      <c r="J9" s="72"/>
      <c r="K9" s="207"/>
      <c r="L9" s="215"/>
      <c r="M9" s="778"/>
    </row>
    <row r="10" spans="2:13" ht="15.75" thickBot="1">
      <c r="B10" s="1" t="s">
        <v>564</v>
      </c>
      <c r="C10" s="13">
        <v>3468</v>
      </c>
      <c r="D10" s="13">
        <v>169495.62913907284</v>
      </c>
      <c r="G10" s="227"/>
      <c r="H10" s="293" t="str">
        <f>"FY "&amp;FY</f>
        <v>FY </v>
      </c>
      <c r="I10" s="295" t="s">
        <v>206</v>
      </c>
      <c r="J10" s="295" t="s">
        <v>683</v>
      </c>
      <c r="K10" s="296" t="s">
        <v>640</v>
      </c>
      <c r="L10" s="294" t="s">
        <v>683</v>
      </c>
      <c r="M10" s="779"/>
    </row>
    <row r="11" spans="2:13" ht="15.75" thickTop="1">
      <c r="B11" s="1"/>
      <c r="C11" s="1"/>
      <c r="D11" s="1"/>
      <c r="G11" s="184"/>
      <c r="H11" s="401" t="s">
        <v>78</v>
      </c>
      <c r="I11" s="383" t="s">
        <v>79</v>
      </c>
      <c r="J11" s="383" t="s">
        <v>80</v>
      </c>
      <c r="K11" s="397" t="s">
        <v>81</v>
      </c>
      <c r="L11" s="399" t="s">
        <v>82</v>
      </c>
      <c r="M11" s="384" t="s">
        <v>83</v>
      </c>
    </row>
    <row r="12" spans="2:13" ht="15">
      <c r="B12" s="1" t="s">
        <v>566</v>
      </c>
      <c r="C12" s="13">
        <v>2537</v>
      </c>
      <c r="D12" s="13">
        <v>102690.92715231789</v>
      </c>
      <c r="G12" s="187"/>
      <c r="H12" s="236"/>
      <c r="I12" s="36"/>
      <c r="J12" s="36"/>
      <c r="K12" s="208"/>
      <c r="L12" s="216"/>
      <c r="M12" s="189"/>
    </row>
    <row r="13" spans="2:13" ht="15">
      <c r="B13" s="1"/>
      <c r="C13" s="16"/>
      <c r="D13" s="16"/>
      <c r="E13" s="673"/>
      <c r="G13" s="195" t="s">
        <v>563</v>
      </c>
      <c r="H13" s="237">
        <f>+C8</f>
        <v>783</v>
      </c>
      <c r="I13" s="190">
        <f>+Rates!F141</f>
        <v>510</v>
      </c>
      <c r="J13" s="190">
        <f>+Rates!G141</f>
        <v>540</v>
      </c>
      <c r="K13" s="253">
        <f>+I13*H13</f>
        <v>399330</v>
      </c>
      <c r="L13" s="259">
        <f>+J13*H13</f>
        <v>422820</v>
      </c>
      <c r="M13" s="454">
        <f>(J13-I13)/I13</f>
        <v>0.058823529411764705</v>
      </c>
    </row>
    <row r="14" spans="2:13" ht="15">
      <c r="B14" s="1" t="s">
        <v>567</v>
      </c>
      <c r="C14" s="105">
        <v>1</v>
      </c>
      <c r="D14" s="105">
        <v>41.937086092715234</v>
      </c>
      <c r="E14" s="673"/>
      <c r="G14" s="187"/>
      <c r="H14" s="237"/>
      <c r="I14" s="453"/>
      <c r="J14" s="453"/>
      <c r="K14" s="209"/>
      <c r="L14" s="438"/>
      <c r="M14" s="405"/>
    </row>
    <row r="15" spans="2:13" ht="15">
      <c r="B15" s="1"/>
      <c r="G15" s="187" t="s">
        <v>564</v>
      </c>
      <c r="H15" s="236">
        <f>+C10</f>
        <v>3468</v>
      </c>
      <c r="I15" s="573">
        <f>+Rates!F142</f>
        <v>60</v>
      </c>
      <c r="J15" s="573">
        <f>+Rates!G142</f>
        <v>65</v>
      </c>
      <c r="K15" s="253">
        <f>+I15*H15</f>
        <v>208080</v>
      </c>
      <c r="L15" s="259">
        <f>+J15*H15</f>
        <v>225420</v>
      </c>
      <c r="M15" s="454">
        <f>(J15-I15)/I15</f>
        <v>0.08333333333333333</v>
      </c>
    </row>
    <row r="16" spans="2:13" ht="15">
      <c r="B16" s="1"/>
      <c r="C16" s="13">
        <v>6789</v>
      </c>
      <c r="D16" s="13">
        <v>613365</v>
      </c>
      <c r="G16" s="389"/>
      <c r="H16" s="237"/>
      <c r="I16" s="453"/>
      <c r="J16" s="453"/>
      <c r="K16" s="209"/>
      <c r="L16" s="438"/>
      <c r="M16" s="454"/>
    </row>
    <row r="17" spans="7:13" ht="15">
      <c r="G17" s="187" t="s">
        <v>566</v>
      </c>
      <c r="H17" s="237">
        <f>+C12</f>
        <v>2537</v>
      </c>
      <c r="I17" s="190">
        <f>+Rates!F143</f>
        <v>80</v>
      </c>
      <c r="J17" s="190">
        <f>+Rates!G143</f>
        <v>85</v>
      </c>
      <c r="K17" s="253">
        <f>+I17*H17</f>
        <v>202960</v>
      </c>
      <c r="L17" s="259">
        <f>+J17*H17</f>
        <v>215645</v>
      </c>
      <c r="M17" s="405">
        <f>(J17-I17)/I17</f>
        <v>0.0625</v>
      </c>
    </row>
    <row r="18" spans="7:13" ht="15">
      <c r="G18" s="195"/>
      <c r="H18" s="237"/>
      <c r="I18" s="190"/>
      <c r="J18" s="190"/>
      <c r="K18" s="209"/>
      <c r="L18" s="438"/>
      <c r="M18" s="454"/>
    </row>
    <row r="19" spans="7:14" ht="15">
      <c r="G19" s="187" t="s">
        <v>567</v>
      </c>
      <c r="H19" s="432">
        <f>+C14</f>
        <v>1</v>
      </c>
      <c r="I19" s="190">
        <f>+Rates!F144</f>
        <v>50</v>
      </c>
      <c r="J19" s="190">
        <f>+Rates!G144</f>
        <v>55</v>
      </c>
      <c r="K19" s="253">
        <f>+I19*H19</f>
        <v>50</v>
      </c>
      <c r="L19" s="259">
        <f>+J19*H19</f>
        <v>55</v>
      </c>
      <c r="M19" s="405">
        <f>(J19-I19)/I19</f>
        <v>0.1</v>
      </c>
      <c r="N19" s="102"/>
    </row>
    <row r="20" spans="3:13" ht="15">
      <c r="C20" s="72"/>
      <c r="G20" s="187"/>
      <c r="H20" s="236"/>
      <c r="I20" s="36"/>
      <c r="J20" s="36"/>
      <c r="K20" s="208"/>
      <c r="L20" s="216"/>
      <c r="M20" s="189"/>
    </row>
    <row r="21" spans="7:13" ht="15">
      <c r="G21" s="195" t="s">
        <v>105</v>
      </c>
      <c r="H21" s="237">
        <f>SUM(H13:H19)</f>
        <v>6789</v>
      </c>
      <c r="I21" s="453"/>
      <c r="J21" s="453"/>
      <c r="K21" s="209">
        <f>SUM(K13:K19)</f>
        <v>810420</v>
      </c>
      <c r="L21" s="438">
        <f>SUM(L13:L19)</f>
        <v>863940</v>
      </c>
      <c r="M21" s="454">
        <f>+L21/K21-1</f>
        <v>0.06603983119863766</v>
      </c>
    </row>
    <row r="22" spans="7:13" ht="15">
      <c r="G22" s="187"/>
      <c r="H22" s="237"/>
      <c r="I22" s="453"/>
      <c r="J22" s="453"/>
      <c r="K22" s="209"/>
      <c r="L22" s="438"/>
      <c r="M22" s="405"/>
    </row>
    <row r="23" spans="3:13" ht="15.75" thickBot="1">
      <c r="C23" s="462"/>
      <c r="E23" s="677"/>
      <c r="G23" s="177"/>
      <c r="H23" s="238"/>
      <c r="I23" s="459"/>
      <c r="J23" s="459"/>
      <c r="K23" s="231"/>
      <c r="L23" s="460"/>
      <c r="M23" s="461"/>
    </row>
    <row r="24" spans="7:13" ht="15.75" thickTop="1">
      <c r="G24" s="230" t="s">
        <v>295</v>
      </c>
      <c r="H24" s="199"/>
      <c r="I24" s="199"/>
      <c r="J24" s="199"/>
      <c r="K24" s="199"/>
      <c r="L24" s="199"/>
      <c r="M24" s="200"/>
    </row>
    <row r="25" spans="3:13" ht="15">
      <c r="C25" s="462"/>
      <c r="E25" s="678"/>
      <c r="G25" s="308" t="s">
        <v>692</v>
      </c>
      <c r="H25" s="36"/>
      <c r="I25" s="36"/>
      <c r="J25" s="36"/>
      <c r="K25" s="36"/>
      <c r="L25" s="36"/>
      <c r="M25" s="189"/>
    </row>
    <row r="26" spans="7:13" ht="15.75" thickBot="1">
      <c r="G26" s="227"/>
      <c r="H26" s="197"/>
      <c r="I26" s="197"/>
      <c r="J26" s="197"/>
      <c r="K26" s="197"/>
      <c r="L26" s="197"/>
      <c r="M26" s="198"/>
    </row>
    <row r="27" spans="3:5" ht="15.75" thickTop="1">
      <c r="C27" s="462"/>
      <c r="E27" s="678"/>
    </row>
    <row r="28" ht="15">
      <c r="E28" s="678"/>
    </row>
    <row r="29" spans="3:5" ht="15">
      <c r="C29" s="462"/>
      <c r="E29" s="678"/>
    </row>
    <row r="31" ht="15">
      <c r="E31" s="677"/>
    </row>
    <row r="33" ht="15">
      <c r="E33" s="678"/>
    </row>
    <row r="35" ht="15">
      <c r="B35" s="81"/>
    </row>
    <row r="38" spans="2:4" ht="15">
      <c r="B38" s="81"/>
      <c r="D38" s="463"/>
    </row>
    <row r="40" ht="15">
      <c r="D40" s="442"/>
    </row>
  </sheetData>
  <mergeCells count="7">
    <mergeCell ref="I8:J8"/>
    <mergeCell ref="K8:L8"/>
    <mergeCell ref="M8:M10"/>
    <mergeCell ref="B3:D3"/>
    <mergeCell ref="B4:D4"/>
    <mergeCell ref="G6:M6"/>
    <mergeCell ref="G7:M7"/>
  </mergeCells>
  <printOptions horizont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N287"/>
  <sheetViews>
    <sheetView zoomScale="75" zoomScaleNormal="75" workbookViewId="0" topLeftCell="A1">
      <selection activeCell="M4" sqref="M4"/>
    </sheetView>
  </sheetViews>
  <sheetFormatPr defaultColWidth="12.57421875" defaultRowHeight="12.75"/>
  <cols>
    <col min="1" max="1" width="6.28125" style="1" customWidth="1"/>
    <col min="2" max="2" width="6.8515625" style="1" customWidth="1"/>
    <col min="3" max="3" width="37.421875" style="1" customWidth="1"/>
    <col min="4" max="4" width="16.28125" style="1" customWidth="1"/>
    <col min="5" max="5" width="5.57421875" style="36" customWidth="1"/>
    <col min="6" max="6" width="6.28125" style="1" customWidth="1"/>
    <col min="7" max="7" width="20.7109375" style="1" customWidth="1"/>
    <col min="8" max="13" width="16.8515625" style="1" customWidth="1"/>
    <col min="14" max="14" width="3.00390625" style="1" customWidth="1"/>
    <col min="15" max="16384" width="12.57421875" style="1" customWidth="1"/>
  </cols>
  <sheetData>
    <row r="1" ht="15">
      <c r="D1" s="36"/>
    </row>
    <row r="2" spans="1:6" ht="15">
      <c r="A2" s="24"/>
      <c r="B2" s="465"/>
      <c r="C2" s="466"/>
      <c r="D2" s="465" t="s">
        <v>296</v>
      </c>
      <c r="E2" s="679"/>
      <c r="F2" s="24"/>
    </row>
    <row r="3" spans="1:5" ht="18">
      <c r="A3" s="25"/>
      <c r="B3" s="801" t="s">
        <v>297</v>
      </c>
      <c r="C3" s="801"/>
      <c r="D3" s="801"/>
      <c r="E3" s="680"/>
    </row>
    <row r="4" spans="2:13" ht="15.75">
      <c r="B4" s="802" t="s">
        <v>700</v>
      </c>
      <c r="C4" s="802"/>
      <c r="D4" s="802"/>
      <c r="E4" s="681"/>
      <c r="M4" s="9" t="str">
        <f>WN</f>
        <v>February 2009</v>
      </c>
    </row>
    <row r="5" spans="2:5" ht="15.75" thickBot="1">
      <c r="B5" s="465"/>
      <c r="C5" s="465"/>
      <c r="D5" s="465"/>
      <c r="E5" s="679"/>
    </row>
    <row r="6" spans="2:13" ht="16.5" thickTop="1">
      <c r="B6" s="465"/>
      <c r="C6" s="465"/>
      <c r="D6" s="467" t="s">
        <v>76</v>
      </c>
      <c r="E6" s="682"/>
      <c r="G6" s="780" t="s">
        <v>308</v>
      </c>
      <c r="H6" s="781"/>
      <c r="I6" s="781"/>
      <c r="J6" s="781"/>
      <c r="K6" s="781"/>
      <c r="L6" s="781"/>
      <c r="M6" s="782"/>
    </row>
    <row r="7" spans="2:13" ht="15.75" thickBot="1">
      <c r="B7" s="465" t="s">
        <v>298</v>
      </c>
      <c r="C7" s="465" t="s">
        <v>299</v>
      </c>
      <c r="D7" s="465"/>
      <c r="E7" s="679"/>
      <c r="G7" s="783" t="str">
        <f>"Fiscal Year 2008 "</f>
        <v>Fiscal Year 2008 </v>
      </c>
      <c r="H7" s="784"/>
      <c r="I7" s="784"/>
      <c r="J7" s="784"/>
      <c r="K7" s="784"/>
      <c r="L7" s="784"/>
      <c r="M7" s="785"/>
    </row>
    <row r="8" spans="2:13" ht="15.75" thickTop="1">
      <c r="B8" s="465"/>
      <c r="C8" s="465" t="s">
        <v>300</v>
      </c>
      <c r="D8" s="465"/>
      <c r="E8" s="679"/>
      <c r="G8" s="184"/>
      <c r="H8" s="575" t="s">
        <v>423</v>
      </c>
      <c r="I8" s="786" t="s">
        <v>234</v>
      </c>
      <c r="J8" s="770"/>
      <c r="K8" s="786" t="s">
        <v>528</v>
      </c>
      <c r="L8" s="787"/>
      <c r="M8" s="777" t="s">
        <v>233</v>
      </c>
    </row>
    <row r="9" spans="2:13" ht="15">
      <c r="B9" s="465"/>
      <c r="C9" s="465" t="s">
        <v>301</v>
      </c>
      <c r="D9" s="249">
        <v>17141.31</v>
      </c>
      <c r="E9" s="683"/>
      <c r="G9" s="187"/>
      <c r="H9" s="207"/>
      <c r="I9" s="72"/>
      <c r="J9" s="72"/>
      <c r="K9" s="207"/>
      <c r="L9" s="215"/>
      <c r="M9" s="778"/>
    </row>
    <row r="10" spans="2:14" ht="15.75" thickBot="1">
      <c r="B10" s="465"/>
      <c r="C10" s="465"/>
      <c r="D10" s="33"/>
      <c r="E10" s="684"/>
      <c r="G10" s="227"/>
      <c r="H10" s="293" t="str">
        <f>"FY "&amp;FY</f>
        <v>FY </v>
      </c>
      <c r="I10" s="295" t="s">
        <v>206</v>
      </c>
      <c r="J10" s="295" t="s">
        <v>683</v>
      </c>
      <c r="K10" s="296" t="s">
        <v>640</v>
      </c>
      <c r="L10" s="294" t="s">
        <v>683</v>
      </c>
      <c r="M10" s="779"/>
      <c r="N10" s="10"/>
    </row>
    <row r="11" spans="2:13" ht="15.75" thickTop="1">
      <c r="B11" s="465"/>
      <c r="C11" s="465"/>
      <c r="D11" s="33"/>
      <c r="E11" s="684"/>
      <c r="G11" s="187"/>
      <c r="H11" s="468" t="s">
        <v>78</v>
      </c>
      <c r="I11" s="470" t="s">
        <v>79</v>
      </c>
      <c r="J11" s="470" t="s">
        <v>80</v>
      </c>
      <c r="K11" s="471" t="s">
        <v>81</v>
      </c>
      <c r="L11" s="469" t="s">
        <v>82</v>
      </c>
      <c r="M11" s="472" t="s">
        <v>83</v>
      </c>
    </row>
    <row r="12" spans="2:13" ht="15">
      <c r="B12" s="465" t="s">
        <v>302</v>
      </c>
      <c r="C12" s="465" t="s">
        <v>303</v>
      </c>
      <c r="D12" s="33"/>
      <c r="E12" s="684"/>
      <c r="G12" s="187"/>
      <c r="H12" s="236"/>
      <c r="I12" s="36"/>
      <c r="J12" s="36"/>
      <c r="K12" s="208"/>
      <c r="L12" s="216"/>
      <c r="M12" s="189"/>
    </row>
    <row r="13" spans="2:14" ht="15">
      <c r="B13" s="465"/>
      <c r="C13" s="465" t="s">
        <v>304</v>
      </c>
      <c r="D13" s="249">
        <v>14692.24</v>
      </c>
      <c r="E13" s="683"/>
      <c r="G13" s="195" t="s">
        <v>308</v>
      </c>
      <c r="H13" s="237">
        <f>+D26</f>
        <v>36161</v>
      </c>
      <c r="I13" s="201">
        <f>PermC</f>
        <v>180</v>
      </c>
      <c r="J13" s="201">
        <f>PermP</f>
        <v>185</v>
      </c>
      <c r="K13" s="253">
        <f>+I13*H13</f>
        <v>6508980</v>
      </c>
      <c r="L13" s="259">
        <f>+J13*H13</f>
        <v>6689785</v>
      </c>
      <c r="M13" s="474">
        <f>(J13-I13)/I13</f>
        <v>0.027777777777777776</v>
      </c>
      <c r="N13" s="30"/>
    </row>
    <row r="14" spans="2:13" ht="15">
      <c r="B14" s="465"/>
      <c r="C14" s="465"/>
      <c r="D14" s="33"/>
      <c r="E14" s="684"/>
      <c r="G14" s="187"/>
      <c r="H14" s="237"/>
      <c r="I14" s="453"/>
      <c r="J14" s="453"/>
      <c r="K14" s="209"/>
      <c r="L14" s="438"/>
      <c r="M14" s="405"/>
    </row>
    <row r="15" spans="2:13" ht="15.75" thickBot="1">
      <c r="B15" s="465"/>
      <c r="C15" s="465"/>
      <c r="D15" s="33"/>
      <c r="E15" s="684"/>
      <c r="G15" s="177"/>
      <c r="H15" s="238"/>
      <c r="I15" s="459"/>
      <c r="J15" s="459"/>
      <c r="K15" s="231"/>
      <c r="L15" s="460"/>
      <c r="M15" s="461"/>
    </row>
    <row r="16" spans="2:13" ht="15.75" thickTop="1">
      <c r="B16" s="465" t="s">
        <v>305</v>
      </c>
      <c r="C16" s="465" t="s">
        <v>306</v>
      </c>
      <c r="D16" s="249" t="s">
        <v>131</v>
      </c>
      <c r="E16" s="683"/>
      <c r="G16" s="230" t="s">
        <v>309</v>
      </c>
      <c r="H16" s="185"/>
      <c r="I16" s="199"/>
      <c r="J16" s="199"/>
      <c r="K16" s="473"/>
      <c r="L16" s="473"/>
      <c r="M16" s="200"/>
    </row>
    <row r="17" spans="2:13" ht="15">
      <c r="B17" s="465"/>
      <c r="C17" s="465"/>
      <c r="D17" s="33"/>
      <c r="E17" s="684"/>
      <c r="G17" s="187" t="s">
        <v>692</v>
      </c>
      <c r="H17" s="36"/>
      <c r="I17" s="36"/>
      <c r="J17" s="317"/>
      <c r="K17" s="36"/>
      <c r="L17" s="36"/>
      <c r="M17" s="189"/>
    </row>
    <row r="18" spans="2:13" ht="15.75" thickBot="1">
      <c r="B18" s="465"/>
      <c r="C18" s="465"/>
      <c r="D18" s="249"/>
      <c r="E18" s="683"/>
      <c r="G18" s="227"/>
      <c r="H18" s="197"/>
      <c r="I18" s="197"/>
      <c r="J18" s="197"/>
      <c r="K18" s="197"/>
      <c r="L18" s="197"/>
      <c r="M18" s="198"/>
    </row>
    <row r="19" spans="2:7" ht="15.75" thickTop="1">
      <c r="B19" s="465" t="s">
        <v>307</v>
      </c>
      <c r="C19" s="465" t="s">
        <v>308</v>
      </c>
      <c r="D19" s="249">
        <v>5695325</v>
      </c>
      <c r="E19" s="683"/>
      <c r="G19" s="1" t="s">
        <v>138</v>
      </c>
    </row>
    <row r="20" spans="4:7" ht="15">
      <c r="D20" s="36"/>
      <c r="G20" s="1" t="s">
        <v>138</v>
      </c>
    </row>
    <row r="21" spans="2:7" ht="15.75" thickBot="1">
      <c r="B21" s="58"/>
      <c r="C21" s="58"/>
      <c r="D21" s="58"/>
      <c r="G21" s="1" t="s">
        <v>138</v>
      </c>
    </row>
    <row r="22" spans="4:7" ht="15">
      <c r="D22" s="36"/>
      <c r="G22" s="1" t="s">
        <v>138</v>
      </c>
    </row>
    <row r="23" spans="2:4" ht="15">
      <c r="B23" s="1" t="s">
        <v>310</v>
      </c>
      <c r="D23" s="36"/>
    </row>
    <row r="24" ht="15">
      <c r="D24" s="36"/>
    </row>
    <row r="25" spans="3:4" ht="15">
      <c r="C25" s="1" t="s">
        <v>470</v>
      </c>
      <c r="D25" s="36">
        <f>0.75*160+0.25*150</f>
        <v>157.5</v>
      </c>
    </row>
    <row r="26" spans="3:4" ht="15">
      <c r="C26" s="1" t="s">
        <v>311</v>
      </c>
      <c r="D26" s="8">
        <f>ROUND(D19/D25,0)</f>
        <v>36161</v>
      </c>
    </row>
    <row r="286" ht="15">
      <c r="H286" s="1" t="e">
        <f>('Special Handling'!K23+'Special Handling'!K28+'Special Handling'!K33+'Special Handling'!#REF!+'Special Handling'!#REF!)/1000</f>
        <v>#REF!</v>
      </c>
    </row>
    <row r="287" ht="15">
      <c r="H287" s="16" t="e">
        <f>('Special Handling'!K24+'Special Handling'!K29+'Special Handling'!K34+'Special Handling'!#REF!+'Special Handling'!K509)/1000</f>
        <v>#REF!</v>
      </c>
    </row>
  </sheetData>
  <mergeCells count="7">
    <mergeCell ref="I8:J8"/>
    <mergeCell ref="K8:L8"/>
    <mergeCell ref="M8:M10"/>
    <mergeCell ref="B3:D3"/>
    <mergeCell ref="B4:D4"/>
    <mergeCell ref="G6:M6"/>
    <mergeCell ref="G7:M7"/>
  </mergeCells>
  <printOptions horizontalCentered="1"/>
  <pageMargins left="0.5" right="0.5" top="0.75" bottom="0.75" header="0.5" footer="0.5"/>
  <pageSetup fitToHeight="1" fitToWidth="1"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1"/>
  </sheetPr>
  <dimension ref="B2:J103"/>
  <sheetViews>
    <sheetView workbookViewId="0" topLeftCell="A71">
      <selection activeCell="C86" sqref="C86"/>
    </sheetView>
  </sheetViews>
  <sheetFormatPr defaultColWidth="9.140625" defaultRowHeight="12.75"/>
  <cols>
    <col min="2" max="2" width="20.421875" style="0" bestFit="1" customWidth="1"/>
    <col min="3" max="3" width="12.8515625" style="0" bestFit="1" customWidth="1"/>
    <col min="4" max="9" width="11.00390625" style="0" customWidth="1"/>
  </cols>
  <sheetData>
    <row r="2" spans="2:9" ht="12.75">
      <c r="B2" s="803" t="s">
        <v>0</v>
      </c>
      <c r="C2" s="803"/>
      <c r="D2" s="803"/>
      <c r="E2" s="803"/>
      <c r="F2" s="803"/>
      <c r="G2" s="803"/>
      <c r="H2" s="803"/>
      <c r="I2" s="803"/>
    </row>
    <row r="3" spans="2:9" ht="12.75">
      <c r="B3" s="720"/>
      <c r="C3" s="720"/>
      <c r="D3" s="720"/>
      <c r="E3" s="720"/>
      <c r="F3" s="720"/>
      <c r="G3" s="720"/>
      <c r="H3" s="720"/>
      <c r="I3" s="720"/>
    </row>
    <row r="4" spans="2:9" ht="12.75">
      <c r="B4" s="803" t="s">
        <v>529</v>
      </c>
      <c r="C4" s="803"/>
      <c r="D4" s="803"/>
      <c r="E4" s="803"/>
      <c r="F4" s="803"/>
      <c r="G4" s="803"/>
      <c r="H4" s="803"/>
      <c r="I4" s="803"/>
    </row>
    <row r="5" spans="2:9" ht="38.25">
      <c r="B5" s="762" t="s">
        <v>356</v>
      </c>
      <c r="C5" s="762" t="s">
        <v>367</v>
      </c>
      <c r="D5" s="762" t="s">
        <v>368</v>
      </c>
      <c r="E5" s="762" t="s">
        <v>369</v>
      </c>
      <c r="F5" s="762" t="s">
        <v>370</v>
      </c>
      <c r="G5" s="762" t="s">
        <v>371</v>
      </c>
      <c r="H5" s="762" t="s">
        <v>372</v>
      </c>
      <c r="I5" s="762" t="s">
        <v>373</v>
      </c>
    </row>
    <row r="6" spans="2:9" ht="12.75">
      <c r="B6" s="761">
        <v>1</v>
      </c>
      <c r="C6" s="594">
        <v>373498.07321</v>
      </c>
      <c r="D6" s="594">
        <v>149800.25321</v>
      </c>
      <c r="E6" s="594">
        <v>38697.37468</v>
      </c>
      <c r="F6" s="594">
        <v>5232.9730235</v>
      </c>
      <c r="G6" s="594">
        <v>846.90189637</v>
      </c>
      <c r="H6" s="579">
        <v>6876.5976229</v>
      </c>
      <c r="I6" s="579">
        <v>5880.1822116</v>
      </c>
    </row>
    <row r="7" spans="2:9" ht="12.75">
      <c r="B7" s="761">
        <v>2</v>
      </c>
      <c r="C7" s="594">
        <v>526972.67225</v>
      </c>
      <c r="D7" s="594">
        <v>176078.78956</v>
      </c>
      <c r="E7" s="594">
        <v>56254.972036</v>
      </c>
      <c r="F7" s="594">
        <v>8736.2999733</v>
      </c>
      <c r="G7" s="594">
        <v>1317.971875</v>
      </c>
      <c r="H7" s="579">
        <v>9341.5224894</v>
      </c>
      <c r="I7" s="579">
        <v>2253.9674413</v>
      </c>
    </row>
    <row r="8" spans="2:9" ht="12.75">
      <c r="B8" s="761">
        <v>3</v>
      </c>
      <c r="C8" s="594">
        <v>1554126.4238</v>
      </c>
      <c r="D8" s="594">
        <v>566316.23205</v>
      </c>
      <c r="E8" s="594">
        <v>192454.61571</v>
      </c>
      <c r="F8" s="594">
        <v>36124.92297</v>
      </c>
      <c r="G8" s="594">
        <v>6531.4876603</v>
      </c>
      <c r="H8" s="579">
        <v>21561.692174</v>
      </c>
      <c r="I8" s="579">
        <v>21844.334161</v>
      </c>
    </row>
    <row r="9" spans="2:9" ht="12.75">
      <c r="B9" s="761">
        <v>4</v>
      </c>
      <c r="C9" s="594">
        <v>2485504.4801</v>
      </c>
      <c r="D9" s="594">
        <v>1044498.3433</v>
      </c>
      <c r="E9" s="594">
        <v>354400.28184</v>
      </c>
      <c r="F9" s="594">
        <v>65092.654461</v>
      </c>
      <c r="G9" s="594">
        <v>12771.116747</v>
      </c>
      <c r="H9" s="579">
        <v>32967.730048</v>
      </c>
      <c r="I9" s="579">
        <v>22516.120914</v>
      </c>
    </row>
    <row r="10" spans="2:9" ht="12.75">
      <c r="B10" s="761">
        <v>5</v>
      </c>
      <c r="C10" s="594">
        <v>2617939.6602</v>
      </c>
      <c r="D10" s="594">
        <v>1155845.9734</v>
      </c>
      <c r="E10" s="594">
        <v>335969.15689</v>
      </c>
      <c r="F10" s="594">
        <v>42252.928953</v>
      </c>
      <c r="G10" s="594">
        <v>7062.977484</v>
      </c>
      <c r="H10" s="579">
        <v>18076.798398</v>
      </c>
      <c r="I10" s="579">
        <v>21906.802137</v>
      </c>
    </row>
    <row r="11" spans="2:9" ht="12.75">
      <c r="B11" s="761">
        <v>6</v>
      </c>
      <c r="C11" s="594">
        <v>790512.7718</v>
      </c>
      <c r="D11" s="594">
        <v>345752.05147</v>
      </c>
      <c r="E11" s="594">
        <v>101252.39565</v>
      </c>
      <c r="F11" s="594">
        <v>12903.221154</v>
      </c>
      <c r="G11" s="594">
        <v>1938.5553686</v>
      </c>
      <c r="H11" s="579">
        <v>7516.6383547</v>
      </c>
      <c r="I11" s="579">
        <v>15920.117148</v>
      </c>
    </row>
    <row r="12" spans="2:9" ht="12.75">
      <c r="B12" s="761">
        <v>7</v>
      </c>
      <c r="C12" s="594">
        <v>217524.75516</v>
      </c>
      <c r="D12" s="594">
        <v>109195.04511</v>
      </c>
      <c r="E12" s="594">
        <v>32123.900347</v>
      </c>
      <c r="F12" s="594">
        <v>3637.4794872</v>
      </c>
      <c r="G12" s="594">
        <v>418.84265492</v>
      </c>
      <c r="H12" s="579">
        <v>549.9229968</v>
      </c>
      <c r="I12" s="579">
        <v>2.0481303419</v>
      </c>
    </row>
    <row r="13" spans="2:9" ht="12.75">
      <c r="B13" s="761" t="s">
        <v>363</v>
      </c>
      <c r="C13" s="595">
        <v>1024712.3801</v>
      </c>
      <c r="D13" s="595">
        <v>352133.00155</v>
      </c>
      <c r="E13" s="595">
        <v>68084.97289</v>
      </c>
      <c r="F13" s="595">
        <v>5415.256624</v>
      </c>
      <c r="G13" s="595">
        <v>711.72529381</v>
      </c>
      <c r="H13" s="579">
        <v>126.9840812</v>
      </c>
      <c r="I13" s="579">
        <v>0</v>
      </c>
    </row>
    <row r="14" spans="2:9" ht="12.75">
      <c r="B14" t="s">
        <v>364</v>
      </c>
      <c r="C14" s="668">
        <v>1470788</v>
      </c>
      <c r="D14" s="579"/>
      <c r="E14" s="579"/>
      <c r="F14" s="579"/>
      <c r="G14" s="579"/>
      <c r="H14" s="579"/>
      <c r="I14" s="579"/>
    </row>
    <row r="15" spans="2:9" ht="12.75">
      <c r="B15" t="s">
        <v>365</v>
      </c>
      <c r="C15" s="668">
        <v>77585</v>
      </c>
      <c r="D15" s="579"/>
      <c r="E15" s="579"/>
      <c r="F15" s="579"/>
      <c r="G15" s="579"/>
      <c r="H15" s="579"/>
      <c r="I15" s="579"/>
    </row>
    <row r="16" spans="2:9" ht="12.75">
      <c r="B16" t="s">
        <v>366</v>
      </c>
      <c r="C16" s="668">
        <v>44040</v>
      </c>
      <c r="D16" s="579"/>
      <c r="E16" s="579"/>
      <c r="F16" s="579"/>
      <c r="G16" s="579"/>
      <c r="H16" s="579"/>
      <c r="I16" s="579"/>
    </row>
    <row r="20" spans="2:9" ht="12.75">
      <c r="B20" s="803" t="s">
        <v>736</v>
      </c>
      <c r="C20" s="803"/>
      <c r="D20" s="803"/>
      <c r="E20" s="803"/>
      <c r="F20" s="803"/>
      <c r="G20" s="803"/>
      <c r="H20" s="803"/>
      <c r="I20" s="803"/>
    </row>
    <row r="21" spans="2:9" ht="25.5">
      <c r="B21" s="762" t="s">
        <v>356</v>
      </c>
      <c r="C21" s="762" t="s">
        <v>357</v>
      </c>
      <c r="D21" s="762" t="s">
        <v>358</v>
      </c>
      <c r="E21" s="762" t="s">
        <v>359</v>
      </c>
      <c r="F21" s="762" t="s">
        <v>360</v>
      </c>
      <c r="G21" s="762" t="s">
        <v>361</v>
      </c>
      <c r="H21" s="762" t="s">
        <v>682</v>
      </c>
      <c r="I21" s="762" t="s">
        <v>362</v>
      </c>
    </row>
    <row r="22" spans="2:9" ht="12.75">
      <c r="B22" s="761">
        <v>1</v>
      </c>
      <c r="C22" s="596">
        <f>(+Rates!F148)*2</f>
        <v>86</v>
      </c>
      <c r="D22" s="596">
        <f>(+Rates!F156)*2</f>
        <v>132</v>
      </c>
      <c r="E22" s="596">
        <f>(+Rates!F164)*2</f>
        <v>240</v>
      </c>
      <c r="F22" s="596">
        <f>(+Rates!F172)*2</f>
        <v>494</v>
      </c>
      <c r="G22" s="596">
        <f>(+Rates!F180)*2</f>
        <v>796</v>
      </c>
      <c r="H22" s="596">
        <f>(+Rates!F53)*2</f>
        <v>1288</v>
      </c>
      <c r="I22" s="577">
        <f>+Rates!F205</f>
        <v>39</v>
      </c>
    </row>
    <row r="23" spans="2:9" ht="12.75">
      <c r="B23" s="761">
        <v>2</v>
      </c>
      <c r="C23" s="596">
        <f>(+Rates!F149)*2</f>
        <v>72</v>
      </c>
      <c r="D23" s="596">
        <f>(+Rates!F157)*2</f>
        <v>112</v>
      </c>
      <c r="E23" s="596">
        <f>(+Rates!F165)*2</f>
        <v>190</v>
      </c>
      <c r="F23" s="596">
        <f>(+Rates!F173)*2</f>
        <v>374</v>
      </c>
      <c r="G23" s="596">
        <f>(+Rates!F181)*2</f>
        <v>666</v>
      </c>
      <c r="H23" s="596">
        <f>(+Rates!F54)*2</f>
        <v>1124</v>
      </c>
      <c r="I23" s="577">
        <f aca="true" t="shared" si="0" ref="I23:I28">+I22</f>
        <v>39</v>
      </c>
    </row>
    <row r="24" spans="2:9" ht="12.75">
      <c r="B24" s="761">
        <v>3</v>
      </c>
      <c r="C24" s="596">
        <f>(+Rates!F150)*2</f>
        <v>58</v>
      </c>
      <c r="D24" s="596">
        <f>(+Rates!F158)*2</f>
        <v>94</v>
      </c>
      <c r="E24" s="596">
        <f>(+Rates!F166)*2</f>
        <v>170</v>
      </c>
      <c r="F24" s="596">
        <f>(+Rates!F174)*2</f>
        <v>306</v>
      </c>
      <c r="G24" s="596">
        <f>(+Rates!F182)*2</f>
        <v>510</v>
      </c>
      <c r="H24" s="596">
        <f>(+Rates!F55)*2</f>
        <v>990</v>
      </c>
      <c r="I24" s="577">
        <f t="shared" si="0"/>
        <v>39</v>
      </c>
    </row>
    <row r="25" spans="2:9" ht="12.75">
      <c r="B25" s="761">
        <v>4</v>
      </c>
      <c r="C25" s="596">
        <f>(+Rates!F151)*2</f>
        <v>42</v>
      </c>
      <c r="D25" s="596">
        <f>(+Rates!F159)*2</f>
        <v>70</v>
      </c>
      <c r="E25" s="596">
        <f>(+Rates!F167)*2</f>
        <v>106</v>
      </c>
      <c r="F25" s="596">
        <f>(+Rates!F175)*2</f>
        <v>208</v>
      </c>
      <c r="G25" s="596">
        <f>(+Rates!F183)*2</f>
        <v>400</v>
      </c>
      <c r="H25" s="596">
        <f>(+Rates!F56)*2</f>
        <v>974</v>
      </c>
      <c r="I25" s="577">
        <f t="shared" si="0"/>
        <v>39</v>
      </c>
    </row>
    <row r="26" spans="2:9" ht="12.75">
      <c r="B26" s="761">
        <v>5</v>
      </c>
      <c r="C26" s="596">
        <f>(+Rates!F152)*2</f>
        <v>38</v>
      </c>
      <c r="D26" s="596">
        <f>(+Rates!F160)*2</f>
        <v>54</v>
      </c>
      <c r="E26" s="596">
        <f>(+Rates!F168)*2</f>
        <v>98</v>
      </c>
      <c r="F26" s="596">
        <f>(+Rates!F176)*2</f>
        <v>180</v>
      </c>
      <c r="G26" s="596">
        <f>(+Rates!F184)*2</f>
        <v>302</v>
      </c>
      <c r="H26" s="596">
        <f>(+Rates!F57)*2</f>
        <v>952</v>
      </c>
      <c r="I26" s="577">
        <f t="shared" si="0"/>
        <v>39</v>
      </c>
    </row>
    <row r="27" spans="2:9" ht="12.75">
      <c r="B27" s="761">
        <v>6</v>
      </c>
      <c r="C27" s="596">
        <f>(+Rates!F153)*2</f>
        <v>26</v>
      </c>
      <c r="D27" s="596">
        <f>(+Rates!F161)*2</f>
        <v>42</v>
      </c>
      <c r="E27" s="596">
        <f>(+Rates!F169)*2</f>
        <v>72</v>
      </c>
      <c r="F27" s="596">
        <f>(+Rates!F177)*2</f>
        <v>126</v>
      </c>
      <c r="G27" s="596">
        <f>(+Rates!F185)*2</f>
        <v>224</v>
      </c>
      <c r="H27" s="596">
        <f>(+Rates!F58)*2</f>
        <v>850</v>
      </c>
      <c r="I27" s="577">
        <f t="shared" si="0"/>
        <v>39</v>
      </c>
    </row>
    <row r="28" spans="2:9" ht="12.75">
      <c r="B28" s="761">
        <v>7</v>
      </c>
      <c r="C28" s="596">
        <f>(+Rates!F154)*2</f>
        <v>20</v>
      </c>
      <c r="D28" s="596">
        <f>(+Rates!F162)*2</f>
        <v>32</v>
      </c>
      <c r="E28" s="596">
        <f>(+Rates!F170)*2</f>
        <v>58</v>
      </c>
      <c r="F28" s="596">
        <f>(+Rates!F178)*2</f>
        <v>98</v>
      </c>
      <c r="G28" s="596">
        <f>(+Rates!F186)*2</f>
        <v>174</v>
      </c>
      <c r="H28" s="596">
        <f>(+Rates!F59)*2</f>
        <v>758</v>
      </c>
      <c r="I28" s="577">
        <f t="shared" si="0"/>
        <v>39</v>
      </c>
    </row>
    <row r="29" spans="2:9" ht="12.75">
      <c r="B29" s="761" t="s">
        <v>363</v>
      </c>
      <c r="C29" s="577">
        <v>0</v>
      </c>
      <c r="D29" s="577">
        <v>0</v>
      </c>
      <c r="E29" s="577">
        <v>0</v>
      </c>
      <c r="F29" s="577">
        <v>0</v>
      </c>
      <c r="G29" s="577">
        <v>0</v>
      </c>
      <c r="H29" s="577"/>
      <c r="I29" s="577"/>
    </row>
    <row r="30" spans="2:3" ht="12.75">
      <c r="B30" t="s">
        <v>364</v>
      </c>
      <c r="C30" s="578">
        <v>1</v>
      </c>
    </row>
    <row r="31" spans="2:3" ht="12.75">
      <c r="B31" t="s">
        <v>365</v>
      </c>
      <c r="C31" s="578">
        <v>6</v>
      </c>
    </row>
    <row r="32" spans="2:3" ht="12.75">
      <c r="B32" t="s">
        <v>366</v>
      </c>
      <c r="C32" s="578">
        <v>14</v>
      </c>
    </row>
    <row r="38" spans="2:9" ht="12.75">
      <c r="B38" s="803" t="s">
        <v>737</v>
      </c>
      <c r="C38" s="803"/>
      <c r="D38" s="803"/>
      <c r="E38" s="803"/>
      <c r="F38" s="803"/>
      <c r="G38" s="803"/>
      <c r="H38" s="803"/>
      <c r="I38" s="803"/>
    </row>
    <row r="39" spans="2:9" ht="25.5">
      <c r="B39" s="762" t="s">
        <v>356</v>
      </c>
      <c r="C39" s="762" t="s">
        <v>357</v>
      </c>
      <c r="D39" s="762" t="s">
        <v>358</v>
      </c>
      <c r="E39" s="762" t="s">
        <v>359</v>
      </c>
      <c r="F39" s="762" t="s">
        <v>360</v>
      </c>
      <c r="G39" s="762" t="s">
        <v>361</v>
      </c>
      <c r="H39" s="762" t="s">
        <v>682</v>
      </c>
      <c r="I39" s="762" t="s">
        <v>362</v>
      </c>
    </row>
    <row r="40" spans="2:9" ht="12.75">
      <c r="B40" s="761">
        <v>1</v>
      </c>
      <c r="C40" s="596">
        <f>(+Rates!G148)*2</f>
        <v>92</v>
      </c>
      <c r="D40" s="596">
        <f>(+Rates!G156)*2</f>
        <v>140</v>
      </c>
      <c r="E40" s="596">
        <f>(+Rates!G164)*2</f>
        <v>250</v>
      </c>
      <c r="F40" s="596">
        <f>(+Rates!G172)*2</f>
        <v>510</v>
      </c>
      <c r="G40" s="596">
        <f>(+Rates!G180)*2</f>
        <v>820</v>
      </c>
      <c r="H40" s="596">
        <f>(+Rates!G53)*2</f>
        <v>1320</v>
      </c>
      <c r="I40" s="577">
        <f>+Rates!G205</f>
        <v>40</v>
      </c>
    </row>
    <row r="41" spans="2:9" ht="12.75">
      <c r="B41" s="761">
        <v>2</v>
      </c>
      <c r="C41" s="596">
        <f>(+Rates!G149)*2</f>
        <v>72</v>
      </c>
      <c r="D41" s="596">
        <f>(+Rates!G157)*2</f>
        <v>116</v>
      </c>
      <c r="E41" s="596">
        <f>(+Rates!G165)*2</f>
        <v>200</v>
      </c>
      <c r="F41" s="596">
        <f>(+Rates!G173)*2</f>
        <v>390</v>
      </c>
      <c r="G41" s="596">
        <f>(+Rates!G181)*2</f>
        <v>700</v>
      </c>
      <c r="H41" s="596">
        <f>(+Rates!G54)*2</f>
        <v>1160</v>
      </c>
      <c r="I41" s="577">
        <f aca="true" t="shared" si="1" ref="I41:I46">+I40</f>
        <v>40</v>
      </c>
    </row>
    <row r="42" spans="2:9" ht="12.75">
      <c r="B42" s="761">
        <v>3</v>
      </c>
      <c r="C42" s="596">
        <f>(+Rates!G150)*2</f>
        <v>60</v>
      </c>
      <c r="D42" s="596">
        <f>(+Rates!G158)*2</f>
        <v>96</v>
      </c>
      <c r="E42" s="596">
        <f>(+Rates!G166)*2</f>
        <v>176</v>
      </c>
      <c r="F42" s="596">
        <f>(+Rates!G174)*2</f>
        <v>320</v>
      </c>
      <c r="G42" s="596">
        <f>(+Rates!G182)*2</f>
        <v>540</v>
      </c>
      <c r="H42" s="596">
        <f>(+Rates!G55)*2</f>
        <v>1040</v>
      </c>
      <c r="I42" s="577">
        <f t="shared" si="1"/>
        <v>40</v>
      </c>
    </row>
    <row r="43" spans="2:9" ht="12.75">
      <c r="B43" s="761">
        <v>4</v>
      </c>
      <c r="C43" s="596">
        <f>(+Rates!G151)*2</f>
        <v>44</v>
      </c>
      <c r="D43" s="596">
        <f>(+Rates!G159)*2</f>
        <v>70</v>
      </c>
      <c r="E43" s="596">
        <f>(+Rates!G167)*2</f>
        <v>110</v>
      </c>
      <c r="F43" s="596">
        <f>(+Rates!G175)*2</f>
        <v>220</v>
      </c>
      <c r="G43" s="596">
        <f>(+Rates!G183)*2</f>
        <v>410</v>
      </c>
      <c r="H43" s="596">
        <f>(+Rates!G56)*2</f>
        <v>1020</v>
      </c>
      <c r="I43" s="577">
        <f t="shared" si="1"/>
        <v>40</v>
      </c>
    </row>
    <row r="44" spans="2:9" ht="12.75">
      <c r="B44" s="761">
        <v>5</v>
      </c>
      <c r="C44" s="596">
        <f>(+Rates!G152)*2</f>
        <v>40</v>
      </c>
      <c r="D44" s="596">
        <f>(+Rates!G160)*2</f>
        <v>56</v>
      </c>
      <c r="E44" s="596">
        <f>(+Rates!G168)*2</f>
        <v>100</v>
      </c>
      <c r="F44" s="596">
        <f>(+Rates!G176)*2</f>
        <v>180</v>
      </c>
      <c r="G44" s="596">
        <f>(+Rates!G184)*2</f>
        <v>310</v>
      </c>
      <c r="H44" s="596">
        <f>(+Rates!G57)*2</f>
        <v>1000</v>
      </c>
      <c r="I44" s="577">
        <f t="shared" si="1"/>
        <v>40</v>
      </c>
    </row>
    <row r="45" spans="2:9" ht="12.75">
      <c r="B45" s="761">
        <v>6</v>
      </c>
      <c r="C45" s="596">
        <f>(+Rates!G153)*2</f>
        <v>28</v>
      </c>
      <c r="D45" s="596">
        <f>(+Rates!G161)*2</f>
        <v>44</v>
      </c>
      <c r="E45" s="596">
        <f>(+Rates!G169)*2</f>
        <v>76</v>
      </c>
      <c r="F45" s="596">
        <f>(+Rates!G177)*2</f>
        <v>130</v>
      </c>
      <c r="G45" s="596">
        <f>(+Rates!G185)*2</f>
        <v>230</v>
      </c>
      <c r="H45" s="596">
        <f>(+Rates!G58)*2</f>
        <v>900</v>
      </c>
      <c r="I45" s="577">
        <f t="shared" si="1"/>
        <v>40</v>
      </c>
    </row>
    <row r="46" spans="2:9" ht="12.75">
      <c r="B46" s="761">
        <v>7</v>
      </c>
      <c r="C46" s="596">
        <f>(+Rates!G154)*2</f>
        <v>24</v>
      </c>
      <c r="D46" s="596">
        <f>(+Rates!G162)*2</f>
        <v>36</v>
      </c>
      <c r="E46" s="596">
        <f>(+Rates!G170)*2</f>
        <v>60</v>
      </c>
      <c r="F46" s="596">
        <f>(+Rates!G178)*2</f>
        <v>100</v>
      </c>
      <c r="G46" s="596">
        <f>(+Rates!G186)*2</f>
        <v>180</v>
      </c>
      <c r="H46" s="596">
        <f>(+Rates!G59)*2</f>
        <v>820</v>
      </c>
      <c r="I46" s="577">
        <f t="shared" si="1"/>
        <v>40</v>
      </c>
    </row>
    <row r="47" spans="2:9" ht="12.75">
      <c r="B47" s="761" t="s">
        <v>363</v>
      </c>
      <c r="C47" s="596">
        <v>0</v>
      </c>
      <c r="D47" s="596">
        <v>0</v>
      </c>
      <c r="E47" s="596">
        <v>0</v>
      </c>
      <c r="F47" s="596">
        <v>0</v>
      </c>
      <c r="G47" s="596">
        <v>0</v>
      </c>
      <c r="H47" s="596">
        <v>0</v>
      </c>
      <c r="I47" s="577">
        <v>0</v>
      </c>
    </row>
    <row r="48" spans="2:3" ht="12.75">
      <c r="B48" t="s">
        <v>364</v>
      </c>
      <c r="C48" s="578">
        <v>1</v>
      </c>
    </row>
    <row r="49" spans="2:3" ht="12.75">
      <c r="B49" t="s">
        <v>365</v>
      </c>
      <c r="C49" s="578">
        <v>6</v>
      </c>
    </row>
    <row r="50" spans="2:3" ht="12.75">
      <c r="B50" t="s">
        <v>366</v>
      </c>
      <c r="C50" s="578">
        <v>14</v>
      </c>
    </row>
    <row r="55" spans="2:9" ht="12.75">
      <c r="B55" s="803" t="s">
        <v>738</v>
      </c>
      <c r="C55" s="803"/>
      <c r="D55" s="803"/>
      <c r="E55" s="803"/>
      <c r="F55" s="803"/>
      <c r="G55" s="803"/>
      <c r="H55" s="803"/>
      <c r="I55" s="803"/>
    </row>
    <row r="56" spans="2:9" ht="25.5">
      <c r="B56" s="762" t="s">
        <v>356</v>
      </c>
      <c r="C56" s="762" t="s">
        <v>357</v>
      </c>
      <c r="D56" s="762" t="s">
        <v>358</v>
      </c>
      <c r="E56" s="762" t="s">
        <v>359</v>
      </c>
      <c r="F56" s="762" t="s">
        <v>360</v>
      </c>
      <c r="G56" s="762" t="s">
        <v>361</v>
      </c>
      <c r="H56" s="762" t="s">
        <v>682</v>
      </c>
      <c r="I56" s="762" t="s">
        <v>362</v>
      </c>
    </row>
    <row r="57" spans="2:10" ht="12.75">
      <c r="B57" s="761">
        <v>1</v>
      </c>
      <c r="C57" s="137">
        <f aca="true" t="shared" si="2" ref="C57:I63">+C22*C6</f>
        <v>32120834.29606</v>
      </c>
      <c r="D57" s="137">
        <f t="shared" si="2"/>
        <v>19773633.42372</v>
      </c>
      <c r="E57" s="137">
        <f t="shared" si="2"/>
        <v>9287369.9232</v>
      </c>
      <c r="F57" s="137">
        <f t="shared" si="2"/>
        <v>2585088.6736089997</v>
      </c>
      <c r="G57" s="137">
        <f t="shared" si="2"/>
        <v>674133.90951052</v>
      </c>
      <c r="H57" s="137">
        <f t="shared" si="2"/>
        <v>8857057.7382952</v>
      </c>
      <c r="I57" s="137">
        <f t="shared" si="2"/>
        <v>229327.1062524</v>
      </c>
      <c r="J57" s="716"/>
    </row>
    <row r="58" spans="2:9" ht="12.75">
      <c r="B58" s="761">
        <v>2</v>
      </c>
      <c r="C58" s="137">
        <f t="shared" si="2"/>
        <v>37942032.401999995</v>
      </c>
      <c r="D58" s="137">
        <f t="shared" si="2"/>
        <v>19720824.43072</v>
      </c>
      <c r="E58" s="137">
        <f t="shared" si="2"/>
        <v>10688444.68684</v>
      </c>
      <c r="F58" s="137">
        <f t="shared" si="2"/>
        <v>3267376.1900142</v>
      </c>
      <c r="G58" s="137">
        <f t="shared" si="2"/>
        <v>877769.2687499999</v>
      </c>
      <c r="H58" s="137">
        <f t="shared" si="2"/>
        <v>10499871.2780856</v>
      </c>
      <c r="I58" s="137">
        <f t="shared" si="2"/>
        <v>87904.73021069999</v>
      </c>
    </row>
    <row r="59" spans="2:9" ht="12.75">
      <c r="B59" s="761">
        <v>3</v>
      </c>
      <c r="C59" s="137">
        <f t="shared" si="2"/>
        <v>90139332.5804</v>
      </c>
      <c r="D59" s="137">
        <f t="shared" si="2"/>
        <v>53233725.812699996</v>
      </c>
      <c r="E59" s="137">
        <f t="shared" si="2"/>
        <v>32717284.670700002</v>
      </c>
      <c r="F59" s="137">
        <f t="shared" si="2"/>
        <v>11054226.42882</v>
      </c>
      <c r="G59" s="137">
        <f t="shared" si="2"/>
        <v>3331058.706753</v>
      </c>
      <c r="H59" s="137">
        <f t="shared" si="2"/>
        <v>21346075.25226</v>
      </c>
      <c r="I59" s="137">
        <f t="shared" si="2"/>
        <v>851929.0322789999</v>
      </c>
    </row>
    <row r="60" spans="2:9" ht="12.75">
      <c r="B60" s="761">
        <v>4</v>
      </c>
      <c r="C60" s="137">
        <f t="shared" si="2"/>
        <v>104391188.1642</v>
      </c>
      <c r="D60" s="137">
        <f t="shared" si="2"/>
        <v>73114884.031</v>
      </c>
      <c r="E60" s="137">
        <f t="shared" si="2"/>
        <v>37566429.87504</v>
      </c>
      <c r="F60" s="137">
        <f t="shared" si="2"/>
        <v>13539272.127888</v>
      </c>
      <c r="G60" s="137">
        <f t="shared" si="2"/>
        <v>5108446.6988</v>
      </c>
      <c r="H60" s="137">
        <f t="shared" si="2"/>
        <v>32110569.066751998</v>
      </c>
      <c r="I60" s="137">
        <f t="shared" si="2"/>
        <v>878128.715646</v>
      </c>
    </row>
    <row r="61" spans="2:9" ht="12.75">
      <c r="B61" s="761">
        <v>5</v>
      </c>
      <c r="C61" s="137">
        <f t="shared" si="2"/>
        <v>99481707.0876</v>
      </c>
      <c r="D61" s="137">
        <f t="shared" si="2"/>
        <v>62415682.5636</v>
      </c>
      <c r="E61" s="137">
        <f t="shared" si="2"/>
        <v>32924977.375219997</v>
      </c>
      <c r="F61" s="137">
        <f t="shared" si="2"/>
        <v>7605527.2115400005</v>
      </c>
      <c r="G61" s="137">
        <f t="shared" si="2"/>
        <v>2133019.200168</v>
      </c>
      <c r="H61" s="137">
        <f t="shared" si="2"/>
        <v>17209112.074896</v>
      </c>
      <c r="I61" s="137">
        <f t="shared" si="2"/>
        <v>854365.283343</v>
      </c>
    </row>
    <row r="62" spans="2:9" ht="12.75">
      <c r="B62" s="761">
        <v>6</v>
      </c>
      <c r="C62" s="137">
        <f t="shared" si="2"/>
        <v>20553332.0668</v>
      </c>
      <c r="D62" s="137">
        <f t="shared" si="2"/>
        <v>14521586.16174</v>
      </c>
      <c r="E62" s="137">
        <f t="shared" si="2"/>
        <v>7290172.4868</v>
      </c>
      <c r="F62" s="137">
        <f t="shared" si="2"/>
        <v>1625805.865404</v>
      </c>
      <c r="G62" s="137">
        <f t="shared" si="2"/>
        <v>434236.4025664</v>
      </c>
      <c r="H62" s="137">
        <f t="shared" si="2"/>
        <v>6389142.601495</v>
      </c>
      <c r="I62" s="137">
        <f t="shared" si="2"/>
        <v>620884.568772</v>
      </c>
    </row>
    <row r="63" spans="2:9" ht="12.75">
      <c r="B63" s="761">
        <v>7</v>
      </c>
      <c r="C63" s="137">
        <f t="shared" si="2"/>
        <v>4350495.1032</v>
      </c>
      <c r="D63" s="137">
        <f t="shared" si="2"/>
        <v>3494241.44352</v>
      </c>
      <c r="E63" s="137">
        <f t="shared" si="2"/>
        <v>1863186.220126</v>
      </c>
      <c r="F63" s="137">
        <f t="shared" si="2"/>
        <v>356472.98974560003</v>
      </c>
      <c r="G63" s="137">
        <f t="shared" si="2"/>
        <v>72878.62195608</v>
      </c>
      <c r="H63" s="137">
        <f t="shared" si="2"/>
        <v>416841.6315744</v>
      </c>
      <c r="I63" s="137">
        <f t="shared" si="2"/>
        <v>79.87708333409999</v>
      </c>
    </row>
    <row r="64" spans="2:9" ht="12.75">
      <c r="B64" s="761" t="s">
        <v>363</v>
      </c>
      <c r="C64" s="577">
        <v>0</v>
      </c>
      <c r="D64" s="577">
        <v>0</v>
      </c>
      <c r="E64" s="577">
        <v>0</v>
      </c>
      <c r="F64" s="577">
        <v>0</v>
      </c>
      <c r="G64" s="577">
        <v>0</v>
      </c>
      <c r="H64" s="577">
        <v>0</v>
      </c>
      <c r="I64" s="577">
        <v>0</v>
      </c>
    </row>
    <row r="65" spans="2:3" ht="12.75">
      <c r="B65" t="s">
        <v>364</v>
      </c>
      <c r="C65" s="669">
        <f>+C30*C14</f>
        <v>1470788</v>
      </c>
    </row>
    <row r="66" spans="2:3" ht="12.75">
      <c r="B66" t="s">
        <v>365</v>
      </c>
      <c r="C66" s="669">
        <f>+C31*C15</f>
        <v>465510</v>
      </c>
    </row>
    <row r="67" spans="2:3" ht="12.75">
      <c r="B67" t="s">
        <v>366</v>
      </c>
      <c r="C67" s="669">
        <f>+C32*C16</f>
        <v>616560</v>
      </c>
    </row>
    <row r="68" ht="12.75">
      <c r="C68" s="137">
        <f>SUM(C57:I67)</f>
        <v>923160824.0576551</v>
      </c>
    </row>
    <row r="70" spans="2:9" ht="12.75">
      <c r="B70" s="803" t="s">
        <v>739</v>
      </c>
      <c r="C70" s="803"/>
      <c r="D70" s="803"/>
      <c r="E70" s="803"/>
      <c r="F70" s="803"/>
      <c r="G70" s="803"/>
      <c r="H70" s="803"/>
      <c r="I70" s="803"/>
    </row>
    <row r="71" spans="2:9" ht="25.5">
      <c r="B71" s="762" t="s">
        <v>356</v>
      </c>
      <c r="C71" s="762" t="s">
        <v>357</v>
      </c>
      <c r="D71" s="762" t="s">
        <v>358</v>
      </c>
      <c r="E71" s="762" t="s">
        <v>359</v>
      </c>
      <c r="F71" s="762" t="s">
        <v>360</v>
      </c>
      <c r="G71" s="762" t="s">
        <v>361</v>
      </c>
      <c r="H71" s="762" t="s">
        <v>682</v>
      </c>
      <c r="I71" s="762" t="s">
        <v>362</v>
      </c>
    </row>
    <row r="72" spans="2:9" ht="12.75">
      <c r="B72" s="761">
        <v>1</v>
      </c>
      <c r="C72" s="137">
        <f aca="true" t="shared" si="3" ref="C72:I78">+C40*C6</f>
        <v>34361822.73532</v>
      </c>
      <c r="D72" s="137">
        <f t="shared" si="3"/>
        <v>20972035.4494</v>
      </c>
      <c r="E72" s="137">
        <f t="shared" si="3"/>
        <v>9674343.67</v>
      </c>
      <c r="F72" s="137">
        <f t="shared" si="3"/>
        <v>2668816.2419849997</v>
      </c>
      <c r="G72" s="137">
        <f t="shared" si="3"/>
        <v>694459.5550234</v>
      </c>
      <c r="H72" s="137">
        <f t="shared" si="3"/>
        <v>9077108.862228</v>
      </c>
      <c r="I72" s="137">
        <f t="shared" si="3"/>
        <v>235207.288464</v>
      </c>
    </row>
    <row r="73" spans="2:9" ht="12.75">
      <c r="B73" s="761">
        <v>2</v>
      </c>
      <c r="C73" s="137">
        <f t="shared" si="3"/>
        <v>37942032.401999995</v>
      </c>
      <c r="D73" s="137">
        <f t="shared" si="3"/>
        <v>20425139.58896</v>
      </c>
      <c r="E73" s="137">
        <f t="shared" si="3"/>
        <v>11250994.4072</v>
      </c>
      <c r="F73" s="137">
        <f t="shared" si="3"/>
        <v>3407156.989587</v>
      </c>
      <c r="G73" s="137">
        <f t="shared" si="3"/>
        <v>922580.3125</v>
      </c>
      <c r="H73" s="137">
        <f t="shared" si="3"/>
        <v>10836166.087704001</v>
      </c>
      <c r="I73" s="137">
        <f t="shared" si="3"/>
        <v>90158.69765199999</v>
      </c>
    </row>
    <row r="74" spans="2:9" ht="12.75">
      <c r="B74" s="761">
        <v>3</v>
      </c>
      <c r="C74" s="137">
        <f t="shared" si="3"/>
        <v>93247585.428</v>
      </c>
      <c r="D74" s="137">
        <f t="shared" si="3"/>
        <v>54366358.2768</v>
      </c>
      <c r="E74" s="137">
        <f t="shared" si="3"/>
        <v>33872012.36496</v>
      </c>
      <c r="F74" s="137">
        <f t="shared" si="3"/>
        <v>11559975.3504</v>
      </c>
      <c r="G74" s="137">
        <f t="shared" si="3"/>
        <v>3527003.336562</v>
      </c>
      <c r="H74" s="137">
        <f t="shared" si="3"/>
        <v>22424159.86096</v>
      </c>
      <c r="I74" s="137">
        <f t="shared" si="3"/>
        <v>873773.36644</v>
      </c>
    </row>
    <row r="75" spans="2:9" ht="12.75">
      <c r="B75" s="761">
        <v>4</v>
      </c>
      <c r="C75" s="137">
        <f t="shared" si="3"/>
        <v>109362197.12439999</v>
      </c>
      <c r="D75" s="137">
        <f t="shared" si="3"/>
        <v>73114884.031</v>
      </c>
      <c r="E75" s="137">
        <f t="shared" si="3"/>
        <v>38984031.0024</v>
      </c>
      <c r="F75" s="137">
        <f t="shared" si="3"/>
        <v>14320383.98142</v>
      </c>
      <c r="G75" s="137">
        <f t="shared" si="3"/>
        <v>5236157.86627</v>
      </c>
      <c r="H75" s="137">
        <f t="shared" si="3"/>
        <v>33627084.648959994</v>
      </c>
      <c r="I75" s="137">
        <f t="shared" si="3"/>
        <v>900644.83656</v>
      </c>
    </row>
    <row r="76" spans="2:9" ht="12.75">
      <c r="B76" s="761">
        <v>5</v>
      </c>
      <c r="C76" s="137">
        <f t="shared" si="3"/>
        <v>104717586.40799999</v>
      </c>
      <c r="D76" s="137">
        <f t="shared" si="3"/>
        <v>64727374.5104</v>
      </c>
      <c r="E76" s="137">
        <f t="shared" si="3"/>
        <v>33596915.688999996</v>
      </c>
      <c r="F76" s="137">
        <f t="shared" si="3"/>
        <v>7605527.2115400005</v>
      </c>
      <c r="G76" s="137">
        <f t="shared" si="3"/>
        <v>2189523.02004</v>
      </c>
      <c r="H76" s="137">
        <f t="shared" si="3"/>
        <v>18076798.398</v>
      </c>
      <c r="I76" s="137">
        <f t="shared" si="3"/>
        <v>876272.0854799999</v>
      </c>
    </row>
    <row r="77" spans="2:9" ht="12.75">
      <c r="B77" s="761">
        <v>6</v>
      </c>
      <c r="C77" s="137">
        <f t="shared" si="3"/>
        <v>22134357.6104</v>
      </c>
      <c r="D77" s="137">
        <f t="shared" si="3"/>
        <v>15213090.26468</v>
      </c>
      <c r="E77" s="137">
        <f t="shared" si="3"/>
        <v>7695182.0694</v>
      </c>
      <c r="F77" s="137">
        <f t="shared" si="3"/>
        <v>1677418.7500200002</v>
      </c>
      <c r="G77" s="137">
        <f t="shared" si="3"/>
        <v>445867.73477800004</v>
      </c>
      <c r="H77" s="137">
        <f t="shared" si="3"/>
        <v>6764974.51923</v>
      </c>
      <c r="I77" s="137">
        <f t="shared" si="3"/>
        <v>636804.68592</v>
      </c>
    </row>
    <row r="78" spans="2:9" ht="12.75">
      <c r="B78" s="761">
        <v>7</v>
      </c>
      <c r="C78" s="137">
        <f t="shared" si="3"/>
        <v>5220594.1238400005</v>
      </c>
      <c r="D78" s="137">
        <f t="shared" si="3"/>
        <v>3931021.6239600005</v>
      </c>
      <c r="E78" s="137">
        <f t="shared" si="3"/>
        <v>1927434.02082</v>
      </c>
      <c r="F78" s="137">
        <f t="shared" si="3"/>
        <v>363747.94872000004</v>
      </c>
      <c r="G78" s="137">
        <f t="shared" si="3"/>
        <v>75391.6778856</v>
      </c>
      <c r="H78" s="137">
        <f t="shared" si="3"/>
        <v>450936.85737599997</v>
      </c>
      <c r="I78" s="137">
        <f t="shared" si="3"/>
        <v>81.925213676</v>
      </c>
    </row>
    <row r="79" spans="2:9" ht="12.75">
      <c r="B79" s="761" t="s">
        <v>363</v>
      </c>
      <c r="C79" s="577">
        <v>0</v>
      </c>
      <c r="D79" s="577">
        <v>0</v>
      </c>
      <c r="E79" s="577">
        <v>0</v>
      </c>
      <c r="F79" s="577">
        <v>0</v>
      </c>
      <c r="G79" s="577">
        <v>0</v>
      </c>
      <c r="H79" s="577">
        <v>0</v>
      </c>
      <c r="I79" s="577">
        <v>0</v>
      </c>
    </row>
    <row r="80" spans="2:3" ht="12.75">
      <c r="B80" t="s">
        <v>364</v>
      </c>
      <c r="C80" s="137">
        <f>+C48*C14</f>
        <v>1470788</v>
      </c>
    </row>
    <row r="81" spans="2:3" ht="12.75">
      <c r="B81" t="s">
        <v>365</v>
      </c>
      <c r="C81" s="137">
        <f>+C49*C15</f>
        <v>465510</v>
      </c>
    </row>
    <row r="82" spans="2:3" ht="12.75">
      <c r="B82" t="s">
        <v>366</v>
      </c>
      <c r="C82" s="137">
        <f>+C50*C16</f>
        <v>616560</v>
      </c>
    </row>
    <row r="83" ht="12.75">
      <c r="C83" s="137">
        <f>SUM(C72:I82)</f>
        <v>958854032.8978589</v>
      </c>
    </row>
    <row r="84" ht="12.75">
      <c r="C84" s="565">
        <f>+C83/C68-1</f>
        <v>0.03866412862205104</v>
      </c>
    </row>
    <row r="85" ht="12.75">
      <c r="C85" s="565"/>
    </row>
    <row r="86" ht="12.75">
      <c r="C86" s="565"/>
    </row>
    <row r="87" spans="2:9" ht="12.75">
      <c r="B87" s="803" t="s">
        <v>740</v>
      </c>
      <c r="C87" s="803"/>
      <c r="D87" s="803"/>
      <c r="E87" s="803"/>
      <c r="F87" s="803"/>
      <c r="G87" s="803"/>
      <c r="H87" s="803"/>
      <c r="I87" s="803"/>
    </row>
    <row r="88" spans="2:9" ht="25.5">
      <c r="B88" s="762" t="s">
        <v>356</v>
      </c>
      <c r="C88" s="762" t="s">
        <v>357</v>
      </c>
      <c r="D88" s="762" t="s">
        <v>358</v>
      </c>
      <c r="E88" s="762" t="s">
        <v>359</v>
      </c>
      <c r="F88" s="762" t="s">
        <v>360</v>
      </c>
      <c r="G88" s="762" t="s">
        <v>361</v>
      </c>
      <c r="H88" s="762" t="s">
        <v>682</v>
      </c>
      <c r="I88" s="762" t="s">
        <v>362</v>
      </c>
    </row>
    <row r="89" spans="2:9" ht="12.75">
      <c r="B89" s="761">
        <v>1</v>
      </c>
      <c r="C89" s="763">
        <f aca="true" t="shared" si="4" ref="C89:I95">+C72/C57-1</f>
        <v>0.06976744186046524</v>
      </c>
      <c r="D89" s="763">
        <f t="shared" si="4"/>
        <v>0.060606060606060774</v>
      </c>
      <c r="E89" s="763">
        <f t="shared" si="4"/>
        <v>0.04166666666666674</v>
      </c>
      <c r="F89" s="763">
        <f t="shared" si="4"/>
        <v>0.03238866396761142</v>
      </c>
      <c r="G89" s="763">
        <f t="shared" si="4"/>
        <v>0.03015075376884413</v>
      </c>
      <c r="H89" s="763">
        <f t="shared" si="4"/>
        <v>0.024844720496894457</v>
      </c>
      <c r="I89" s="763">
        <f t="shared" si="4"/>
        <v>0.025641025641025772</v>
      </c>
    </row>
    <row r="90" spans="2:9" ht="12.75">
      <c r="B90" s="761">
        <v>2</v>
      </c>
      <c r="C90" s="763">
        <f t="shared" si="4"/>
        <v>0</v>
      </c>
      <c r="D90" s="763">
        <f t="shared" si="4"/>
        <v>0.03571428571428559</v>
      </c>
      <c r="E90" s="763">
        <f t="shared" si="4"/>
        <v>0.05263157894736836</v>
      </c>
      <c r="F90" s="763">
        <f t="shared" si="4"/>
        <v>0.042780748663101775</v>
      </c>
      <c r="G90" s="763">
        <f t="shared" si="4"/>
        <v>0.05105105105105112</v>
      </c>
      <c r="H90" s="763">
        <f t="shared" si="4"/>
        <v>0.03202846975088969</v>
      </c>
      <c r="I90" s="763">
        <f t="shared" si="4"/>
        <v>0.025641025641025772</v>
      </c>
    </row>
    <row r="91" spans="2:9" ht="12.75">
      <c r="B91" s="761">
        <v>3</v>
      </c>
      <c r="C91" s="763">
        <f t="shared" si="4"/>
        <v>0.034482758620689724</v>
      </c>
      <c r="D91" s="763">
        <f t="shared" si="4"/>
        <v>0.021276595744680993</v>
      </c>
      <c r="E91" s="763">
        <f t="shared" si="4"/>
        <v>0.0352941176470587</v>
      </c>
      <c r="F91" s="763">
        <f t="shared" si="4"/>
        <v>0.045751633986928164</v>
      </c>
      <c r="G91" s="763">
        <f t="shared" si="4"/>
        <v>0.05882352941176472</v>
      </c>
      <c r="H91" s="763">
        <f t="shared" si="4"/>
        <v>0.050505050505050386</v>
      </c>
      <c r="I91" s="763">
        <f t="shared" si="4"/>
        <v>0.025641025641025772</v>
      </c>
    </row>
    <row r="92" spans="2:9" ht="12.75">
      <c r="B92" s="761">
        <v>4</v>
      </c>
      <c r="C92" s="763">
        <f t="shared" si="4"/>
        <v>0.04761904761904767</v>
      </c>
      <c r="D92" s="763">
        <f t="shared" si="4"/>
        <v>0</v>
      </c>
      <c r="E92" s="763">
        <f t="shared" si="4"/>
        <v>0.037735849056603765</v>
      </c>
      <c r="F92" s="763">
        <f t="shared" si="4"/>
        <v>0.05769230769230771</v>
      </c>
      <c r="G92" s="763">
        <f t="shared" si="4"/>
        <v>0.02499999999999991</v>
      </c>
      <c r="H92" s="763">
        <f t="shared" si="4"/>
        <v>0.047227926078028615</v>
      </c>
      <c r="I92" s="763">
        <f t="shared" si="4"/>
        <v>0.02564102564102555</v>
      </c>
    </row>
    <row r="93" spans="2:9" ht="12.75">
      <c r="B93" s="761">
        <v>5</v>
      </c>
      <c r="C93" s="763">
        <f t="shared" si="4"/>
        <v>0.05263157894736836</v>
      </c>
      <c r="D93" s="763">
        <f t="shared" si="4"/>
        <v>0.03703703703703698</v>
      </c>
      <c r="E93" s="763">
        <f t="shared" si="4"/>
        <v>0.020408163265306145</v>
      </c>
      <c r="F93" s="763">
        <f t="shared" si="4"/>
        <v>0</v>
      </c>
      <c r="G93" s="763">
        <f t="shared" si="4"/>
        <v>0.026490066225165476</v>
      </c>
      <c r="H93" s="763">
        <f t="shared" si="4"/>
        <v>0.05042016806722671</v>
      </c>
      <c r="I93" s="763">
        <f t="shared" si="4"/>
        <v>0.02564102564102555</v>
      </c>
    </row>
    <row r="94" spans="2:9" ht="12.75">
      <c r="B94" s="761">
        <v>6</v>
      </c>
      <c r="C94" s="763">
        <f t="shared" si="4"/>
        <v>0.07692307692307687</v>
      </c>
      <c r="D94" s="763">
        <f t="shared" si="4"/>
        <v>0.04761904761904767</v>
      </c>
      <c r="E94" s="763">
        <f t="shared" si="4"/>
        <v>0.05555555555555558</v>
      </c>
      <c r="F94" s="763">
        <f t="shared" si="4"/>
        <v>0.031746031746031855</v>
      </c>
      <c r="G94" s="763">
        <f t="shared" si="4"/>
        <v>0.026785714285714413</v>
      </c>
      <c r="H94" s="763">
        <f t="shared" si="4"/>
        <v>0.05882352941176472</v>
      </c>
      <c r="I94" s="763">
        <f t="shared" si="4"/>
        <v>0.02564102564102555</v>
      </c>
    </row>
    <row r="95" spans="2:9" ht="12.75">
      <c r="B95" s="761">
        <v>7</v>
      </c>
      <c r="C95" s="763">
        <f t="shared" si="4"/>
        <v>0.20000000000000018</v>
      </c>
      <c r="D95" s="763">
        <f t="shared" si="4"/>
        <v>0.125</v>
      </c>
      <c r="E95" s="763">
        <f t="shared" si="4"/>
        <v>0.034482758620689724</v>
      </c>
      <c r="F95" s="763">
        <f t="shared" si="4"/>
        <v>0.020408163265306145</v>
      </c>
      <c r="G95" s="763">
        <f t="shared" si="4"/>
        <v>0.034482758620689724</v>
      </c>
      <c r="H95" s="763">
        <f t="shared" si="4"/>
        <v>0.08179419525065956</v>
      </c>
      <c r="I95" s="763">
        <f t="shared" si="4"/>
        <v>0.025641025641025772</v>
      </c>
    </row>
    <row r="96" spans="2:9" ht="12.75">
      <c r="B96" s="761" t="s">
        <v>363</v>
      </c>
      <c r="C96" s="580" t="s">
        <v>131</v>
      </c>
      <c r="D96" s="580" t="s">
        <v>131</v>
      </c>
      <c r="E96" s="580" t="s">
        <v>131</v>
      </c>
      <c r="F96" s="580" t="s">
        <v>131</v>
      </c>
      <c r="G96" s="580" t="s">
        <v>131</v>
      </c>
      <c r="H96" s="580" t="s">
        <v>131</v>
      </c>
      <c r="I96" s="580" t="s">
        <v>131</v>
      </c>
    </row>
    <row r="97" spans="2:3" ht="12.75">
      <c r="B97" t="s">
        <v>364</v>
      </c>
      <c r="C97" s="763">
        <f>+C80/C65-1</f>
        <v>0</v>
      </c>
    </row>
    <row r="98" spans="2:3" ht="12.75">
      <c r="B98" t="s">
        <v>365</v>
      </c>
      <c r="C98" s="763">
        <f>+C81/C66-1</f>
        <v>0</v>
      </c>
    </row>
    <row r="99" spans="2:3" ht="12.75">
      <c r="B99" t="s">
        <v>366</v>
      </c>
      <c r="C99" s="763">
        <f>+C82/C67-1</f>
        <v>0</v>
      </c>
    </row>
    <row r="102" ht="12.75">
      <c r="B102" s="579"/>
    </row>
    <row r="103" spans="2:3" ht="12.75">
      <c r="B103" s="651"/>
      <c r="C103" s="651"/>
    </row>
  </sheetData>
  <mergeCells count="7">
    <mergeCell ref="B70:I70"/>
    <mergeCell ref="B87:I87"/>
    <mergeCell ref="B20:I20"/>
    <mergeCell ref="B2:I2"/>
    <mergeCell ref="B38:I38"/>
    <mergeCell ref="B55:I55"/>
    <mergeCell ref="B4:I4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N294"/>
  <sheetViews>
    <sheetView zoomScale="55" zoomScaleNormal="55" workbookViewId="0" topLeftCell="A1">
      <selection activeCell="P33" sqref="P32:P33"/>
    </sheetView>
  </sheetViews>
  <sheetFormatPr defaultColWidth="12.421875" defaultRowHeight="12.75"/>
  <cols>
    <col min="1" max="1" width="6.00390625" style="1" customWidth="1"/>
    <col min="2" max="2" width="4.7109375" style="1" hidden="1" customWidth="1"/>
    <col min="3" max="3" width="33.00390625" style="1" hidden="1" customWidth="1"/>
    <col min="4" max="4" width="52.57421875" style="1" customWidth="1"/>
    <col min="5" max="5" width="16.00390625" style="1" customWidth="1"/>
    <col min="6" max="6" width="8.140625" style="1" customWidth="1"/>
    <col min="7" max="7" width="14.28125" style="1" customWidth="1"/>
    <col min="8" max="13" width="16.140625" style="1" customWidth="1"/>
    <col min="14" max="14" width="15.00390625" style="1" customWidth="1"/>
    <col min="15" max="15" width="6.00390625" style="1" customWidth="1"/>
    <col min="16" max="16384" width="12.421875" style="1" customWidth="1"/>
  </cols>
  <sheetData>
    <row r="1" ht="15">
      <c r="F1" s="2"/>
    </row>
    <row r="2" spans="5:6" ht="15">
      <c r="E2" s="9" t="s">
        <v>312</v>
      </c>
      <c r="F2" s="2"/>
    </row>
    <row r="3" spans="4:6" ht="18">
      <c r="D3" s="771" t="s">
        <v>313</v>
      </c>
      <c r="E3" s="771"/>
      <c r="F3" s="2"/>
    </row>
    <row r="4" spans="4:7" ht="15.75">
      <c r="D4" s="772" t="s">
        <v>700</v>
      </c>
      <c r="E4" s="772"/>
      <c r="F4" s="2"/>
      <c r="G4" s="24"/>
    </row>
    <row r="5" spans="2:13" ht="15">
      <c r="B5" s="2" t="s">
        <v>65</v>
      </c>
      <c r="F5" s="2"/>
      <c r="M5" s="9" t="str">
        <f>WN</f>
        <v>February 2009</v>
      </c>
    </row>
    <row r="6" spans="2:13" ht="15.75" thickBot="1">
      <c r="B6" s="2" t="s">
        <v>65</v>
      </c>
      <c r="D6" s="1" t="s">
        <v>314</v>
      </c>
      <c r="E6" s="33">
        <v>175</v>
      </c>
      <c r="F6" s="2"/>
      <c r="M6" s="9"/>
    </row>
    <row r="7" spans="2:13" ht="16.5" thickTop="1">
      <c r="B7" s="2" t="s">
        <v>65</v>
      </c>
      <c r="C7" s="1" t="s">
        <v>126</v>
      </c>
      <c r="F7" s="2"/>
      <c r="G7" s="780" t="s">
        <v>313</v>
      </c>
      <c r="H7" s="781"/>
      <c r="I7" s="781"/>
      <c r="J7" s="781"/>
      <c r="K7" s="781"/>
      <c r="L7" s="781"/>
      <c r="M7" s="782"/>
    </row>
    <row r="8" spans="2:13" ht="15.75" thickBot="1">
      <c r="B8" s="2" t="s">
        <v>65</v>
      </c>
      <c r="C8" s="4" t="s">
        <v>67</v>
      </c>
      <c r="D8" s="1" t="s">
        <v>315</v>
      </c>
      <c r="E8" s="5">
        <v>1</v>
      </c>
      <c r="F8" s="2"/>
      <c r="G8" s="783" t="str">
        <f>"Fiscal Year 2008 "</f>
        <v>Fiscal Year 2008 </v>
      </c>
      <c r="H8" s="784"/>
      <c r="I8" s="784"/>
      <c r="J8" s="784"/>
      <c r="K8" s="784"/>
      <c r="L8" s="784"/>
      <c r="M8" s="785"/>
    </row>
    <row r="9" spans="2:13" ht="15.75" thickTop="1">
      <c r="B9" s="2" t="s">
        <v>65</v>
      </c>
      <c r="F9" s="2"/>
      <c r="G9" s="184"/>
      <c r="H9" s="575" t="s">
        <v>423</v>
      </c>
      <c r="I9" s="786" t="s">
        <v>234</v>
      </c>
      <c r="J9" s="770"/>
      <c r="K9" s="786" t="s">
        <v>528</v>
      </c>
      <c r="L9" s="787"/>
      <c r="M9" s="804" t="s">
        <v>209</v>
      </c>
    </row>
    <row r="10" spans="2:13" ht="15">
      <c r="B10" s="2" t="s">
        <v>65</v>
      </c>
      <c r="D10" s="20"/>
      <c r="E10" s="20"/>
      <c r="F10" s="2"/>
      <c r="G10" s="187"/>
      <c r="H10" s="207"/>
      <c r="I10" s="72"/>
      <c r="J10" s="72"/>
      <c r="K10" s="207"/>
      <c r="L10" s="215"/>
      <c r="M10" s="805"/>
    </row>
    <row r="11" spans="2:13" ht="19.5" customHeight="1" thickBot="1">
      <c r="B11" s="2" t="s">
        <v>65</v>
      </c>
      <c r="D11" s="20"/>
      <c r="E11" s="20"/>
      <c r="F11" s="2"/>
      <c r="G11" s="227"/>
      <c r="H11" s="293" t="str">
        <f>"FY "&amp;FY</f>
        <v>FY </v>
      </c>
      <c r="I11" s="295" t="s">
        <v>206</v>
      </c>
      <c r="J11" s="295" t="s">
        <v>683</v>
      </c>
      <c r="K11" s="296" t="s">
        <v>640</v>
      </c>
      <c r="L11" s="294" t="s">
        <v>683</v>
      </c>
      <c r="M11" s="806"/>
    </row>
    <row r="12" spans="2:13" ht="15.75" thickTop="1">
      <c r="B12" s="2" t="s">
        <v>65</v>
      </c>
      <c r="F12" s="2"/>
      <c r="G12" s="187"/>
      <c r="H12" s="468" t="s">
        <v>78</v>
      </c>
      <c r="I12" s="470" t="s">
        <v>79</v>
      </c>
      <c r="J12" s="470" t="s">
        <v>80</v>
      </c>
      <c r="K12" s="471" t="s">
        <v>81</v>
      </c>
      <c r="L12" s="469" t="s">
        <v>82</v>
      </c>
      <c r="M12" s="472" t="s">
        <v>83</v>
      </c>
    </row>
    <row r="13" spans="2:13" ht="15">
      <c r="B13" s="2" t="s">
        <v>65</v>
      </c>
      <c r="F13" s="2"/>
      <c r="G13" s="187"/>
      <c r="H13" s="236"/>
      <c r="I13" s="36"/>
      <c r="J13" s="36"/>
      <c r="K13" s="208"/>
      <c r="L13" s="216"/>
      <c r="M13" s="189"/>
    </row>
    <row r="14" spans="2:13" ht="15">
      <c r="B14" s="2" t="s">
        <v>65</v>
      </c>
      <c r="F14" s="2"/>
      <c r="G14" s="195" t="s">
        <v>129</v>
      </c>
      <c r="H14" s="237">
        <f>+E8</f>
        <v>1</v>
      </c>
      <c r="I14" s="201">
        <f>PermC</f>
        <v>180</v>
      </c>
      <c r="J14" s="201">
        <f>PermP</f>
        <v>185</v>
      </c>
      <c r="K14" s="253">
        <f>+I14*H14</f>
        <v>180</v>
      </c>
      <c r="L14" s="259">
        <f>+J14*H14</f>
        <v>185</v>
      </c>
      <c r="M14" s="474">
        <f>(J14-I14)/I14</f>
        <v>0.027777777777777776</v>
      </c>
    </row>
    <row r="15" spans="2:13" ht="15">
      <c r="B15" s="2" t="s">
        <v>65</v>
      </c>
      <c r="F15" s="2"/>
      <c r="G15" s="187"/>
      <c r="H15" s="237"/>
      <c r="I15" s="453"/>
      <c r="J15" s="453"/>
      <c r="K15" s="209"/>
      <c r="L15" s="438"/>
      <c r="M15" s="405"/>
    </row>
    <row r="16" spans="2:13" ht="15.75" thickBot="1">
      <c r="B16" s="2" t="s">
        <v>65</v>
      </c>
      <c r="F16" s="2"/>
      <c r="G16" s="177"/>
      <c r="H16" s="238"/>
      <c r="I16" s="459"/>
      <c r="J16" s="459"/>
      <c r="K16" s="231"/>
      <c r="L16" s="460"/>
      <c r="M16" s="461"/>
    </row>
    <row r="17" spans="2:13" ht="15.75" thickTop="1">
      <c r="B17" s="2" t="s">
        <v>65</v>
      </c>
      <c r="F17" s="2"/>
      <c r="G17" s="230" t="s">
        <v>691</v>
      </c>
      <c r="H17" s="199"/>
      <c r="I17" s="199"/>
      <c r="J17" s="199"/>
      <c r="K17" s="199"/>
      <c r="L17" s="199"/>
      <c r="M17" s="200"/>
    </row>
    <row r="18" spans="2:13" ht="15.75" thickBot="1">
      <c r="B18" s="2" t="s">
        <v>65</v>
      </c>
      <c r="F18" s="2"/>
      <c r="G18" s="227"/>
      <c r="H18" s="197"/>
      <c r="I18" s="197"/>
      <c r="J18" s="197"/>
      <c r="K18" s="197"/>
      <c r="L18" s="197"/>
      <c r="M18" s="198"/>
    </row>
    <row r="19" spans="2:6" ht="15.75" thickTop="1">
      <c r="B19" s="2" t="s">
        <v>65</v>
      </c>
      <c r="F19" s="2"/>
    </row>
    <row r="20" spans="2:6" ht="15">
      <c r="B20" s="2" t="s">
        <v>65</v>
      </c>
      <c r="F20" s="2"/>
    </row>
    <row r="21" spans="2:6" ht="15">
      <c r="B21" s="2" t="s">
        <v>65</v>
      </c>
      <c r="F21" s="2"/>
    </row>
    <row r="22" spans="2:6" ht="15">
      <c r="B22" s="2" t="s">
        <v>65</v>
      </c>
      <c r="F22" s="2"/>
    </row>
    <row r="23" spans="2:14" ht="15">
      <c r="B23" s="2" t="s">
        <v>65</v>
      </c>
      <c r="F23" s="2"/>
      <c r="N23" s="30"/>
    </row>
    <row r="24" spans="2:14" ht="15">
      <c r="B24" s="2" t="s">
        <v>65</v>
      </c>
      <c r="F24" s="2"/>
      <c r="N24" s="30"/>
    </row>
    <row r="25" spans="2:14" ht="15">
      <c r="B25" s="2" t="s">
        <v>65</v>
      </c>
      <c r="F25" s="2"/>
      <c r="N25" s="30"/>
    </row>
    <row r="26" spans="2:14" ht="15">
      <c r="B26" s="2" t="s">
        <v>65</v>
      </c>
      <c r="F26" s="2"/>
      <c r="N26" s="30"/>
    </row>
    <row r="27" spans="2:14" ht="15">
      <c r="B27" s="2" t="s">
        <v>65</v>
      </c>
      <c r="F27" s="2"/>
      <c r="N27" s="30"/>
    </row>
    <row r="28" spans="2:6" ht="15">
      <c r="B28" s="2" t="s">
        <v>65</v>
      </c>
      <c r="D28" s="36"/>
      <c r="E28" s="36"/>
      <c r="F28" s="2"/>
    </row>
    <row r="29" spans="2:6" ht="15">
      <c r="B29" s="2" t="s">
        <v>65</v>
      </c>
      <c r="D29" s="21"/>
      <c r="E29" s="21"/>
      <c r="F29" s="2"/>
    </row>
    <row r="30" spans="2:6" ht="15">
      <c r="B30" s="2" t="s">
        <v>65</v>
      </c>
      <c r="D30" s="36"/>
      <c r="E30" s="36"/>
      <c r="F30" s="2"/>
    </row>
    <row r="31" spans="2:6" ht="15">
      <c r="B31" s="2" t="s">
        <v>65</v>
      </c>
      <c r="D31" s="81"/>
      <c r="E31" s="36"/>
      <c r="F31" s="2"/>
    </row>
    <row r="32" spans="2:6" ht="15">
      <c r="B32" s="2" t="s">
        <v>65</v>
      </c>
      <c r="D32" s="36"/>
      <c r="E32" s="36"/>
      <c r="F32" s="2"/>
    </row>
    <row r="33" spans="2:6" ht="15">
      <c r="B33" s="2" t="s">
        <v>65</v>
      </c>
      <c r="D33" s="36"/>
      <c r="E33" s="36"/>
      <c r="F33" s="2"/>
    </row>
    <row r="34" spans="2:6" ht="15">
      <c r="B34" s="2" t="s">
        <v>65</v>
      </c>
      <c r="F34" s="2"/>
    </row>
    <row r="35" spans="2:6" ht="15">
      <c r="B35" s="2" t="s">
        <v>65</v>
      </c>
      <c r="F35" s="2"/>
    </row>
    <row r="36" ht="15">
      <c r="F36" s="2"/>
    </row>
    <row r="37" ht="15">
      <c r="F37" s="2"/>
    </row>
    <row r="38" ht="15">
      <c r="F38" s="2"/>
    </row>
    <row r="39" ht="15">
      <c r="F39" s="2"/>
    </row>
    <row r="40" ht="15">
      <c r="F40" s="2"/>
    </row>
    <row r="41" ht="15">
      <c r="F41" s="2"/>
    </row>
    <row r="42" ht="15">
      <c r="F42" s="2"/>
    </row>
    <row r="43" ht="15">
      <c r="F43" s="2"/>
    </row>
    <row r="44" ht="15">
      <c r="F44" s="2"/>
    </row>
    <row r="45" ht="15">
      <c r="F45" s="2"/>
    </row>
    <row r="46" ht="15">
      <c r="F46" s="2"/>
    </row>
    <row r="47" ht="15">
      <c r="F47" s="2"/>
    </row>
    <row r="48" ht="15">
      <c r="F48" s="2"/>
    </row>
    <row r="49" ht="15">
      <c r="F49" s="2"/>
    </row>
    <row r="50" ht="15">
      <c r="F50" s="2"/>
    </row>
    <row r="51" ht="15">
      <c r="F51" s="2"/>
    </row>
    <row r="52" ht="15">
      <c r="F52" s="2"/>
    </row>
    <row r="53" ht="15">
      <c r="F53" s="2"/>
    </row>
    <row r="54" ht="15">
      <c r="F54" s="2"/>
    </row>
    <row r="55" ht="15">
      <c r="F55" s="2"/>
    </row>
    <row r="292" spans="3:4" ht="15">
      <c r="C292" s="1" t="e">
        <f>('Special Handling'!K23+'Special Handling'!K28+'Special Handling'!K33+'Special Handling'!#REF!+'Special Handling'!#REF!)/1000</f>
        <v>#REF!</v>
      </c>
      <c r="D292" s="85"/>
    </row>
    <row r="293" spans="3:4" ht="15">
      <c r="C293" s="16" t="e">
        <f>('Special Handling'!K24+'Special Handling'!K29+'Special Handling'!K34+'Special Handling'!#REF!+'Special Handling'!K509)/1000</f>
        <v>#REF!</v>
      </c>
      <c r="D293" s="85"/>
    </row>
    <row r="294" ht="15">
      <c r="D294" s="85"/>
    </row>
  </sheetData>
  <mergeCells count="7">
    <mergeCell ref="I9:J9"/>
    <mergeCell ref="K9:L9"/>
    <mergeCell ref="M9:M11"/>
    <mergeCell ref="D3:E3"/>
    <mergeCell ref="D4:E4"/>
    <mergeCell ref="G7:M7"/>
    <mergeCell ref="G8:M8"/>
  </mergeCells>
  <printOptions/>
  <pageMargins left="0.5" right="0.5" top="1" bottom="1" header="0.5" footer="0.5"/>
  <pageSetup fitToHeight="1" fitToWidth="1" horizontalDpi="1200" verticalDpi="12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N54"/>
  <sheetViews>
    <sheetView zoomScale="55" zoomScaleNormal="55" workbookViewId="0" topLeftCell="E1">
      <selection activeCell="M6" sqref="M6"/>
    </sheetView>
  </sheetViews>
  <sheetFormatPr defaultColWidth="12.421875" defaultRowHeight="12.75"/>
  <cols>
    <col min="1" max="1" width="6.00390625" style="1" customWidth="1"/>
    <col min="2" max="2" width="4.7109375" style="1" hidden="1" customWidth="1"/>
    <col min="3" max="3" width="33.00390625" style="1" hidden="1" customWidth="1"/>
    <col min="4" max="4" width="64.00390625" style="36" bestFit="1" customWidth="1"/>
    <col min="5" max="5" width="13.140625" style="36" customWidth="1"/>
    <col min="6" max="6" width="7.57421875" style="1" customWidth="1"/>
    <col min="7" max="7" width="32.7109375" style="1" customWidth="1"/>
    <col min="8" max="13" width="16.140625" style="1" customWidth="1"/>
    <col min="14" max="16384" width="12.421875" style="1" customWidth="1"/>
  </cols>
  <sheetData>
    <row r="1" ht="15">
      <c r="F1" s="2"/>
    </row>
    <row r="2" spans="4:6" ht="15">
      <c r="D2" s="149"/>
      <c r="E2" s="149" t="s">
        <v>316</v>
      </c>
      <c r="F2" s="2"/>
    </row>
    <row r="3" spans="4:6" ht="18">
      <c r="D3" s="771" t="s">
        <v>317</v>
      </c>
      <c r="E3" s="771"/>
      <c r="F3" s="2"/>
    </row>
    <row r="4" spans="4:7" ht="15.75">
      <c r="D4" s="772" t="s">
        <v>700</v>
      </c>
      <c r="E4" s="772"/>
      <c r="F4" s="2"/>
      <c r="G4" s="24"/>
    </row>
    <row r="5" spans="2:13" ht="15">
      <c r="B5" s="2" t="s">
        <v>65</v>
      </c>
      <c r="D5" s="149"/>
      <c r="E5" s="149"/>
      <c r="F5" s="2"/>
      <c r="M5" s="9" t="str">
        <f>WN</f>
        <v>February 2009</v>
      </c>
    </row>
    <row r="6" spans="2:13" ht="15.75" thickBot="1">
      <c r="B6" s="2" t="s">
        <v>65</v>
      </c>
      <c r="D6" s="149" t="s">
        <v>318</v>
      </c>
      <c r="E6" s="475">
        <v>550</v>
      </c>
      <c r="F6" s="2"/>
      <c r="M6" s="9"/>
    </row>
    <row r="7" spans="2:13" ht="16.5" thickTop="1">
      <c r="B7" s="2" t="s">
        <v>65</v>
      </c>
      <c r="C7" s="1" t="s">
        <v>126</v>
      </c>
      <c r="D7" s="149"/>
      <c r="E7" s="149"/>
      <c r="F7" s="2"/>
      <c r="G7" s="780" t="s">
        <v>317</v>
      </c>
      <c r="H7" s="781"/>
      <c r="I7" s="781"/>
      <c r="J7" s="781"/>
      <c r="K7" s="781"/>
      <c r="L7" s="781"/>
      <c r="M7" s="782"/>
    </row>
    <row r="8" spans="2:13" ht="15.75" thickBot="1">
      <c r="B8" s="2" t="s">
        <v>65</v>
      </c>
      <c r="C8" s="4" t="s">
        <v>67</v>
      </c>
      <c r="D8" s="149" t="s">
        <v>319</v>
      </c>
      <c r="E8" s="149">
        <v>1</v>
      </c>
      <c r="F8" s="2"/>
      <c r="G8" s="783" t="str">
        <f>"Fiscal Year 2008 "</f>
        <v>Fiscal Year 2008 </v>
      </c>
      <c r="H8" s="784"/>
      <c r="I8" s="784"/>
      <c r="J8" s="784"/>
      <c r="K8" s="784"/>
      <c r="L8" s="784"/>
      <c r="M8" s="785"/>
    </row>
    <row r="9" spans="2:13" ht="15.75" thickTop="1">
      <c r="B9" s="2" t="s">
        <v>65</v>
      </c>
      <c r="F9" s="2"/>
      <c r="G9" s="184"/>
      <c r="H9" s="575" t="s">
        <v>423</v>
      </c>
      <c r="I9" s="786" t="s">
        <v>234</v>
      </c>
      <c r="J9" s="770"/>
      <c r="K9" s="786" t="s">
        <v>528</v>
      </c>
      <c r="L9" s="787"/>
      <c r="M9" s="804" t="s">
        <v>209</v>
      </c>
    </row>
    <row r="10" spans="2:13" ht="15">
      <c r="B10" s="2" t="s">
        <v>65</v>
      </c>
      <c r="D10" s="54"/>
      <c r="E10" s="54"/>
      <c r="F10" s="2"/>
      <c r="G10" s="187"/>
      <c r="H10" s="207"/>
      <c r="I10" s="72"/>
      <c r="J10" s="72"/>
      <c r="K10" s="207"/>
      <c r="L10" s="215"/>
      <c r="M10" s="805"/>
    </row>
    <row r="11" spans="2:13" ht="15.75" thickBot="1">
      <c r="B11" s="2" t="s">
        <v>65</v>
      </c>
      <c r="D11" s="54"/>
      <c r="E11" s="54"/>
      <c r="F11" s="2"/>
      <c r="G11" s="227"/>
      <c r="H11" s="293" t="str">
        <f>"FY "&amp;FY</f>
        <v>FY </v>
      </c>
      <c r="I11" s="295" t="s">
        <v>206</v>
      </c>
      <c r="J11" s="295" t="s">
        <v>683</v>
      </c>
      <c r="K11" s="296" t="s">
        <v>640</v>
      </c>
      <c r="L11" s="294" t="s">
        <v>683</v>
      </c>
      <c r="M11" s="806"/>
    </row>
    <row r="12" spans="2:13" ht="15.75" thickTop="1">
      <c r="B12" s="2" t="s">
        <v>65</v>
      </c>
      <c r="F12" s="2"/>
      <c r="G12" s="187"/>
      <c r="H12" s="468" t="s">
        <v>78</v>
      </c>
      <c r="I12" s="470" t="s">
        <v>79</v>
      </c>
      <c r="J12" s="470" t="s">
        <v>80</v>
      </c>
      <c r="K12" s="471" t="s">
        <v>81</v>
      </c>
      <c r="L12" s="469" t="s">
        <v>82</v>
      </c>
      <c r="M12" s="472" t="s">
        <v>83</v>
      </c>
    </row>
    <row r="13" spans="2:13" ht="15">
      <c r="B13" s="2" t="s">
        <v>65</v>
      </c>
      <c r="F13" s="2"/>
      <c r="G13" s="187"/>
      <c r="H13" s="236"/>
      <c r="I13" s="36"/>
      <c r="J13" s="36"/>
      <c r="K13" s="208"/>
      <c r="L13" s="216"/>
      <c r="M13" s="189"/>
    </row>
    <row r="14" spans="2:13" ht="15">
      <c r="B14" s="2" t="s">
        <v>65</v>
      </c>
      <c r="F14" s="2"/>
      <c r="G14" s="195" t="s">
        <v>320</v>
      </c>
      <c r="H14" s="237">
        <f>+E8</f>
        <v>1</v>
      </c>
      <c r="I14" s="201">
        <f>AcctMC</f>
        <v>565</v>
      </c>
      <c r="J14" s="201">
        <f>AcctMP</f>
        <v>585</v>
      </c>
      <c r="K14" s="253">
        <f>+I14*H14</f>
        <v>565</v>
      </c>
      <c r="L14" s="259">
        <f>+J14*H14</f>
        <v>585</v>
      </c>
      <c r="M14" s="474">
        <f>(J14-I14)/I14</f>
        <v>0.035398230088495575</v>
      </c>
    </row>
    <row r="15" spans="2:14" ht="15">
      <c r="B15" s="2" t="s">
        <v>65</v>
      </c>
      <c r="F15" s="2"/>
      <c r="G15" s="187"/>
      <c r="H15" s="237"/>
      <c r="I15" s="453"/>
      <c r="J15" s="453"/>
      <c r="K15" s="209"/>
      <c r="L15" s="438"/>
      <c r="M15" s="405"/>
      <c r="N15" s="5"/>
    </row>
    <row r="16" spans="2:13" ht="15.75" thickBot="1">
      <c r="B16" s="2" t="s">
        <v>65</v>
      </c>
      <c r="F16" s="2"/>
      <c r="G16" s="177"/>
      <c r="H16" s="238"/>
      <c r="I16" s="459"/>
      <c r="J16" s="459"/>
      <c r="K16" s="231"/>
      <c r="L16" s="460"/>
      <c r="M16" s="461"/>
    </row>
    <row r="17" spans="2:13" ht="15.75" thickTop="1">
      <c r="B17" s="2" t="s">
        <v>65</v>
      </c>
      <c r="F17" s="2"/>
      <c r="G17" s="230" t="s">
        <v>691</v>
      </c>
      <c r="H17" s="199"/>
      <c r="I17" s="199"/>
      <c r="J17" s="199"/>
      <c r="K17" s="199"/>
      <c r="L17" s="199"/>
      <c r="M17" s="200"/>
    </row>
    <row r="18" spans="2:13" ht="15.75" thickBot="1">
      <c r="B18" s="2" t="s">
        <v>65</v>
      </c>
      <c r="F18" s="2"/>
      <c r="G18" s="227"/>
      <c r="H18" s="197"/>
      <c r="I18" s="197"/>
      <c r="J18" s="197"/>
      <c r="K18" s="197"/>
      <c r="L18" s="197"/>
      <c r="M18" s="198"/>
    </row>
    <row r="19" spans="2:14" ht="15.75" thickTop="1">
      <c r="B19" s="2" t="s">
        <v>65</v>
      </c>
      <c r="F19" s="2"/>
      <c r="M19" s="30"/>
      <c r="N19" s="31"/>
    </row>
    <row r="20" spans="2:14" ht="15">
      <c r="B20" s="2" t="s">
        <v>65</v>
      </c>
      <c r="F20" s="2"/>
      <c r="N20" s="5"/>
    </row>
    <row r="21" spans="2:14" ht="15">
      <c r="B21" s="2" t="s">
        <v>65</v>
      </c>
      <c r="F21" s="2"/>
      <c r="N21" s="31"/>
    </row>
    <row r="22" spans="2:6" ht="15">
      <c r="B22" s="2" t="s">
        <v>65</v>
      </c>
      <c r="F22" s="2"/>
    </row>
    <row r="23" spans="2:14" ht="15">
      <c r="B23" s="2" t="s">
        <v>65</v>
      </c>
      <c r="F23" s="2"/>
      <c r="N23" s="5"/>
    </row>
    <row r="24" spans="2:6" ht="15">
      <c r="B24" s="2" t="s">
        <v>65</v>
      </c>
      <c r="F24" s="2"/>
    </row>
    <row r="25" spans="2:6" ht="15">
      <c r="B25" s="2"/>
      <c r="F25" s="2"/>
    </row>
    <row r="26" spans="2:6" ht="15">
      <c r="B26" s="2" t="s">
        <v>65</v>
      </c>
      <c r="F26" s="2"/>
    </row>
    <row r="27" spans="2:6" ht="15">
      <c r="B27" s="2" t="s">
        <v>65</v>
      </c>
      <c r="F27" s="2"/>
    </row>
    <row r="28" spans="2:6" ht="15">
      <c r="B28" s="2" t="s">
        <v>65</v>
      </c>
      <c r="D28" s="21"/>
      <c r="E28" s="21"/>
      <c r="F28" s="2"/>
    </row>
    <row r="29" spans="2:6" ht="15">
      <c r="B29" s="2" t="s">
        <v>65</v>
      </c>
      <c r="F29" s="2"/>
    </row>
    <row r="30" spans="2:6" ht="15">
      <c r="B30" s="2" t="s">
        <v>65</v>
      </c>
      <c r="F30" s="2"/>
    </row>
    <row r="31" spans="2:6" ht="15">
      <c r="B31" s="2" t="s">
        <v>65</v>
      </c>
      <c r="F31" s="2"/>
    </row>
    <row r="32" spans="2:6" ht="15">
      <c r="B32" s="2" t="s">
        <v>65</v>
      </c>
      <c r="F32" s="2"/>
    </row>
    <row r="33" spans="2:6" ht="15">
      <c r="B33" s="2" t="s">
        <v>65</v>
      </c>
      <c r="F33" s="2"/>
    </row>
    <row r="34" spans="2:6" ht="15">
      <c r="B34" s="2" t="s">
        <v>65</v>
      </c>
      <c r="F34" s="2"/>
    </row>
    <row r="35" ht="15">
      <c r="F35" s="2"/>
    </row>
    <row r="36" ht="15">
      <c r="F36" s="2"/>
    </row>
    <row r="37" ht="15">
      <c r="F37" s="2"/>
    </row>
    <row r="38" ht="15">
      <c r="F38" s="2"/>
    </row>
    <row r="39" ht="15">
      <c r="F39" s="2"/>
    </row>
    <row r="40" ht="15">
      <c r="F40" s="2"/>
    </row>
    <row r="41" ht="15">
      <c r="F41" s="2"/>
    </row>
    <row r="42" ht="15">
      <c r="F42" s="2"/>
    </row>
    <row r="43" ht="15">
      <c r="F43" s="2"/>
    </row>
    <row r="44" ht="15">
      <c r="F44" s="2"/>
    </row>
    <row r="45" ht="15">
      <c r="F45" s="2"/>
    </row>
    <row r="46" ht="15">
      <c r="F46" s="2"/>
    </row>
    <row r="47" ht="15">
      <c r="F47" s="2"/>
    </row>
    <row r="48" ht="15">
      <c r="F48" s="2"/>
    </row>
    <row r="49" ht="15">
      <c r="F49" s="2"/>
    </row>
    <row r="50" ht="15">
      <c r="F50" s="2"/>
    </row>
    <row r="51" ht="15">
      <c r="F51" s="2"/>
    </row>
    <row r="52" ht="15">
      <c r="F52" s="2"/>
    </row>
    <row r="53" ht="15">
      <c r="F53" s="2"/>
    </row>
    <row r="54" ht="15">
      <c r="F54" s="2"/>
    </row>
  </sheetData>
  <mergeCells count="7">
    <mergeCell ref="I9:J9"/>
    <mergeCell ref="K9:L9"/>
    <mergeCell ref="M9:M11"/>
    <mergeCell ref="D3:E3"/>
    <mergeCell ref="D4:E4"/>
    <mergeCell ref="G7:M7"/>
    <mergeCell ref="G8:M8"/>
  </mergeCells>
  <printOptions/>
  <pageMargins left="0.5" right="0.5" top="1" bottom="1" header="0.5" footer="0.5"/>
  <pageSetup fitToHeight="1" fitToWidth="1" horizontalDpi="1200" verticalDpi="1200" orientation="landscape" scale="9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9"/>
  </sheetPr>
  <dimension ref="B2:K16"/>
  <sheetViews>
    <sheetView zoomScale="85" zoomScaleNormal="85" workbookViewId="0" topLeftCell="C1">
      <selection activeCell="K4" sqref="K4"/>
    </sheetView>
  </sheetViews>
  <sheetFormatPr defaultColWidth="9.140625" defaultRowHeight="12.75"/>
  <cols>
    <col min="2" max="2" width="52.57421875" style="0" customWidth="1"/>
    <col min="3" max="3" width="16.00390625" style="0" customWidth="1"/>
    <col min="5" max="5" width="28.421875" style="0" customWidth="1"/>
    <col min="6" max="11" width="14.8515625" style="0" customWidth="1"/>
  </cols>
  <sheetData>
    <row r="2" spans="2:3" ht="15">
      <c r="B2" s="1"/>
      <c r="C2" s="9" t="s">
        <v>715</v>
      </c>
    </row>
    <row r="3" spans="2:11" ht="18">
      <c r="B3" s="771" t="s">
        <v>716</v>
      </c>
      <c r="C3" s="771"/>
      <c r="K3" t="str">
        <f>WN</f>
        <v>February 2009</v>
      </c>
    </row>
    <row r="4" spans="2:11" ht="16.5" thickBot="1">
      <c r="B4" s="772" t="str">
        <f>"Fiscal Year "&amp;FY</f>
        <v>Fiscal Year </v>
      </c>
      <c r="C4" s="772"/>
      <c r="E4" s="1"/>
      <c r="F4" s="1"/>
      <c r="G4" s="1"/>
      <c r="H4" s="1"/>
      <c r="I4" s="1"/>
      <c r="J4" s="1"/>
      <c r="K4" s="9"/>
    </row>
    <row r="5" spans="2:11" ht="16.5" thickTop="1">
      <c r="B5" s="1"/>
      <c r="C5" s="1"/>
      <c r="E5" s="780" t="s">
        <v>716</v>
      </c>
      <c r="F5" s="781"/>
      <c r="G5" s="781"/>
      <c r="H5" s="781"/>
      <c r="I5" s="781"/>
      <c r="J5" s="781"/>
      <c r="K5" s="782"/>
    </row>
    <row r="6" spans="2:11" ht="15.75" thickBot="1">
      <c r="B6" s="1" t="s">
        <v>237</v>
      </c>
      <c r="C6" s="717">
        <v>158518.5</v>
      </c>
      <c r="E6" s="783" t="str">
        <f>"Fiscal Year 2008 "</f>
        <v>Fiscal Year 2008 </v>
      </c>
      <c r="F6" s="784"/>
      <c r="G6" s="784"/>
      <c r="H6" s="784"/>
      <c r="I6" s="784"/>
      <c r="J6" s="784"/>
      <c r="K6" s="785"/>
    </row>
    <row r="7" spans="2:11" ht="15.75" thickTop="1">
      <c r="B7" s="1"/>
      <c r="C7" s="1"/>
      <c r="E7" s="184"/>
      <c r="F7" s="575" t="s">
        <v>423</v>
      </c>
      <c r="G7" s="786" t="s">
        <v>234</v>
      </c>
      <c r="H7" s="770"/>
      <c r="I7" s="786" t="s">
        <v>528</v>
      </c>
      <c r="J7" s="787"/>
      <c r="K7" s="804" t="s">
        <v>209</v>
      </c>
    </row>
    <row r="8" spans="2:11" ht="15">
      <c r="B8" s="1" t="s">
        <v>529</v>
      </c>
      <c r="C8" s="5">
        <v>20518</v>
      </c>
      <c r="E8" s="187"/>
      <c r="F8" s="207"/>
      <c r="G8" s="72"/>
      <c r="H8" s="72"/>
      <c r="I8" s="207"/>
      <c r="J8" s="215"/>
      <c r="K8" s="805"/>
    </row>
    <row r="9" spans="5:11" ht="15.75" thickBot="1">
      <c r="E9" s="227"/>
      <c r="F9" s="293" t="str">
        <f>"FY "&amp;FY</f>
        <v>FY </v>
      </c>
      <c r="G9" s="295" t="s">
        <v>206</v>
      </c>
      <c r="H9" s="295" t="s">
        <v>683</v>
      </c>
      <c r="I9" s="296" t="s">
        <v>640</v>
      </c>
      <c r="J9" s="294" t="s">
        <v>683</v>
      </c>
      <c r="K9" s="806"/>
    </row>
    <row r="10" spans="5:11" ht="15.75" thickTop="1">
      <c r="E10" s="187"/>
      <c r="F10" s="468" t="s">
        <v>78</v>
      </c>
      <c r="G10" s="470" t="s">
        <v>79</v>
      </c>
      <c r="H10" s="470" t="s">
        <v>80</v>
      </c>
      <c r="I10" s="471" t="s">
        <v>81</v>
      </c>
      <c r="J10" s="469" t="s">
        <v>82</v>
      </c>
      <c r="K10" s="472" t="s">
        <v>83</v>
      </c>
    </row>
    <row r="11" spans="5:11" ht="15">
      <c r="E11" s="187"/>
      <c r="F11" s="236"/>
      <c r="G11" s="36"/>
      <c r="H11" s="36"/>
      <c r="I11" s="208"/>
      <c r="J11" s="216"/>
      <c r="K11" s="189"/>
    </row>
    <row r="12" spans="5:11" ht="15">
      <c r="E12" s="195" t="s">
        <v>716</v>
      </c>
      <c r="F12" s="237">
        <f>+C8</f>
        <v>20518</v>
      </c>
      <c r="G12" s="718">
        <f>+Rates!F192</f>
        <v>7.725826103908763</v>
      </c>
      <c r="H12" s="453">
        <f>+Rates!G192</f>
        <v>8.01196781146094</v>
      </c>
      <c r="I12" s="253">
        <f>+G12*F12</f>
        <v>158518.5</v>
      </c>
      <c r="J12" s="259">
        <f>+H12*F12</f>
        <v>164389.55555555556</v>
      </c>
      <c r="K12" s="474">
        <f>(H12-G12)/G12</f>
        <v>0.03703703703703706</v>
      </c>
    </row>
    <row r="13" spans="5:11" ht="15">
      <c r="E13" s="187"/>
      <c r="F13" s="237"/>
      <c r="G13" s="453"/>
      <c r="H13" s="453"/>
      <c r="I13" s="209"/>
      <c r="J13" s="438"/>
      <c r="K13" s="405"/>
    </row>
    <row r="14" spans="5:11" ht="15.75" thickBot="1">
      <c r="E14" s="177"/>
      <c r="F14" s="238"/>
      <c r="G14" s="459"/>
      <c r="H14" s="459"/>
      <c r="I14" s="231"/>
      <c r="J14" s="460"/>
      <c r="K14" s="461"/>
    </row>
    <row r="15" spans="5:11" ht="15.75" thickTop="1">
      <c r="E15" s="230" t="s">
        <v>691</v>
      </c>
      <c r="F15" s="199"/>
      <c r="G15" s="199"/>
      <c r="H15" s="199"/>
      <c r="I15" s="199"/>
      <c r="J15" s="199"/>
      <c r="K15" s="200"/>
    </row>
    <row r="16" spans="5:11" ht="15.75" thickBot="1">
      <c r="E16" s="227"/>
      <c r="F16" s="197"/>
      <c r="G16" s="197"/>
      <c r="H16" s="197"/>
      <c r="I16" s="197"/>
      <c r="J16" s="197"/>
      <c r="K16" s="198"/>
    </row>
    <row r="17" ht="13.5" thickTop="1"/>
  </sheetData>
  <mergeCells count="7">
    <mergeCell ref="G7:H7"/>
    <mergeCell ref="I7:J7"/>
    <mergeCell ref="K7:K9"/>
    <mergeCell ref="B3:C3"/>
    <mergeCell ref="B4:C4"/>
    <mergeCell ref="E5:K5"/>
    <mergeCell ref="E6:K6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9"/>
  </sheetPr>
  <dimension ref="B2:K16"/>
  <sheetViews>
    <sheetView workbookViewId="0" topLeftCell="D1">
      <selection activeCell="K4" sqref="K4"/>
    </sheetView>
  </sheetViews>
  <sheetFormatPr defaultColWidth="9.140625" defaultRowHeight="12.75"/>
  <cols>
    <col min="2" max="2" width="52.57421875" style="0" customWidth="1"/>
    <col min="3" max="3" width="16.00390625" style="0" customWidth="1"/>
    <col min="5" max="5" width="31.7109375" style="0" customWidth="1"/>
    <col min="6" max="11" width="14.8515625" style="0" customWidth="1"/>
  </cols>
  <sheetData>
    <row r="2" spans="2:3" ht="15">
      <c r="B2" s="1"/>
      <c r="C2" s="9" t="s">
        <v>312</v>
      </c>
    </row>
    <row r="3" spans="2:11" ht="18">
      <c r="B3" s="771" t="s">
        <v>717</v>
      </c>
      <c r="C3" s="771"/>
      <c r="K3" t="str">
        <f>WN</f>
        <v>February 2009</v>
      </c>
    </row>
    <row r="4" spans="2:11" ht="16.5" thickBot="1">
      <c r="B4" s="772" t="str">
        <f>"Fiscal Year "&amp;FY</f>
        <v>Fiscal Year </v>
      </c>
      <c r="C4" s="772"/>
      <c r="E4" s="1"/>
      <c r="F4" s="1"/>
      <c r="G4" s="1"/>
      <c r="H4" s="1"/>
      <c r="I4" s="1"/>
      <c r="J4" s="1"/>
      <c r="K4" s="9"/>
    </row>
    <row r="5" spans="2:11" ht="16.5" thickTop="1">
      <c r="B5" s="1"/>
      <c r="C5" s="1"/>
      <c r="E5" s="780" t="s">
        <v>717</v>
      </c>
      <c r="F5" s="781"/>
      <c r="G5" s="781"/>
      <c r="H5" s="781"/>
      <c r="I5" s="781"/>
      <c r="J5" s="781"/>
      <c r="K5" s="782"/>
    </row>
    <row r="6" spans="2:11" ht="15.75" thickBot="1">
      <c r="B6" s="1" t="s">
        <v>237</v>
      </c>
      <c r="C6" s="717">
        <v>16301.2</v>
      </c>
      <c r="E6" s="783" t="str">
        <f>"Fiscal Year 2008 "</f>
        <v>Fiscal Year 2008 </v>
      </c>
      <c r="F6" s="784"/>
      <c r="G6" s="784"/>
      <c r="H6" s="784"/>
      <c r="I6" s="784"/>
      <c r="J6" s="784"/>
      <c r="K6" s="785"/>
    </row>
    <row r="7" spans="2:11" ht="15.75" thickTop="1">
      <c r="B7" s="1"/>
      <c r="C7" s="1"/>
      <c r="E7" s="184"/>
      <c r="F7" s="575" t="s">
        <v>423</v>
      </c>
      <c r="G7" s="786" t="s">
        <v>234</v>
      </c>
      <c r="H7" s="770"/>
      <c r="I7" s="786" t="s">
        <v>528</v>
      </c>
      <c r="J7" s="787"/>
      <c r="K7" s="804" t="s">
        <v>209</v>
      </c>
    </row>
    <row r="8" spans="2:11" ht="15">
      <c r="B8" s="1" t="s">
        <v>529</v>
      </c>
      <c r="C8" s="5">
        <v>1528</v>
      </c>
      <c r="E8" s="187"/>
      <c r="F8" s="207"/>
      <c r="G8" s="72"/>
      <c r="H8" s="72"/>
      <c r="I8" s="207"/>
      <c r="J8" s="215"/>
      <c r="K8" s="805"/>
    </row>
    <row r="9" spans="5:11" ht="15.75" thickBot="1">
      <c r="E9" s="227"/>
      <c r="F9" s="293" t="str">
        <f>"FY "&amp;FY</f>
        <v>FY </v>
      </c>
      <c r="G9" s="295" t="s">
        <v>206</v>
      </c>
      <c r="H9" s="295" t="s">
        <v>683</v>
      </c>
      <c r="I9" s="296" t="s">
        <v>640</v>
      </c>
      <c r="J9" s="294" t="s">
        <v>683</v>
      </c>
      <c r="K9" s="806"/>
    </row>
    <row r="10" spans="5:11" ht="15.75" thickTop="1">
      <c r="E10" s="187"/>
      <c r="F10" s="468" t="s">
        <v>78</v>
      </c>
      <c r="G10" s="470" t="s">
        <v>79</v>
      </c>
      <c r="H10" s="470" t="s">
        <v>80</v>
      </c>
      <c r="I10" s="471" t="s">
        <v>81</v>
      </c>
      <c r="J10" s="469" t="s">
        <v>82</v>
      </c>
      <c r="K10" s="472" t="s">
        <v>83</v>
      </c>
    </row>
    <row r="11" spans="5:11" ht="15">
      <c r="E11" s="187"/>
      <c r="F11" s="236"/>
      <c r="G11" s="36"/>
      <c r="H11" s="36"/>
      <c r="I11" s="208"/>
      <c r="J11" s="216"/>
      <c r="K11" s="189"/>
    </row>
    <row r="12" spans="5:11" ht="15">
      <c r="E12" s="195" t="s">
        <v>717</v>
      </c>
      <c r="F12" s="237">
        <f>+C8</f>
        <v>1528</v>
      </c>
      <c r="G12" s="718">
        <f>+Rates!F194</f>
        <v>10.668324607329843</v>
      </c>
      <c r="H12" s="453">
        <f>+Rates!G194</f>
        <v>11.17634006482174</v>
      </c>
      <c r="I12" s="253">
        <f>+G12*F12</f>
        <v>16301.2</v>
      </c>
      <c r="J12" s="259">
        <f>+H12*F12</f>
        <v>17077.44761904762</v>
      </c>
      <c r="K12" s="474">
        <f>(H12-G12)/G12</f>
        <v>0.0476190476190476</v>
      </c>
    </row>
    <row r="13" spans="5:11" ht="15">
      <c r="E13" s="187"/>
      <c r="F13" s="237"/>
      <c r="G13" s="453"/>
      <c r="H13" s="453"/>
      <c r="I13" s="209"/>
      <c r="J13" s="438"/>
      <c r="K13" s="405"/>
    </row>
    <row r="14" spans="5:11" ht="15.75" thickBot="1">
      <c r="E14" s="177"/>
      <c r="F14" s="238"/>
      <c r="G14" s="459"/>
      <c r="H14" s="459"/>
      <c r="I14" s="231"/>
      <c r="J14" s="460"/>
      <c r="K14" s="461"/>
    </row>
    <row r="15" spans="5:11" ht="15.75" thickTop="1">
      <c r="E15" s="230" t="s">
        <v>691</v>
      </c>
      <c r="F15" s="199"/>
      <c r="G15" s="199"/>
      <c r="H15" s="199"/>
      <c r="I15" s="199"/>
      <c r="J15" s="199"/>
      <c r="K15" s="200"/>
    </row>
    <row r="16" spans="5:11" ht="15.75" thickBot="1">
      <c r="E16" s="227"/>
      <c r="F16" s="197"/>
      <c r="G16" s="197"/>
      <c r="H16" s="197"/>
      <c r="I16" s="197"/>
      <c r="J16" s="197"/>
      <c r="K16" s="198"/>
    </row>
    <row r="17" ht="13.5" thickTop="1"/>
  </sheetData>
  <mergeCells count="7">
    <mergeCell ref="G7:H7"/>
    <mergeCell ref="I7:J7"/>
    <mergeCell ref="K7:K9"/>
    <mergeCell ref="B3:C3"/>
    <mergeCell ref="B4:C4"/>
    <mergeCell ref="E5:K5"/>
    <mergeCell ref="E6:K6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C101"/>
  <sheetViews>
    <sheetView zoomScale="70" zoomScaleNormal="70" workbookViewId="0" topLeftCell="L1">
      <selection activeCell="P55" sqref="P55:Q55"/>
    </sheetView>
  </sheetViews>
  <sheetFormatPr defaultColWidth="12.421875" defaultRowHeight="12.75"/>
  <cols>
    <col min="1" max="1" width="15.00390625" style="1" customWidth="1"/>
    <col min="2" max="3" width="18.8515625" style="1" customWidth="1"/>
    <col min="4" max="4" width="7.28125" style="1" customWidth="1"/>
    <col min="5" max="5" width="31.421875" style="1" bestFit="1" customWidth="1"/>
    <col min="6" max="6" width="17.57421875" style="1" customWidth="1"/>
    <col min="7" max="7" width="12.421875" style="1" customWidth="1"/>
    <col min="8" max="8" width="14.00390625" style="1" customWidth="1"/>
    <col min="9" max="9" width="19.00390625" style="1" customWidth="1"/>
    <col min="10" max="10" width="14.421875" style="1" bestFit="1" customWidth="1"/>
    <col min="11" max="11" width="12.57421875" style="1" customWidth="1"/>
    <col min="12" max="12" width="21.8515625" style="1" customWidth="1"/>
    <col min="13" max="13" width="14.28125" style="1" customWidth="1"/>
    <col min="14" max="14" width="13.00390625" style="1" customWidth="1"/>
    <col min="15" max="15" width="14.421875" style="1" customWidth="1"/>
    <col min="16" max="16" width="18.421875" style="1" customWidth="1"/>
    <col min="17" max="17" width="18.57421875" style="1" customWidth="1"/>
    <col min="18" max="16384" width="12.421875" style="1" customWidth="1"/>
  </cols>
  <sheetData>
    <row r="1" spans="7:12" ht="15">
      <c r="G1" s="2" t="s">
        <v>65</v>
      </c>
      <c r="L1" s="1">
        <v>1</v>
      </c>
    </row>
    <row r="2" spans="6:7" ht="15">
      <c r="F2" s="9" t="s">
        <v>573</v>
      </c>
      <c r="G2" s="2" t="s">
        <v>65</v>
      </c>
    </row>
    <row r="3" spans="2:7" ht="18">
      <c r="B3" s="771" t="s">
        <v>666</v>
      </c>
      <c r="C3" s="771"/>
      <c r="D3" s="771"/>
      <c r="E3" s="771"/>
      <c r="F3" s="771"/>
      <c r="G3" s="2" t="s">
        <v>65</v>
      </c>
    </row>
    <row r="4" spans="2:18" ht="15.75">
      <c r="B4" s="772" t="s">
        <v>700</v>
      </c>
      <c r="C4" s="772"/>
      <c r="D4" s="772"/>
      <c r="E4" s="772"/>
      <c r="F4" s="772"/>
      <c r="G4" s="2" t="s">
        <v>65</v>
      </c>
      <c r="R4" s="1" t="str">
        <f>WN</f>
        <v>February 2009</v>
      </c>
    </row>
    <row r="5" spans="2:15" ht="15.75" thickBot="1">
      <c r="B5" s="29" t="s">
        <v>138</v>
      </c>
      <c r="G5" s="2" t="s">
        <v>65</v>
      </c>
      <c r="H5" s="1" t="s">
        <v>89</v>
      </c>
      <c r="I5" s="24"/>
      <c r="N5" s="21"/>
      <c r="O5" s="21"/>
    </row>
    <row r="6" spans="2:18" ht="16.5" thickTop="1">
      <c r="B6" s="42" t="s">
        <v>322</v>
      </c>
      <c r="C6" s="34" t="s">
        <v>423</v>
      </c>
      <c r="E6" s="1" t="s">
        <v>574</v>
      </c>
      <c r="F6" s="481">
        <v>9326725</v>
      </c>
      <c r="G6" s="2" t="s">
        <v>65</v>
      </c>
      <c r="L6" s="780" t="s">
        <v>666</v>
      </c>
      <c r="M6" s="781"/>
      <c r="N6" s="781"/>
      <c r="O6" s="781"/>
      <c r="P6" s="781"/>
      <c r="Q6" s="781"/>
      <c r="R6" s="782"/>
    </row>
    <row r="7" spans="2:18" ht="15.75" thickBot="1">
      <c r="B7" s="55">
        <v>0</v>
      </c>
      <c r="C7" s="481">
        <v>1229020</v>
      </c>
      <c r="G7" s="2" t="s">
        <v>65</v>
      </c>
      <c r="L7" s="783" t="str">
        <f>"Test Year "&amp;TY</f>
        <v>Test Year </v>
      </c>
      <c r="M7" s="784"/>
      <c r="N7" s="784"/>
      <c r="O7" s="784"/>
      <c r="P7" s="784"/>
      <c r="Q7" s="784"/>
      <c r="R7" s="785"/>
    </row>
    <row r="8" spans="2:18" ht="15.75" thickTop="1">
      <c r="B8" s="55">
        <v>100</v>
      </c>
      <c r="C8" s="481">
        <v>284425</v>
      </c>
      <c r="D8" s="104"/>
      <c r="G8" s="2" t="s">
        <v>65</v>
      </c>
      <c r="L8" s="184"/>
      <c r="M8" s="575" t="s">
        <v>423</v>
      </c>
      <c r="N8" s="786" t="s">
        <v>234</v>
      </c>
      <c r="O8" s="770"/>
      <c r="P8" s="786" t="s">
        <v>528</v>
      </c>
      <c r="Q8" s="787"/>
      <c r="R8" s="804" t="s">
        <v>209</v>
      </c>
    </row>
    <row r="9" spans="2:18" ht="15">
      <c r="B9" s="5">
        <v>500</v>
      </c>
      <c r="C9" s="481">
        <v>277173</v>
      </c>
      <c r="D9" s="104"/>
      <c r="E9" s="1" t="s">
        <v>323</v>
      </c>
      <c r="G9" s="2" t="s">
        <v>65</v>
      </c>
      <c r="L9" s="187"/>
      <c r="M9" s="207"/>
      <c r="N9" s="72"/>
      <c r="O9" s="72"/>
      <c r="P9" s="207"/>
      <c r="Q9" s="215"/>
      <c r="R9" s="805"/>
    </row>
    <row r="10" spans="2:18" ht="15.75" thickBot="1">
      <c r="B10" s="5">
        <v>1000</v>
      </c>
      <c r="C10" s="481">
        <v>255666</v>
      </c>
      <c r="D10" s="104"/>
      <c r="E10" s="1" t="s">
        <v>576</v>
      </c>
      <c r="F10" s="481">
        <v>44516903</v>
      </c>
      <c r="G10" s="2" t="s">
        <v>65</v>
      </c>
      <c r="H10" s="1" t="s">
        <v>72</v>
      </c>
      <c r="L10" s="227"/>
      <c r="M10" s="293" t="str">
        <f>"FY "&amp;FY</f>
        <v>FY </v>
      </c>
      <c r="N10" s="295" t="s">
        <v>206</v>
      </c>
      <c r="O10" s="295" t="s">
        <v>683</v>
      </c>
      <c r="P10" s="296" t="s">
        <v>640</v>
      </c>
      <c r="Q10" s="294" t="s">
        <v>683</v>
      </c>
      <c r="R10" s="806"/>
    </row>
    <row r="11" spans="2:18" ht="15.75" thickTop="1">
      <c r="B11" s="5">
        <v>2000</v>
      </c>
      <c r="C11" s="481">
        <v>234277</v>
      </c>
      <c r="D11" s="104"/>
      <c r="E11" s="1" t="s">
        <v>324</v>
      </c>
      <c r="F11" s="481">
        <v>6059019</v>
      </c>
      <c r="G11" s="2" t="s">
        <v>65</v>
      </c>
      <c r="L11" s="184"/>
      <c r="M11" s="401" t="s">
        <v>78</v>
      </c>
      <c r="N11" s="383" t="s">
        <v>79</v>
      </c>
      <c r="O11" s="383" t="s">
        <v>80</v>
      </c>
      <c r="P11" s="397" t="s">
        <v>81</v>
      </c>
      <c r="Q11" s="399" t="s">
        <v>82</v>
      </c>
      <c r="R11" s="384" t="s">
        <v>83</v>
      </c>
    </row>
    <row r="12" spans="2:18" ht="15">
      <c r="B12" s="5">
        <v>3000</v>
      </c>
      <c r="C12" s="481">
        <v>162130</v>
      </c>
      <c r="D12" s="104"/>
      <c r="E12" s="1" t="s">
        <v>577</v>
      </c>
      <c r="F12" s="481">
        <v>4655231</v>
      </c>
      <c r="G12" s="2" t="s">
        <v>65</v>
      </c>
      <c r="L12" s="187" t="s">
        <v>333</v>
      </c>
      <c r="M12" s="236"/>
      <c r="N12" s="36"/>
      <c r="O12" s="36"/>
      <c r="P12" s="208"/>
      <c r="Q12" s="216"/>
      <c r="R12" s="189"/>
    </row>
    <row r="13" spans="2:18" ht="15">
      <c r="B13" s="5">
        <v>4000</v>
      </c>
      <c r="C13" s="481">
        <v>206728</v>
      </c>
      <c r="D13" s="104"/>
      <c r="F13" s="73" t="s">
        <v>67</v>
      </c>
      <c r="G13" s="2" t="s">
        <v>65</v>
      </c>
      <c r="H13" s="4" t="s">
        <v>531</v>
      </c>
      <c r="I13" s="4"/>
      <c r="J13" s="4"/>
      <c r="K13" s="4"/>
      <c r="L13" s="479">
        <v>100</v>
      </c>
      <c r="M13" s="237">
        <f>+C8</f>
        <v>284425</v>
      </c>
      <c r="N13" s="190">
        <f>+Rates!F197</f>
        <v>10.8</v>
      </c>
      <c r="O13" s="190">
        <f>+Rates!G197</f>
        <v>11.5</v>
      </c>
      <c r="P13" s="253">
        <f aca="true" t="shared" si="0" ref="P13:P39">+N13*M13</f>
        <v>3071790</v>
      </c>
      <c r="Q13" s="259">
        <f aca="true" t="shared" si="1" ref="Q13:Q39">+O13*M13</f>
        <v>3270887.5</v>
      </c>
      <c r="R13" s="454">
        <f aca="true" t="shared" si="2" ref="R13:R39">(O13-N13)/N13</f>
        <v>0.06481481481481474</v>
      </c>
    </row>
    <row r="14" spans="2:18" ht="15">
      <c r="B14" s="5">
        <v>5000</v>
      </c>
      <c r="C14" s="481">
        <v>106728</v>
      </c>
      <c r="D14" s="104"/>
      <c r="E14" s="1" t="s">
        <v>105</v>
      </c>
      <c r="F14" s="481">
        <v>55231153</v>
      </c>
      <c r="G14" s="2" t="s">
        <v>65</v>
      </c>
      <c r="L14" s="479">
        <v>500</v>
      </c>
      <c r="M14" s="237">
        <f aca="true" t="shared" si="3" ref="M14:M39">+C9</f>
        <v>277173</v>
      </c>
      <c r="N14" s="190">
        <f>+Rates!F198</f>
        <v>12.1</v>
      </c>
      <c r="O14" s="190">
        <f>+Rates!G198</f>
        <v>13.1</v>
      </c>
      <c r="P14" s="253">
        <f t="shared" si="0"/>
        <v>3353793.3</v>
      </c>
      <c r="Q14" s="259">
        <f t="shared" si="1"/>
        <v>3630966.3</v>
      </c>
      <c r="R14" s="454">
        <f t="shared" si="2"/>
        <v>0.08264462809917356</v>
      </c>
    </row>
    <row r="15" spans="2:18" ht="15">
      <c r="B15" s="5">
        <v>6000</v>
      </c>
      <c r="C15" s="481">
        <v>50482</v>
      </c>
      <c r="D15" s="104"/>
      <c r="E15" s="1" t="s">
        <v>138</v>
      </c>
      <c r="G15" s="2" t="s">
        <v>65</v>
      </c>
      <c r="H15" s="1" t="s">
        <v>532</v>
      </c>
      <c r="J15" s="77">
        <f>+F12</f>
        <v>4655231</v>
      </c>
      <c r="L15" s="479">
        <v>1000</v>
      </c>
      <c r="M15" s="237">
        <f t="shared" si="3"/>
        <v>255666</v>
      </c>
      <c r="N15" s="190">
        <f>+N14+Rates!F$199</f>
        <v>13.299999999999999</v>
      </c>
      <c r="O15" s="190">
        <f>+O14+Rates!G$199</f>
        <v>14.45</v>
      </c>
      <c r="P15" s="253">
        <f t="shared" si="0"/>
        <v>3400357.8</v>
      </c>
      <c r="Q15" s="259">
        <f t="shared" si="1"/>
        <v>3694373.6999999997</v>
      </c>
      <c r="R15" s="454">
        <f t="shared" si="2"/>
        <v>0.08646616541353387</v>
      </c>
    </row>
    <row r="16" spans="2:18" ht="15">
      <c r="B16" s="5">
        <v>7000</v>
      </c>
      <c r="C16" s="481">
        <v>37784</v>
      </c>
      <c r="D16" s="104"/>
      <c r="E16" s="1" t="s">
        <v>138</v>
      </c>
      <c r="F16" s="33" t="s">
        <v>138</v>
      </c>
      <c r="G16" s="2" t="s">
        <v>65</v>
      </c>
      <c r="H16" s="1" t="s">
        <v>533</v>
      </c>
      <c r="I16" s="4"/>
      <c r="J16" s="8">
        <f>+F20</f>
        <v>34144</v>
      </c>
      <c r="K16" s="4"/>
      <c r="L16" s="479">
        <f aca="true" t="shared" si="4" ref="L16:L39">(L15+1000)</f>
        <v>2000</v>
      </c>
      <c r="M16" s="237">
        <f t="shared" si="3"/>
        <v>234277</v>
      </c>
      <c r="N16" s="190">
        <f>+N15+Rates!F$199</f>
        <v>14.499999999999998</v>
      </c>
      <c r="O16" s="190">
        <f>+O15+Rates!G$199</f>
        <v>15.799999999999999</v>
      </c>
      <c r="P16" s="253">
        <f t="shared" si="0"/>
        <v>3397016.4999999995</v>
      </c>
      <c r="Q16" s="259">
        <f t="shared" si="1"/>
        <v>3701576.5999999996</v>
      </c>
      <c r="R16" s="454">
        <f t="shared" si="2"/>
        <v>0.08965517241379316</v>
      </c>
    </row>
    <row r="17" spans="2:18" ht="15">
      <c r="B17" s="5">
        <v>8000</v>
      </c>
      <c r="C17" s="481">
        <v>37162</v>
      </c>
      <c r="D17" s="104"/>
      <c r="E17" s="1" t="s">
        <v>578</v>
      </c>
      <c r="G17" s="2" t="s">
        <v>65</v>
      </c>
      <c r="H17" s="1" t="s">
        <v>534</v>
      </c>
      <c r="J17" s="102">
        <f>+J15/J16</f>
        <v>136.3411141049672</v>
      </c>
      <c r="L17" s="479">
        <f t="shared" si="4"/>
        <v>3000</v>
      </c>
      <c r="M17" s="237">
        <f t="shared" si="3"/>
        <v>162130</v>
      </c>
      <c r="N17" s="190">
        <f>+N16+Rates!F$199</f>
        <v>15.699999999999998</v>
      </c>
      <c r="O17" s="190">
        <f>+O16+Rates!G$199</f>
        <v>17.15</v>
      </c>
      <c r="P17" s="253">
        <f t="shared" si="0"/>
        <v>2545440.9999999995</v>
      </c>
      <c r="Q17" s="259">
        <f t="shared" si="1"/>
        <v>2780529.5</v>
      </c>
      <c r="R17" s="454">
        <f t="shared" si="2"/>
        <v>0.09235668789808925</v>
      </c>
    </row>
    <row r="18" spans="2:18" ht="15">
      <c r="B18" s="5">
        <v>9000</v>
      </c>
      <c r="C18" s="481">
        <v>24958</v>
      </c>
      <c r="D18" s="104"/>
      <c r="E18" s="4" t="s">
        <v>67</v>
      </c>
      <c r="G18" s="2" t="s">
        <v>65</v>
      </c>
      <c r="H18" s="1" t="s">
        <v>382</v>
      </c>
      <c r="J18" s="584">
        <f>+SUM(Q13:Q39)/SUM(P13:P39)-1</f>
        <v>0.0942743501771599</v>
      </c>
      <c r="L18" s="479">
        <f t="shared" si="4"/>
        <v>4000</v>
      </c>
      <c r="M18" s="237">
        <f t="shared" si="3"/>
        <v>206728</v>
      </c>
      <c r="N18" s="190">
        <f>+N17+Rates!F$199</f>
        <v>16.9</v>
      </c>
      <c r="O18" s="190">
        <f>+O17+Rates!G$199</f>
        <v>18.5</v>
      </c>
      <c r="P18" s="253">
        <f t="shared" si="0"/>
        <v>3493703.1999999997</v>
      </c>
      <c r="Q18" s="259">
        <f t="shared" si="1"/>
        <v>3824468</v>
      </c>
      <c r="R18" s="454">
        <f t="shared" si="2"/>
        <v>0.09467455621301785</v>
      </c>
    </row>
    <row r="19" spans="2:18" ht="15.75">
      <c r="B19" s="5">
        <v>10000</v>
      </c>
      <c r="C19" s="481">
        <v>58796</v>
      </c>
      <c r="D19" s="104"/>
      <c r="E19" s="1" t="s">
        <v>579</v>
      </c>
      <c r="F19" s="481">
        <v>3673216</v>
      </c>
      <c r="G19" s="2" t="s">
        <v>65</v>
      </c>
      <c r="H19" s="149" t="s">
        <v>379</v>
      </c>
      <c r="I19" s="145"/>
      <c r="J19" s="585">
        <f>+J17*(1+J18)</f>
        <v>149.194584039643</v>
      </c>
      <c r="L19" s="479">
        <f t="shared" si="4"/>
        <v>5000</v>
      </c>
      <c r="M19" s="237">
        <f t="shared" si="3"/>
        <v>106728</v>
      </c>
      <c r="N19" s="190">
        <f>+N18+Rates!F$199</f>
        <v>18.099999999999998</v>
      </c>
      <c r="O19" s="190">
        <f>+O18+Rates!G$199</f>
        <v>19.85</v>
      </c>
      <c r="P19" s="253">
        <f t="shared" si="0"/>
        <v>1931776.7999999998</v>
      </c>
      <c r="Q19" s="259">
        <f t="shared" si="1"/>
        <v>2118550.8000000003</v>
      </c>
      <c r="R19" s="454">
        <f t="shared" si="2"/>
        <v>0.09668508287292839</v>
      </c>
    </row>
    <row r="20" spans="2:18" ht="15">
      <c r="B20" s="5">
        <v>11000</v>
      </c>
      <c r="C20" s="481">
        <v>14725</v>
      </c>
      <c r="D20" s="104"/>
      <c r="E20" s="1" t="s">
        <v>577</v>
      </c>
      <c r="F20" s="481">
        <v>34144</v>
      </c>
      <c r="G20" s="2" t="s">
        <v>65</v>
      </c>
      <c r="K20" s="4"/>
      <c r="L20" s="479">
        <f t="shared" si="4"/>
        <v>6000</v>
      </c>
      <c r="M20" s="237">
        <f t="shared" si="3"/>
        <v>50482</v>
      </c>
      <c r="N20" s="190">
        <f>+N19+Rates!F$199</f>
        <v>19.299999999999997</v>
      </c>
      <c r="O20" s="190">
        <f>+O19+Rates!G$199</f>
        <v>21.200000000000003</v>
      </c>
      <c r="P20" s="253">
        <f t="shared" si="0"/>
        <v>974302.5999999999</v>
      </c>
      <c r="Q20" s="259">
        <f t="shared" si="1"/>
        <v>1070218.4000000001</v>
      </c>
      <c r="R20" s="454">
        <f t="shared" si="2"/>
        <v>0.09844559585492259</v>
      </c>
    </row>
    <row r="21" spans="2:19" ht="15">
      <c r="B21" s="5">
        <v>12000</v>
      </c>
      <c r="C21" s="481">
        <v>19086</v>
      </c>
      <c r="D21" s="104"/>
      <c r="E21" s="1" t="s">
        <v>581</v>
      </c>
      <c r="F21" s="481">
        <v>3707360</v>
      </c>
      <c r="G21" s="2" t="s">
        <v>65</v>
      </c>
      <c r="K21" s="5"/>
      <c r="L21" s="479">
        <f t="shared" si="4"/>
        <v>7000</v>
      </c>
      <c r="M21" s="237">
        <f t="shared" si="3"/>
        <v>37784</v>
      </c>
      <c r="N21" s="190">
        <f>+N20+Rates!F$199</f>
        <v>20.499999999999996</v>
      </c>
      <c r="O21" s="190">
        <f>+O20+Rates!G$199</f>
        <v>22.550000000000004</v>
      </c>
      <c r="P21" s="253">
        <f t="shared" si="0"/>
        <v>774571.9999999999</v>
      </c>
      <c r="Q21" s="259">
        <f t="shared" si="1"/>
        <v>852029.2000000002</v>
      </c>
      <c r="R21" s="454">
        <f t="shared" si="2"/>
        <v>0.1000000000000004</v>
      </c>
      <c r="S21" s="4"/>
    </row>
    <row r="22" spans="2:19" ht="15">
      <c r="B22" s="5">
        <v>13000</v>
      </c>
      <c r="C22" s="481">
        <v>13144</v>
      </c>
      <c r="D22" s="104"/>
      <c r="E22" s="1" t="s">
        <v>582</v>
      </c>
      <c r="F22" s="481">
        <v>13034085</v>
      </c>
      <c r="G22" s="2" t="s">
        <v>65</v>
      </c>
      <c r="L22" s="479">
        <f t="shared" si="4"/>
        <v>8000</v>
      </c>
      <c r="M22" s="237">
        <f t="shared" si="3"/>
        <v>37162</v>
      </c>
      <c r="N22" s="190">
        <f>+N21+Rates!F$199</f>
        <v>21.699999999999996</v>
      </c>
      <c r="O22" s="190">
        <f>+O21+Rates!G$199</f>
        <v>23.900000000000006</v>
      </c>
      <c r="P22" s="253">
        <f t="shared" si="0"/>
        <v>806415.3999999998</v>
      </c>
      <c r="Q22" s="259">
        <f t="shared" si="1"/>
        <v>888171.8000000002</v>
      </c>
      <c r="R22" s="454">
        <f t="shared" si="2"/>
        <v>0.10138248847926315</v>
      </c>
      <c r="S22" s="2"/>
    </row>
    <row r="23" spans="2:22" ht="15">
      <c r="B23" s="5">
        <v>14000</v>
      </c>
      <c r="C23" s="481">
        <v>11227</v>
      </c>
      <c r="D23" s="104"/>
      <c r="G23" s="2" t="s">
        <v>65</v>
      </c>
      <c r="H23" s="1" t="s">
        <v>328</v>
      </c>
      <c r="J23" s="581">
        <f>+(F11/C38)</f>
        <v>13.046758453773407</v>
      </c>
      <c r="L23" s="479">
        <f t="shared" si="4"/>
        <v>9000</v>
      </c>
      <c r="M23" s="237">
        <f t="shared" si="3"/>
        <v>24958</v>
      </c>
      <c r="N23" s="190">
        <f>+N22+Rates!F$199</f>
        <v>22.899999999999995</v>
      </c>
      <c r="O23" s="190">
        <f>+O22+Rates!G$199</f>
        <v>25.250000000000007</v>
      </c>
      <c r="P23" s="253">
        <f t="shared" si="0"/>
        <v>571538.1999999998</v>
      </c>
      <c r="Q23" s="259">
        <f t="shared" si="1"/>
        <v>630189.5000000002</v>
      </c>
      <c r="R23" s="454">
        <f t="shared" si="2"/>
        <v>0.10262008733624509</v>
      </c>
      <c r="T23" s="30"/>
      <c r="U23" s="30"/>
      <c r="V23" s="30"/>
    </row>
    <row r="24" spans="2:21" ht="15.75">
      <c r="B24" s="5">
        <v>15000</v>
      </c>
      <c r="C24" s="481">
        <v>24965</v>
      </c>
      <c r="D24" s="104"/>
      <c r="G24" s="2" t="s">
        <v>65</v>
      </c>
      <c r="H24" s="149" t="s">
        <v>379</v>
      </c>
      <c r="I24" s="145"/>
      <c r="J24" s="585">
        <f>+J23*(1+J18)</f>
        <v>14.276733128921263</v>
      </c>
      <c r="L24" s="479">
        <f t="shared" si="4"/>
        <v>10000</v>
      </c>
      <c r="M24" s="237">
        <f t="shared" si="3"/>
        <v>58796</v>
      </c>
      <c r="N24" s="190">
        <f>+N23+Rates!F$199</f>
        <v>24.099999999999994</v>
      </c>
      <c r="O24" s="190">
        <f>+O23+Rates!G$199</f>
        <v>26.60000000000001</v>
      </c>
      <c r="P24" s="253">
        <f t="shared" si="0"/>
        <v>1416983.5999999996</v>
      </c>
      <c r="Q24" s="259">
        <f t="shared" si="1"/>
        <v>1563973.6000000006</v>
      </c>
      <c r="R24" s="454">
        <f t="shared" si="2"/>
        <v>0.10373443983402551</v>
      </c>
      <c r="S24" s="30"/>
      <c r="U24" s="29"/>
    </row>
    <row r="25" spans="2:21" ht="15">
      <c r="B25" s="5">
        <v>16000</v>
      </c>
      <c r="C25" s="481">
        <v>9319</v>
      </c>
      <c r="D25" s="104"/>
      <c r="G25" s="2" t="s">
        <v>65</v>
      </c>
      <c r="H25" s="4"/>
      <c r="I25" s="4"/>
      <c r="J25" s="4"/>
      <c r="L25" s="479">
        <f t="shared" si="4"/>
        <v>11000</v>
      </c>
      <c r="M25" s="237">
        <f t="shared" si="3"/>
        <v>14725</v>
      </c>
      <c r="N25" s="190">
        <f>+N24+Rates!F$199</f>
        <v>25.299999999999994</v>
      </c>
      <c r="O25" s="190">
        <f>+O24+Rates!G$199</f>
        <v>27.95000000000001</v>
      </c>
      <c r="P25" s="253">
        <f t="shared" si="0"/>
        <v>372542.4999999999</v>
      </c>
      <c r="Q25" s="259">
        <f t="shared" si="1"/>
        <v>411563.7500000002</v>
      </c>
      <c r="R25" s="454">
        <f t="shared" si="2"/>
        <v>0.10474308300395324</v>
      </c>
      <c r="S25" s="30"/>
      <c r="U25" s="29"/>
    </row>
    <row r="26" spans="2:22" ht="15">
      <c r="B26" s="5">
        <v>17000</v>
      </c>
      <c r="C26" s="481">
        <v>8146</v>
      </c>
      <c r="D26" s="104"/>
      <c r="G26" s="2" t="s">
        <v>65</v>
      </c>
      <c r="K26" s="4"/>
      <c r="L26" s="479">
        <f t="shared" si="4"/>
        <v>12000</v>
      </c>
      <c r="M26" s="237">
        <f t="shared" si="3"/>
        <v>19086</v>
      </c>
      <c r="N26" s="190">
        <f>+N25+Rates!F$199</f>
        <v>26.499999999999993</v>
      </c>
      <c r="O26" s="190">
        <f>+O25+Rates!G$199</f>
        <v>29.30000000000001</v>
      </c>
      <c r="P26" s="253">
        <f t="shared" si="0"/>
        <v>505778.9999999999</v>
      </c>
      <c r="Q26" s="259">
        <f t="shared" si="1"/>
        <v>559219.8000000002</v>
      </c>
      <c r="R26" s="454">
        <f t="shared" si="2"/>
        <v>0.10566037735849129</v>
      </c>
      <c r="S26" s="30"/>
      <c r="U26" s="29"/>
      <c r="V26" s="30"/>
    </row>
    <row r="27" spans="2:21" ht="15">
      <c r="B27" s="5">
        <v>18000</v>
      </c>
      <c r="C27" s="481">
        <v>9320</v>
      </c>
      <c r="D27" s="104"/>
      <c r="G27" s="2" t="s">
        <v>65</v>
      </c>
      <c r="J27" s="82"/>
      <c r="L27" s="479">
        <f t="shared" si="4"/>
        <v>13000</v>
      </c>
      <c r="M27" s="237">
        <f t="shared" si="3"/>
        <v>13144</v>
      </c>
      <c r="N27" s="190">
        <f>+N26+Rates!F$199</f>
        <v>27.699999999999992</v>
      </c>
      <c r="O27" s="190">
        <f>+O26+Rates!G$199</f>
        <v>30.650000000000013</v>
      </c>
      <c r="P27" s="253">
        <f t="shared" si="0"/>
        <v>364088.7999999999</v>
      </c>
      <c r="Q27" s="259">
        <f t="shared" si="1"/>
        <v>402863.60000000015</v>
      </c>
      <c r="R27" s="454">
        <f t="shared" si="2"/>
        <v>0.10649819494584915</v>
      </c>
      <c r="S27" s="30"/>
      <c r="U27" s="29"/>
    </row>
    <row r="28" spans="2:22" ht="15">
      <c r="B28" s="5">
        <v>19000</v>
      </c>
      <c r="C28" s="481">
        <v>6328</v>
      </c>
      <c r="D28" s="104"/>
      <c r="G28" s="2" t="s">
        <v>65</v>
      </c>
      <c r="L28" s="479">
        <f t="shared" si="4"/>
        <v>14000</v>
      </c>
      <c r="M28" s="237">
        <f t="shared" si="3"/>
        <v>11227</v>
      </c>
      <c r="N28" s="190">
        <f>+N27+Rates!F$199</f>
        <v>28.89999999999999</v>
      </c>
      <c r="O28" s="190">
        <f>+O27+Rates!G$199</f>
        <v>32.000000000000014</v>
      </c>
      <c r="P28" s="253">
        <f t="shared" si="0"/>
        <v>324460.29999999993</v>
      </c>
      <c r="Q28" s="259">
        <f t="shared" si="1"/>
        <v>359264.0000000002</v>
      </c>
      <c r="R28" s="454">
        <f t="shared" si="2"/>
        <v>0.10726643598616</v>
      </c>
      <c r="S28" s="30"/>
      <c r="U28" s="29"/>
      <c r="V28" s="30"/>
    </row>
    <row r="29" spans="2:21" ht="15">
      <c r="B29" s="5">
        <v>20000</v>
      </c>
      <c r="C29" s="481">
        <v>23162</v>
      </c>
      <c r="D29" s="104"/>
      <c r="G29" s="2" t="s">
        <v>65</v>
      </c>
      <c r="L29" s="479">
        <f t="shared" si="4"/>
        <v>15000</v>
      </c>
      <c r="M29" s="237">
        <f t="shared" si="3"/>
        <v>24965</v>
      </c>
      <c r="N29" s="190">
        <f>+N28+Rates!F$199</f>
        <v>30.09999999999999</v>
      </c>
      <c r="O29" s="190">
        <f>+O28+Rates!G$199</f>
        <v>33.350000000000016</v>
      </c>
      <c r="P29" s="253">
        <f t="shared" si="0"/>
        <v>751446.4999999998</v>
      </c>
      <c r="Q29" s="259">
        <f t="shared" si="1"/>
        <v>832582.7500000003</v>
      </c>
      <c r="R29" s="454">
        <f t="shared" si="2"/>
        <v>0.10797342192691116</v>
      </c>
      <c r="S29" s="30"/>
      <c r="U29" s="29"/>
    </row>
    <row r="30" spans="2:21" ht="15">
      <c r="B30" s="5">
        <v>21000</v>
      </c>
      <c r="C30" s="481">
        <v>5395</v>
      </c>
      <c r="D30" s="104"/>
      <c r="G30" s="2" t="s">
        <v>65</v>
      </c>
      <c r="K30" s="4"/>
      <c r="L30" s="479">
        <f t="shared" si="4"/>
        <v>16000</v>
      </c>
      <c r="M30" s="237">
        <f t="shared" si="3"/>
        <v>9319</v>
      </c>
      <c r="N30" s="190">
        <f>+N29+Rates!F$199</f>
        <v>31.29999999999999</v>
      </c>
      <c r="O30" s="190">
        <f>+O29+Rates!G$199</f>
        <v>34.70000000000002</v>
      </c>
      <c r="P30" s="253">
        <f t="shared" si="0"/>
        <v>291684.6999999999</v>
      </c>
      <c r="Q30" s="259">
        <f t="shared" si="1"/>
        <v>323369.30000000016</v>
      </c>
      <c r="R30" s="454">
        <f t="shared" si="2"/>
        <v>0.10862619808306799</v>
      </c>
      <c r="S30" s="30"/>
      <c r="U30" s="29"/>
    </row>
    <row r="31" spans="2:22" ht="15">
      <c r="B31" s="5">
        <v>22000</v>
      </c>
      <c r="C31" s="481">
        <v>6199</v>
      </c>
      <c r="D31" s="104"/>
      <c r="G31" s="2" t="s">
        <v>65</v>
      </c>
      <c r="K31" s="5"/>
      <c r="L31" s="479">
        <f t="shared" si="4"/>
        <v>17000</v>
      </c>
      <c r="M31" s="237">
        <f t="shared" si="3"/>
        <v>8146</v>
      </c>
      <c r="N31" s="190">
        <f>+N30+Rates!F$199</f>
        <v>32.49999999999999</v>
      </c>
      <c r="O31" s="190">
        <f>+O30+Rates!G$199</f>
        <v>36.05000000000002</v>
      </c>
      <c r="P31" s="253">
        <f t="shared" si="0"/>
        <v>264744.99999999994</v>
      </c>
      <c r="Q31" s="259">
        <f t="shared" si="1"/>
        <v>293663.30000000016</v>
      </c>
      <c r="R31" s="454">
        <f t="shared" si="2"/>
        <v>0.10923076923077005</v>
      </c>
      <c r="S31" s="30"/>
      <c r="U31" s="29"/>
      <c r="V31" s="30"/>
    </row>
    <row r="32" spans="2:21" ht="15">
      <c r="B32" s="5">
        <v>23000</v>
      </c>
      <c r="C32" s="481">
        <v>5593</v>
      </c>
      <c r="D32" s="104"/>
      <c r="G32" s="2" t="s">
        <v>65</v>
      </c>
      <c r="H32" s="4"/>
      <c r="I32" s="4"/>
      <c r="J32" s="4"/>
      <c r="L32" s="479">
        <f t="shared" si="4"/>
        <v>18000</v>
      </c>
      <c r="M32" s="237">
        <f t="shared" si="3"/>
        <v>9320</v>
      </c>
      <c r="N32" s="190">
        <f>+N31+Rates!F$199</f>
        <v>33.699999999999996</v>
      </c>
      <c r="O32" s="190">
        <f>+O31+Rates!G$199</f>
        <v>37.40000000000002</v>
      </c>
      <c r="P32" s="253">
        <f t="shared" si="0"/>
        <v>314083.99999999994</v>
      </c>
      <c r="Q32" s="259">
        <f t="shared" si="1"/>
        <v>348568.0000000002</v>
      </c>
      <c r="R32" s="454">
        <f t="shared" si="2"/>
        <v>0.10979228486646957</v>
      </c>
      <c r="S32" s="30"/>
      <c r="U32" s="29"/>
    </row>
    <row r="33" spans="2:21" ht="15">
      <c r="B33" s="5">
        <v>24000</v>
      </c>
      <c r="C33" s="481">
        <v>6031</v>
      </c>
      <c r="D33" s="104"/>
      <c r="G33" s="2" t="s">
        <v>65</v>
      </c>
      <c r="K33" s="4"/>
      <c r="L33" s="479">
        <f t="shared" si="4"/>
        <v>19000</v>
      </c>
      <c r="M33" s="237">
        <f t="shared" si="3"/>
        <v>6328</v>
      </c>
      <c r="N33" s="190">
        <f>+N32+Rates!F$199</f>
        <v>34.9</v>
      </c>
      <c r="O33" s="190">
        <f>+O32+Rates!G$199</f>
        <v>38.75000000000002</v>
      </c>
      <c r="P33" s="253">
        <f t="shared" si="0"/>
        <v>220847.19999999998</v>
      </c>
      <c r="Q33" s="259">
        <f t="shared" si="1"/>
        <v>245210.00000000015</v>
      </c>
      <c r="R33" s="454">
        <f t="shared" si="2"/>
        <v>0.11031518624641899</v>
      </c>
      <c r="S33" s="30"/>
      <c r="U33" s="29"/>
    </row>
    <row r="34" spans="2:21" ht="15">
      <c r="B34" s="5">
        <v>25000</v>
      </c>
      <c r="C34" s="481">
        <v>80839</v>
      </c>
      <c r="D34" s="104"/>
      <c r="F34" s="16"/>
      <c r="G34" s="2" t="s">
        <v>65</v>
      </c>
      <c r="L34" s="479">
        <f>(L33+1000)</f>
        <v>20000</v>
      </c>
      <c r="M34" s="237">
        <f t="shared" si="3"/>
        <v>23162</v>
      </c>
      <c r="N34" s="190">
        <f>+N33+Rates!F$199</f>
        <v>36.1</v>
      </c>
      <c r="O34" s="190">
        <f>+O33+Rates!G$199</f>
        <v>40.10000000000002</v>
      </c>
      <c r="P34" s="253">
        <f t="shared" si="0"/>
        <v>836148.2000000001</v>
      </c>
      <c r="Q34" s="259">
        <f t="shared" si="1"/>
        <v>928796.2000000005</v>
      </c>
      <c r="R34" s="454">
        <f t="shared" si="2"/>
        <v>0.11080332409972357</v>
      </c>
      <c r="S34" s="30"/>
      <c r="U34" s="29"/>
    </row>
    <row r="35" spans="3:21" ht="15">
      <c r="C35" s="476" t="s">
        <v>67</v>
      </c>
      <c r="D35" s="104"/>
      <c r="G35" s="2" t="s">
        <v>65</v>
      </c>
      <c r="L35" s="479">
        <f t="shared" si="4"/>
        <v>21000</v>
      </c>
      <c r="M35" s="237">
        <f t="shared" si="3"/>
        <v>5395</v>
      </c>
      <c r="N35" s="190">
        <f>+N34+Rates!F$199</f>
        <v>37.300000000000004</v>
      </c>
      <c r="O35" s="190">
        <f>+O34+Rates!G$199</f>
        <v>41.450000000000024</v>
      </c>
      <c r="P35" s="253">
        <f t="shared" si="0"/>
        <v>201233.50000000003</v>
      </c>
      <c r="Q35" s="259">
        <f t="shared" si="1"/>
        <v>223622.75000000012</v>
      </c>
      <c r="R35" s="454">
        <f t="shared" si="2"/>
        <v>0.11126005361930347</v>
      </c>
      <c r="S35" s="30"/>
      <c r="U35" s="29"/>
    </row>
    <row r="36" spans="2:21" ht="15">
      <c r="B36" s="1" t="s">
        <v>105</v>
      </c>
      <c r="C36" s="481">
        <v>3208808</v>
      </c>
      <c r="D36" s="104"/>
      <c r="G36" s="2" t="s">
        <v>65</v>
      </c>
      <c r="L36" s="479">
        <f t="shared" si="4"/>
        <v>22000</v>
      </c>
      <c r="M36" s="237">
        <f t="shared" si="3"/>
        <v>6199</v>
      </c>
      <c r="N36" s="190">
        <f>+N35+Rates!F$199</f>
        <v>38.50000000000001</v>
      </c>
      <c r="O36" s="190">
        <f>+O35+Rates!G$199</f>
        <v>42.800000000000026</v>
      </c>
      <c r="P36" s="253">
        <f t="shared" si="0"/>
        <v>238661.50000000006</v>
      </c>
      <c r="Q36" s="259">
        <f t="shared" si="1"/>
        <v>265317.2000000002</v>
      </c>
      <c r="R36" s="454">
        <f t="shared" si="2"/>
        <v>0.11168831168831214</v>
      </c>
      <c r="S36" s="30"/>
      <c r="U36" s="29"/>
    </row>
    <row r="37" spans="3:21" ht="15">
      <c r="C37" s="97"/>
      <c r="D37" s="104"/>
      <c r="G37" s="2" t="s">
        <v>65</v>
      </c>
      <c r="L37" s="479">
        <f t="shared" si="4"/>
        <v>23000</v>
      </c>
      <c r="M37" s="237">
        <f t="shared" si="3"/>
        <v>5593</v>
      </c>
      <c r="N37" s="190">
        <f>+N36+Rates!F$199</f>
        <v>39.70000000000001</v>
      </c>
      <c r="O37" s="190">
        <f>+O36+Rates!G$199</f>
        <v>44.15000000000003</v>
      </c>
      <c r="P37" s="253">
        <f t="shared" si="0"/>
        <v>222042.10000000006</v>
      </c>
      <c r="Q37" s="259">
        <f t="shared" si="1"/>
        <v>246930.95000000016</v>
      </c>
      <c r="R37" s="454">
        <f t="shared" si="2"/>
        <v>0.11209068010075607</v>
      </c>
      <c r="S37" s="30"/>
      <c r="U37" s="29"/>
    </row>
    <row r="38" spans="2:21" ht="15">
      <c r="B38" s="1" t="s">
        <v>325</v>
      </c>
      <c r="C38" s="481">
        <v>464408</v>
      </c>
      <c r="D38" s="104"/>
      <c r="G38" s="2" t="s">
        <v>65</v>
      </c>
      <c r="L38" s="479">
        <f t="shared" si="4"/>
        <v>24000</v>
      </c>
      <c r="M38" s="237">
        <f t="shared" si="3"/>
        <v>6031</v>
      </c>
      <c r="N38" s="190">
        <f>+N37+Rates!F$199</f>
        <v>40.90000000000001</v>
      </c>
      <c r="O38" s="190">
        <f>+O37+Rates!G$199</f>
        <v>45.50000000000003</v>
      </c>
      <c r="P38" s="253">
        <f t="shared" si="0"/>
        <v>246667.90000000008</v>
      </c>
      <c r="Q38" s="259">
        <f t="shared" si="1"/>
        <v>274410.5000000002</v>
      </c>
      <c r="R38" s="454">
        <f t="shared" si="2"/>
        <v>0.11246943765281209</v>
      </c>
      <c r="S38" s="30"/>
      <c r="U38" s="29"/>
    </row>
    <row r="39" spans="3:21" ht="15">
      <c r="C39" s="104"/>
      <c r="D39" s="104"/>
      <c r="G39" s="2" t="s">
        <v>65</v>
      </c>
      <c r="L39" s="479">
        <f t="shared" si="4"/>
        <v>25000</v>
      </c>
      <c r="M39" s="237">
        <f t="shared" si="3"/>
        <v>80839</v>
      </c>
      <c r="N39" s="190">
        <f>+N38+Rates!F$199</f>
        <v>42.100000000000016</v>
      </c>
      <c r="O39" s="190">
        <f>+O38+Rates!G$199</f>
        <v>46.85000000000003</v>
      </c>
      <c r="P39" s="253">
        <f t="shared" si="0"/>
        <v>3403321.9000000013</v>
      </c>
      <c r="Q39" s="259">
        <f t="shared" si="1"/>
        <v>3787307.1500000022</v>
      </c>
      <c r="R39" s="454">
        <f t="shared" si="2"/>
        <v>0.11282660332541597</v>
      </c>
      <c r="S39" s="30"/>
      <c r="U39" s="29"/>
    </row>
    <row r="40" spans="2:21" ht="15">
      <c r="B40" s="1" t="s">
        <v>326</v>
      </c>
      <c r="C40" s="104"/>
      <c r="D40" s="104"/>
      <c r="G40" s="2" t="s">
        <v>65</v>
      </c>
      <c r="L40" s="479"/>
      <c r="M40" s="237"/>
      <c r="N40" s="190"/>
      <c r="O40" s="190"/>
      <c r="P40" s="209"/>
      <c r="Q40" s="438"/>
      <c r="R40" s="454"/>
      <c r="S40" s="30"/>
      <c r="U40" s="29"/>
    </row>
    <row r="41" spans="2:21" ht="15">
      <c r="B41" s="1" t="s">
        <v>327</v>
      </c>
      <c r="C41" s="481"/>
      <c r="D41" s="104"/>
      <c r="E41" s="586">
        <v>34144</v>
      </c>
      <c r="G41" s="2" t="s">
        <v>65</v>
      </c>
      <c r="L41" s="479" t="s">
        <v>105</v>
      </c>
      <c r="M41" s="237">
        <f>SUM(M13:M39)</f>
        <v>1979788</v>
      </c>
      <c r="N41" s="190"/>
      <c r="O41" s="190"/>
      <c r="P41" s="209">
        <f>SUM(P13:P39)</f>
        <v>34295443.5</v>
      </c>
      <c r="Q41" s="438">
        <f>SUM(Q13:Q39)</f>
        <v>37528624.150000006</v>
      </c>
      <c r="R41" s="454" t="s">
        <v>138</v>
      </c>
      <c r="S41" s="30"/>
      <c r="U41" s="29"/>
    </row>
    <row r="42" spans="2:21" ht="15">
      <c r="B42" s="1" t="s">
        <v>329</v>
      </c>
      <c r="C42" s="481"/>
      <c r="D42" s="104"/>
      <c r="E42" s="586">
        <v>0</v>
      </c>
      <c r="G42" s="2" t="s">
        <v>65</v>
      </c>
      <c r="L42" s="479"/>
      <c r="M42" s="237"/>
      <c r="N42" s="190"/>
      <c r="O42" s="190"/>
      <c r="P42" s="209"/>
      <c r="Q42" s="438"/>
      <c r="R42" s="454"/>
      <c r="S42" s="30"/>
      <c r="U42" s="29"/>
    </row>
    <row r="43" spans="2:18" ht="15">
      <c r="B43" s="76"/>
      <c r="C43" s="76"/>
      <c r="D43" s="76"/>
      <c r="E43" s="76"/>
      <c r="G43" s="2" t="s">
        <v>65</v>
      </c>
      <c r="L43" s="479" t="s">
        <v>330</v>
      </c>
      <c r="M43" s="403">
        <f>+J16</f>
        <v>34144</v>
      </c>
      <c r="N43" s="190">
        <f>+Rates!F202</f>
        <v>136.3411141049672</v>
      </c>
      <c r="O43" s="190">
        <f>+Rates!G202</f>
        <v>149.194584039643</v>
      </c>
      <c r="P43" s="253">
        <f>+N43*M43</f>
        <v>4655231</v>
      </c>
      <c r="Q43" s="259">
        <f>+O43*M43</f>
        <v>5094099.87744957</v>
      </c>
      <c r="R43" s="454">
        <f>(O43-N43)/N43</f>
        <v>0.09427435017715985</v>
      </c>
    </row>
    <row r="44" spans="2:18" ht="15">
      <c r="B44" s="76"/>
      <c r="C44" s="121"/>
      <c r="D44" s="76"/>
      <c r="E44" s="121"/>
      <c r="G44" s="2" t="s">
        <v>65</v>
      </c>
      <c r="L44" s="479"/>
      <c r="M44" s="237"/>
      <c r="N44" s="190"/>
      <c r="O44" s="190"/>
      <c r="P44" s="209"/>
      <c r="Q44" s="438"/>
      <c r="R44" s="454"/>
    </row>
    <row r="45" spans="2:18" ht="15">
      <c r="B45" s="76"/>
      <c r="C45" s="76"/>
      <c r="D45" s="76"/>
      <c r="E45" s="76"/>
      <c r="G45" s="2" t="s">
        <v>65</v>
      </c>
      <c r="L45" s="479" t="s">
        <v>331</v>
      </c>
      <c r="M45" s="237">
        <f>+C38</f>
        <v>464408</v>
      </c>
      <c r="N45" s="190">
        <f>+Rates!F203</f>
        <v>13.046758453773407</v>
      </c>
      <c r="O45" s="190">
        <f>+Rates!G203</f>
        <v>14.276733128921263</v>
      </c>
      <c r="P45" s="253">
        <f>+N45*M45</f>
        <v>6059019</v>
      </c>
      <c r="Q45" s="259">
        <f>+O45*M45</f>
        <v>6630229.078936066</v>
      </c>
      <c r="R45" s="454">
        <f>(O45-N45)/N45</f>
        <v>0.09427435017715996</v>
      </c>
    </row>
    <row r="46" spans="2:18" ht="15">
      <c r="B46" s="76"/>
      <c r="C46" s="76"/>
      <c r="D46" s="76"/>
      <c r="E46" s="76"/>
      <c r="G46" s="2" t="s">
        <v>65</v>
      </c>
      <c r="L46" s="479"/>
      <c r="M46" s="237"/>
      <c r="N46" s="190"/>
      <c r="O46" s="190"/>
      <c r="P46" s="209"/>
      <c r="Q46" s="438"/>
      <c r="R46" s="454"/>
    </row>
    <row r="47" spans="2:18" ht="15">
      <c r="B47" s="135"/>
      <c r="C47" s="76"/>
      <c r="D47" s="76"/>
      <c r="E47" s="76"/>
      <c r="G47" s="2" t="s">
        <v>65</v>
      </c>
      <c r="L47" s="479" t="s">
        <v>332</v>
      </c>
      <c r="M47" s="432">
        <f>+C7</f>
        <v>1229020</v>
      </c>
      <c r="N47" s="190">
        <f>+Rates!F201</f>
        <v>10</v>
      </c>
      <c r="O47" s="190">
        <f>+Rates!G201</f>
        <v>10.6</v>
      </c>
      <c r="P47" s="253">
        <f>+N47*M47</f>
        <v>12290200</v>
      </c>
      <c r="Q47" s="259">
        <f>+O47*M47</f>
        <v>13027612</v>
      </c>
      <c r="R47" s="454">
        <f>(O47-N47)/N47</f>
        <v>0.05999999999999996</v>
      </c>
    </row>
    <row r="48" spans="7:18" ht="15">
      <c r="G48" s="2" t="s">
        <v>65</v>
      </c>
      <c r="L48" s="479"/>
      <c r="M48" s="237"/>
      <c r="N48" s="190"/>
      <c r="O48" s="190"/>
      <c r="P48" s="209"/>
      <c r="Q48" s="438"/>
      <c r="R48" s="454" t="s">
        <v>138</v>
      </c>
    </row>
    <row r="49" spans="7:18" ht="15.75" customHeight="1">
      <c r="G49" s="2" t="s">
        <v>65</v>
      </c>
      <c r="L49" s="479" t="s">
        <v>118</v>
      </c>
      <c r="M49" s="237">
        <f>SUM(M47,M41,M43,M45)</f>
        <v>3707360</v>
      </c>
      <c r="N49" s="190"/>
      <c r="O49" s="190"/>
      <c r="P49" s="209">
        <f>SUM(P41:P47)</f>
        <v>57299893.5</v>
      </c>
      <c r="Q49" s="438">
        <f>SUM(Q41:Q47)</f>
        <v>62280565.10638564</v>
      </c>
      <c r="R49" s="454"/>
    </row>
    <row r="50" spans="7:18" ht="15">
      <c r="G50" s="2" t="s">
        <v>65</v>
      </c>
      <c r="L50" s="479"/>
      <c r="M50" s="236"/>
      <c r="N50" s="190"/>
      <c r="O50" s="190"/>
      <c r="P50" s="209"/>
      <c r="Q50" s="438"/>
      <c r="R50" s="454"/>
    </row>
    <row r="51" spans="12:18" ht="15.75" thickBot="1">
      <c r="L51" s="480"/>
      <c r="M51" s="238"/>
      <c r="N51" s="459"/>
      <c r="O51" s="459"/>
      <c r="P51" s="231"/>
      <c r="Q51" s="460"/>
      <c r="R51" s="461"/>
    </row>
    <row r="52" spans="12:18" ht="15.75" thickTop="1">
      <c r="L52" s="184" t="s">
        <v>691</v>
      </c>
      <c r="M52" s="199"/>
      <c r="N52" s="199"/>
      <c r="O52" s="199"/>
      <c r="P52" s="477"/>
      <c r="Q52" s="199"/>
      <c r="R52" s="200"/>
    </row>
    <row r="53" spans="12:29" ht="15.75" thickBot="1">
      <c r="L53" s="227"/>
      <c r="M53" s="197"/>
      <c r="N53" s="197"/>
      <c r="O53" s="197"/>
      <c r="P53" s="478"/>
      <c r="Q53" s="197"/>
      <c r="R53" s="198"/>
      <c r="S53" s="30"/>
      <c r="U53" s="29"/>
      <c r="AC53" s="2" t="s">
        <v>65</v>
      </c>
    </row>
    <row r="54" spans="16:29" ht="15.75" thickTop="1">
      <c r="P54" s="19"/>
      <c r="AC54" s="2" t="s">
        <v>65</v>
      </c>
    </row>
    <row r="59" ht="15">
      <c r="U59" s="29"/>
    </row>
    <row r="60" ht="15">
      <c r="U60" s="29"/>
    </row>
    <row r="61" spans="18:21" ht="15">
      <c r="R61" s="6"/>
      <c r="U61" s="29"/>
    </row>
    <row r="62" spans="16:18" ht="15">
      <c r="P62" s="30"/>
      <c r="R62" s="6"/>
    </row>
    <row r="63" spans="17:18" ht="15">
      <c r="Q63" s="30"/>
      <c r="R63" s="6"/>
    </row>
    <row r="65" spans="18:21" ht="15">
      <c r="R65" s="6"/>
      <c r="U65" s="29"/>
    </row>
    <row r="66" ht="15">
      <c r="U66" s="29"/>
    </row>
    <row r="67" ht="15">
      <c r="U67" s="29"/>
    </row>
    <row r="73" ht="15">
      <c r="S73" s="4"/>
    </row>
    <row r="74" ht="15">
      <c r="S74" s="2"/>
    </row>
    <row r="75" ht="15">
      <c r="S75" s="30"/>
    </row>
    <row r="76" ht="15">
      <c r="S76" s="30"/>
    </row>
    <row r="77" ht="15">
      <c r="S77" s="30"/>
    </row>
    <row r="79" ht="15">
      <c r="S79" s="30"/>
    </row>
    <row r="80" ht="15">
      <c r="S80" s="30"/>
    </row>
    <row r="81" ht="15">
      <c r="S81" s="30"/>
    </row>
    <row r="82" spans="1:19" ht="15">
      <c r="A82" s="30"/>
      <c r="S82" s="30"/>
    </row>
    <row r="83" spans="1:19" ht="15">
      <c r="A83" s="30"/>
      <c r="S83" s="30"/>
    </row>
    <row r="84" spans="1:19" ht="15">
      <c r="A84" s="30"/>
      <c r="S84" s="30"/>
    </row>
    <row r="85" spans="1:19" ht="15">
      <c r="A85" s="30"/>
      <c r="S85" s="30"/>
    </row>
    <row r="86" ht="15">
      <c r="A86" s="30"/>
    </row>
    <row r="87" ht="15">
      <c r="A87" s="30"/>
    </row>
    <row r="88" ht="15">
      <c r="A88" s="30"/>
    </row>
    <row r="89" spans="1:19" ht="15">
      <c r="A89" s="30"/>
      <c r="S89" s="30"/>
    </row>
    <row r="90" spans="1:19" ht="15">
      <c r="A90" s="30"/>
      <c r="S90" s="30"/>
    </row>
    <row r="91" spans="1:19" ht="15">
      <c r="A91" s="30"/>
      <c r="S91" s="30"/>
    </row>
    <row r="92" spans="1:19" ht="15">
      <c r="A92" s="30"/>
      <c r="S92" s="30"/>
    </row>
    <row r="93" spans="1:19" ht="15">
      <c r="A93" s="30"/>
      <c r="S93" s="30"/>
    </row>
    <row r="94" spans="1:19" ht="15">
      <c r="A94" s="30"/>
      <c r="S94" s="30"/>
    </row>
    <row r="95" spans="1:19" ht="15">
      <c r="A95" s="30"/>
      <c r="S95" s="30"/>
    </row>
    <row r="96" spans="1:19" ht="15">
      <c r="A96" s="30"/>
      <c r="S96" s="30"/>
    </row>
    <row r="97" ht="15">
      <c r="A97" s="30"/>
    </row>
    <row r="98" ht="15">
      <c r="A98" s="30"/>
    </row>
    <row r="99" spans="1:19" ht="15">
      <c r="A99" s="30"/>
      <c r="L99" s="5"/>
      <c r="M99" s="5"/>
      <c r="N99" s="29"/>
      <c r="O99" s="29"/>
      <c r="P99" s="5"/>
      <c r="Q99" s="5"/>
      <c r="R99" s="30"/>
      <c r="S99" s="30"/>
    </row>
    <row r="100" spans="1:19" ht="15">
      <c r="A100" s="30"/>
      <c r="L100" s="5"/>
      <c r="M100" s="5"/>
      <c r="N100" s="29"/>
      <c r="O100" s="29"/>
      <c r="P100" s="5"/>
      <c r="Q100" s="5"/>
      <c r="R100" s="30"/>
      <c r="S100" s="30"/>
    </row>
    <row r="101" spans="1:19" ht="15">
      <c r="A101" s="30"/>
      <c r="L101" s="5"/>
      <c r="M101" s="5"/>
      <c r="N101" s="29"/>
      <c r="O101" s="29"/>
      <c r="P101" s="5"/>
      <c r="Q101" s="5"/>
      <c r="R101" s="30"/>
      <c r="S101" s="30"/>
    </row>
  </sheetData>
  <mergeCells count="7">
    <mergeCell ref="N8:O8"/>
    <mergeCell ref="P8:Q8"/>
    <mergeCell ref="R8:R10"/>
    <mergeCell ref="B3:F3"/>
    <mergeCell ref="B4:F4"/>
    <mergeCell ref="L6:R6"/>
    <mergeCell ref="L7:R7"/>
  </mergeCells>
  <printOptions horizontalCentered="1"/>
  <pageMargins left="0.25" right="0.25" top="0.5" bottom="0.5" header="0.5" footer="0.5"/>
  <pageSetup fitToHeight="1" fitToWidth="1" horizontalDpi="600" verticalDpi="600" orientation="landscape" scale="7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M294"/>
  <sheetViews>
    <sheetView zoomScale="75" zoomScaleNormal="75" workbookViewId="0" topLeftCell="E1">
      <selection activeCell="M5" sqref="M5"/>
    </sheetView>
  </sheetViews>
  <sheetFormatPr defaultColWidth="12.421875" defaultRowHeight="12.75"/>
  <cols>
    <col min="1" max="1" width="11.8515625" style="1" customWidth="1"/>
    <col min="2" max="2" width="25.421875" style="1" customWidth="1"/>
    <col min="3" max="4" width="17.00390625" style="1" customWidth="1"/>
    <col min="5" max="6" width="6.8515625" style="1" customWidth="1"/>
    <col min="7" max="7" width="21.57421875" style="1" customWidth="1"/>
    <col min="8" max="13" width="15.8515625" style="1" customWidth="1"/>
    <col min="14" max="16384" width="12.421875" style="1" customWidth="1"/>
  </cols>
  <sheetData>
    <row r="1" spans="5:6" ht="15">
      <c r="E1" s="2"/>
      <c r="F1" s="2"/>
    </row>
    <row r="2" spans="4:8" ht="15">
      <c r="D2" s="9" t="s">
        <v>584</v>
      </c>
      <c r="E2" s="2"/>
      <c r="F2" s="2"/>
      <c r="G2" s="4"/>
      <c r="H2" s="4"/>
    </row>
    <row r="3" spans="2:6" ht="18">
      <c r="B3" s="771" t="s">
        <v>452</v>
      </c>
      <c r="C3" s="771"/>
      <c r="D3" s="771"/>
      <c r="E3" s="2"/>
      <c r="F3" s="2"/>
    </row>
    <row r="4" spans="2:13" ht="15.75">
      <c r="B4" s="772" t="s">
        <v>700</v>
      </c>
      <c r="C4" s="772"/>
      <c r="D4" s="772"/>
      <c r="E4" s="2"/>
      <c r="F4" s="2"/>
      <c r="M4" s="1" t="str">
        <f>WN</f>
        <v>February 2009</v>
      </c>
    </row>
    <row r="5" spans="5:6" ht="15.75" thickBot="1">
      <c r="E5" s="2"/>
      <c r="F5" s="2"/>
    </row>
    <row r="6" spans="3:13" ht="16.5" thickTop="1">
      <c r="C6" s="42" t="s">
        <v>423</v>
      </c>
      <c r="D6" s="42" t="s">
        <v>212</v>
      </c>
      <c r="E6" s="2"/>
      <c r="F6" s="2"/>
      <c r="G6" s="780" t="s">
        <v>452</v>
      </c>
      <c r="H6" s="781"/>
      <c r="I6" s="781"/>
      <c r="J6" s="781"/>
      <c r="K6" s="781"/>
      <c r="L6" s="781"/>
      <c r="M6" s="782"/>
    </row>
    <row r="7" spans="5:13" ht="15.75" thickBot="1">
      <c r="E7" s="2"/>
      <c r="F7" s="2"/>
      <c r="G7" s="783" t="str">
        <f>"Fiscal Year 2008 "</f>
        <v>Fiscal Year 2008 </v>
      </c>
      <c r="H7" s="784"/>
      <c r="I7" s="784"/>
      <c r="J7" s="784"/>
      <c r="K7" s="784"/>
      <c r="L7" s="784"/>
      <c r="M7" s="785"/>
    </row>
    <row r="8" spans="2:13" ht="15.75" thickTop="1">
      <c r="B8" s="1" t="s">
        <v>452</v>
      </c>
      <c r="C8" s="5">
        <v>2230320</v>
      </c>
      <c r="D8" s="5">
        <v>9309687</v>
      </c>
      <c r="E8" s="2"/>
      <c r="F8" s="2"/>
      <c r="G8" s="184"/>
      <c r="H8" s="575" t="s">
        <v>423</v>
      </c>
      <c r="I8" s="786" t="s">
        <v>234</v>
      </c>
      <c r="J8" s="770"/>
      <c r="K8" s="786" t="s">
        <v>528</v>
      </c>
      <c r="L8" s="787"/>
      <c r="M8" s="804" t="s">
        <v>209</v>
      </c>
    </row>
    <row r="9" spans="1:13" ht="15">
      <c r="A9" s="4"/>
      <c r="E9" s="2"/>
      <c r="F9" s="2"/>
      <c r="G9" s="187"/>
      <c r="H9" s="207"/>
      <c r="I9" s="72"/>
      <c r="J9" s="72"/>
      <c r="K9" s="207"/>
      <c r="L9" s="215"/>
      <c r="M9" s="805"/>
    </row>
    <row r="10" spans="2:13" ht="15.75" thickBot="1">
      <c r="B10" s="1" t="s">
        <v>574</v>
      </c>
      <c r="C10" s="5">
        <v>6413</v>
      </c>
      <c r="D10" s="123" t="s">
        <v>334</v>
      </c>
      <c r="E10" s="2"/>
      <c r="F10" s="2"/>
      <c r="G10" s="227"/>
      <c r="H10" s="293" t="str">
        <f>"FY "&amp;FY</f>
        <v>FY </v>
      </c>
      <c r="I10" s="295" t="s">
        <v>206</v>
      </c>
      <c r="J10" s="295" t="s">
        <v>683</v>
      </c>
      <c r="K10" s="296" t="s">
        <v>640</v>
      </c>
      <c r="L10" s="294" t="s">
        <v>683</v>
      </c>
      <c r="M10" s="806"/>
    </row>
    <row r="11" spans="3:13" ht="15.75" thickTop="1">
      <c r="C11" s="34"/>
      <c r="D11" s="34"/>
      <c r="E11" s="2"/>
      <c r="F11" s="2"/>
      <c r="G11" s="187"/>
      <c r="H11" s="468" t="s">
        <v>569</v>
      </c>
      <c r="I11" s="470" t="s">
        <v>585</v>
      </c>
      <c r="J11" s="470" t="s">
        <v>586</v>
      </c>
      <c r="K11" s="471" t="s">
        <v>587</v>
      </c>
      <c r="L11" s="469" t="s">
        <v>82</v>
      </c>
      <c r="M11" s="472" t="s">
        <v>83</v>
      </c>
    </row>
    <row r="12" spans="2:13" ht="15">
      <c r="B12" s="1" t="s">
        <v>494</v>
      </c>
      <c r="C12" s="5">
        <v>2236733</v>
      </c>
      <c r="D12" s="5">
        <v>9309687</v>
      </c>
      <c r="E12" s="2"/>
      <c r="F12" s="2"/>
      <c r="G12" s="187"/>
      <c r="H12" s="236"/>
      <c r="I12" s="36"/>
      <c r="J12" s="36"/>
      <c r="K12" s="208"/>
      <c r="L12" s="216"/>
      <c r="M12" s="189"/>
    </row>
    <row r="13" spans="2:13" ht="15">
      <c r="B13" s="36"/>
      <c r="C13" s="54"/>
      <c r="D13" s="54"/>
      <c r="E13" s="2"/>
      <c r="F13" s="2"/>
      <c r="G13" s="195" t="s">
        <v>452</v>
      </c>
      <c r="H13" s="237">
        <f>+C8</f>
        <v>2230320</v>
      </c>
      <c r="I13" s="453">
        <f>+Rates!F207</f>
        <v>4.3</v>
      </c>
      <c r="J13" s="453">
        <f>+Rates!G207</f>
        <v>4.5</v>
      </c>
      <c r="K13" s="253">
        <f>+I13*H13</f>
        <v>9590376</v>
      </c>
      <c r="L13" s="259">
        <f>+J13*H13</f>
        <v>10036440</v>
      </c>
      <c r="M13" s="474">
        <f>(J13-I13)/I13</f>
        <v>0.046511627906976785</v>
      </c>
    </row>
    <row r="14" spans="2:13" ht="15">
      <c r="B14" s="36"/>
      <c r="C14" s="36"/>
      <c r="D14" s="36"/>
      <c r="E14" s="2"/>
      <c r="F14" s="2"/>
      <c r="G14" s="187"/>
      <c r="H14" s="237"/>
      <c r="I14" s="453"/>
      <c r="J14" s="453"/>
      <c r="K14" s="209"/>
      <c r="L14" s="438"/>
      <c r="M14" s="405" t="s">
        <v>138</v>
      </c>
    </row>
    <row r="15" spans="2:13" ht="15.75" thickBot="1">
      <c r="B15" s="36"/>
      <c r="C15" s="36"/>
      <c r="D15" s="36"/>
      <c r="E15" s="2"/>
      <c r="F15" s="2"/>
      <c r="G15" s="177"/>
      <c r="H15" s="238"/>
      <c r="I15" s="459"/>
      <c r="J15" s="459"/>
      <c r="K15" s="231"/>
      <c r="L15" s="460"/>
      <c r="M15" s="461"/>
    </row>
    <row r="16" spans="2:13" ht="15.75" thickTop="1">
      <c r="B16" s="36"/>
      <c r="C16" s="36"/>
      <c r="D16" s="36"/>
      <c r="E16" s="2"/>
      <c r="F16" s="2"/>
      <c r="G16" s="230" t="s">
        <v>691</v>
      </c>
      <c r="H16" s="199"/>
      <c r="I16" s="199"/>
      <c r="J16" s="199"/>
      <c r="K16" s="199"/>
      <c r="L16" s="199"/>
      <c r="M16" s="200"/>
    </row>
    <row r="17" spans="2:13" ht="15.75" thickBot="1">
      <c r="B17" s="36"/>
      <c r="C17" s="36"/>
      <c r="D17" s="36"/>
      <c r="E17" s="2"/>
      <c r="F17" s="2"/>
      <c r="G17" s="227"/>
      <c r="H17" s="197"/>
      <c r="I17" s="197"/>
      <c r="J17" s="197"/>
      <c r="K17" s="197"/>
      <c r="L17" s="197"/>
      <c r="M17" s="198"/>
    </row>
    <row r="18" spans="2:6" ht="15.75" thickTop="1">
      <c r="B18" s="36"/>
      <c r="C18" s="36"/>
      <c r="D18" s="36"/>
      <c r="E18" s="2"/>
      <c r="F18" s="2"/>
    </row>
    <row r="19" spans="2:6" ht="15">
      <c r="B19" s="36"/>
      <c r="C19" s="36"/>
      <c r="D19" s="21"/>
      <c r="E19" s="2"/>
      <c r="F19" s="2"/>
    </row>
    <row r="20" spans="2:6" ht="15">
      <c r="B20" s="36"/>
      <c r="C20" s="36"/>
      <c r="D20" s="36"/>
      <c r="E20" s="2"/>
      <c r="F20" s="2"/>
    </row>
    <row r="21" spans="2:6" ht="15">
      <c r="B21" s="36"/>
      <c r="C21" s="36"/>
      <c r="D21" s="37"/>
      <c r="E21" s="2"/>
      <c r="F21" s="2"/>
    </row>
    <row r="22" spans="2:6" ht="15">
      <c r="B22" s="36"/>
      <c r="C22" s="36"/>
      <c r="D22" s="36"/>
      <c r="E22" s="2"/>
      <c r="F22" s="2"/>
    </row>
    <row r="23" spans="2:6" ht="15">
      <c r="B23" s="36"/>
      <c r="C23" s="36"/>
      <c r="D23" s="37"/>
      <c r="E23" s="2"/>
      <c r="F23" s="2"/>
    </row>
    <row r="24" spans="2:6" ht="15">
      <c r="B24" s="36"/>
      <c r="C24" s="36"/>
      <c r="D24" s="36"/>
      <c r="E24" s="2"/>
      <c r="F24" s="2"/>
    </row>
    <row r="25" spans="2:6" ht="15">
      <c r="B25" s="36"/>
      <c r="C25" s="36"/>
      <c r="D25" s="37"/>
      <c r="E25" s="2"/>
      <c r="F25" s="2"/>
    </row>
    <row r="26" spans="5:6" ht="15">
      <c r="E26" s="2"/>
      <c r="F26" s="2"/>
    </row>
    <row r="27" spans="4:6" ht="15">
      <c r="D27" s="5"/>
      <c r="E27" s="2"/>
      <c r="F27" s="2"/>
    </row>
    <row r="28" spans="4:6" ht="15">
      <c r="D28" s="4"/>
      <c r="E28" s="2"/>
      <c r="F28" s="2"/>
    </row>
    <row r="29" spans="4:6" ht="15">
      <c r="D29" s="36"/>
      <c r="E29" s="2"/>
      <c r="F29" s="2"/>
    </row>
    <row r="30" spans="4:6" ht="15">
      <c r="D30" s="36"/>
      <c r="E30" s="2"/>
      <c r="F30" s="2"/>
    </row>
    <row r="31" spans="4:6" ht="15">
      <c r="D31" s="37"/>
      <c r="E31" s="2"/>
      <c r="F31" s="2"/>
    </row>
    <row r="32" spans="5:6" ht="15">
      <c r="E32" s="2"/>
      <c r="F32" s="2"/>
    </row>
    <row r="33" spans="5:6" ht="15">
      <c r="E33" s="2"/>
      <c r="F33" s="2"/>
    </row>
    <row r="34" spans="5:6" ht="15">
      <c r="E34" s="2"/>
      <c r="F34" s="2"/>
    </row>
    <row r="35" spans="2:6" ht="15">
      <c r="B35" s="21"/>
      <c r="C35" s="21"/>
      <c r="D35" s="36"/>
      <c r="E35" s="2"/>
      <c r="F35" s="2"/>
    </row>
    <row r="36" spans="5:6" ht="15">
      <c r="E36" s="2"/>
      <c r="F36" s="2"/>
    </row>
    <row r="37" spans="5:6" ht="15">
      <c r="E37" s="2"/>
      <c r="F37" s="2"/>
    </row>
    <row r="38" spans="5:6" ht="15">
      <c r="E38" s="2"/>
      <c r="F38" s="2"/>
    </row>
    <row r="39" spans="5:6" ht="15">
      <c r="E39" s="2"/>
      <c r="F39" s="2"/>
    </row>
    <row r="40" spans="5:6" ht="15">
      <c r="E40" s="2"/>
      <c r="F40" s="2"/>
    </row>
    <row r="41" spans="5:6" ht="15">
      <c r="E41" s="2"/>
      <c r="F41" s="2"/>
    </row>
    <row r="42" spans="5:6" ht="15">
      <c r="E42" s="2"/>
      <c r="F42" s="2"/>
    </row>
    <row r="43" spans="5:6" ht="15">
      <c r="E43" s="2"/>
      <c r="F43" s="2"/>
    </row>
    <row r="44" spans="5:6" ht="15">
      <c r="E44" s="2"/>
      <c r="F44" s="2"/>
    </row>
    <row r="45" spans="5:6" ht="15">
      <c r="E45" s="2"/>
      <c r="F45" s="2"/>
    </row>
    <row r="46" spans="5:6" ht="15">
      <c r="E46" s="2"/>
      <c r="F46" s="2"/>
    </row>
    <row r="47" spans="5:6" ht="15">
      <c r="E47" s="2"/>
      <c r="F47" s="2"/>
    </row>
    <row r="48" ht="15">
      <c r="F48" s="2"/>
    </row>
    <row r="127" ht="15">
      <c r="C127" s="32" t="s">
        <v>91</v>
      </c>
    </row>
    <row r="128" ht="15">
      <c r="C128" s="32" t="s">
        <v>91</v>
      </c>
    </row>
    <row r="129" ht="15">
      <c r="C129" s="32" t="s">
        <v>91</v>
      </c>
    </row>
    <row r="130" ht="15">
      <c r="C130" s="32" t="s">
        <v>91</v>
      </c>
    </row>
    <row r="131" ht="15">
      <c r="C131" s="32" t="s">
        <v>91</v>
      </c>
    </row>
    <row r="132" ht="15">
      <c r="C132" s="32" t="s">
        <v>91</v>
      </c>
    </row>
    <row r="133" ht="15">
      <c r="C133" s="32" t="s">
        <v>91</v>
      </c>
    </row>
    <row r="134" ht="15">
      <c r="C134" s="32" t="s">
        <v>91</v>
      </c>
    </row>
    <row r="135" ht="15">
      <c r="C135" s="32" t="s">
        <v>91</v>
      </c>
    </row>
    <row r="136" ht="15">
      <c r="C136" s="32" t="s">
        <v>91</v>
      </c>
    </row>
    <row r="137" ht="15">
      <c r="C137" s="32" t="s">
        <v>91</v>
      </c>
    </row>
    <row r="138" ht="15">
      <c r="C138" s="32" t="s">
        <v>91</v>
      </c>
    </row>
    <row r="139" ht="15">
      <c r="C139" s="32" t="s">
        <v>91</v>
      </c>
    </row>
    <row r="140" ht="15">
      <c r="C140" s="32" t="s">
        <v>91</v>
      </c>
    </row>
    <row r="141" ht="15">
      <c r="C141" s="32" t="s">
        <v>91</v>
      </c>
    </row>
    <row r="142" ht="15">
      <c r="C142" s="32" t="s">
        <v>91</v>
      </c>
    </row>
    <row r="143" ht="15">
      <c r="C143" s="32" t="s">
        <v>91</v>
      </c>
    </row>
    <row r="144" ht="15">
      <c r="C144" s="32" t="s">
        <v>91</v>
      </c>
    </row>
    <row r="145" ht="15">
      <c r="C145" s="32" t="s">
        <v>91</v>
      </c>
    </row>
    <row r="146" ht="15">
      <c r="C146" s="32" t="s">
        <v>91</v>
      </c>
    </row>
    <row r="147" ht="15">
      <c r="C147" s="32" t="s">
        <v>91</v>
      </c>
    </row>
    <row r="148" ht="15">
      <c r="C148" s="32" t="s">
        <v>91</v>
      </c>
    </row>
    <row r="149" ht="15">
      <c r="C149" s="32" t="s">
        <v>91</v>
      </c>
    </row>
    <row r="150" ht="15">
      <c r="C150" s="32" t="s">
        <v>91</v>
      </c>
    </row>
    <row r="151" ht="15">
      <c r="C151" s="32" t="s">
        <v>91</v>
      </c>
    </row>
    <row r="152" ht="15">
      <c r="C152" s="32" t="s">
        <v>91</v>
      </c>
    </row>
    <row r="153" ht="15">
      <c r="C153" s="32" t="s">
        <v>91</v>
      </c>
    </row>
    <row r="154" ht="15">
      <c r="C154" s="32" t="s">
        <v>91</v>
      </c>
    </row>
    <row r="155" ht="15">
      <c r="C155" s="32" t="s">
        <v>91</v>
      </c>
    </row>
    <row r="156" ht="15">
      <c r="C156" s="32" t="s">
        <v>91</v>
      </c>
    </row>
    <row r="157" ht="15">
      <c r="C157" s="32" t="s">
        <v>91</v>
      </c>
    </row>
    <row r="158" ht="15">
      <c r="C158" s="32" t="s">
        <v>91</v>
      </c>
    </row>
    <row r="159" ht="15">
      <c r="C159" s="32" t="s">
        <v>91</v>
      </c>
    </row>
    <row r="160" ht="15">
      <c r="C160" s="32" t="s">
        <v>91</v>
      </c>
    </row>
    <row r="161" ht="15">
      <c r="C161" s="32" t="s">
        <v>91</v>
      </c>
    </row>
    <row r="162" ht="15">
      <c r="C162" s="32" t="s">
        <v>91</v>
      </c>
    </row>
    <row r="163" ht="15">
      <c r="C163" s="32" t="s">
        <v>91</v>
      </c>
    </row>
    <row r="164" ht="15">
      <c r="C164" s="32" t="s">
        <v>91</v>
      </c>
    </row>
    <row r="165" ht="15">
      <c r="C165" s="32" t="s">
        <v>91</v>
      </c>
    </row>
    <row r="166" ht="15">
      <c r="C166" s="32" t="s">
        <v>91</v>
      </c>
    </row>
    <row r="167" ht="15">
      <c r="C167" s="32" t="s">
        <v>91</v>
      </c>
    </row>
    <row r="168" ht="15">
      <c r="C168" s="32" t="s">
        <v>91</v>
      </c>
    </row>
    <row r="169" ht="15">
      <c r="C169" s="32" t="s">
        <v>91</v>
      </c>
    </row>
    <row r="170" ht="15">
      <c r="C170" s="32" t="s">
        <v>91</v>
      </c>
    </row>
    <row r="171" ht="15">
      <c r="C171" s="32" t="s">
        <v>91</v>
      </c>
    </row>
    <row r="172" ht="15">
      <c r="C172" s="32" t="s">
        <v>91</v>
      </c>
    </row>
    <row r="173" ht="15">
      <c r="C173" s="32" t="s">
        <v>91</v>
      </c>
    </row>
    <row r="174" ht="15">
      <c r="C174" s="32" t="s">
        <v>91</v>
      </c>
    </row>
    <row r="175" ht="15">
      <c r="C175" s="32" t="s">
        <v>91</v>
      </c>
    </row>
    <row r="176" ht="15">
      <c r="C176" s="32" t="s">
        <v>91</v>
      </c>
    </row>
    <row r="177" ht="15">
      <c r="C177" s="32" t="s">
        <v>91</v>
      </c>
    </row>
    <row r="178" ht="15">
      <c r="C178" s="32" t="s">
        <v>91</v>
      </c>
    </row>
    <row r="179" ht="15">
      <c r="C179" s="32" t="s">
        <v>91</v>
      </c>
    </row>
    <row r="180" ht="15">
      <c r="C180" s="32" t="s">
        <v>91</v>
      </c>
    </row>
    <row r="181" ht="15">
      <c r="C181" s="32" t="s">
        <v>91</v>
      </c>
    </row>
    <row r="182" ht="15">
      <c r="C182" s="32" t="s">
        <v>91</v>
      </c>
    </row>
    <row r="183" ht="15">
      <c r="C183" s="32" t="s">
        <v>91</v>
      </c>
    </row>
    <row r="184" ht="15">
      <c r="C184" s="32" t="s">
        <v>91</v>
      </c>
    </row>
    <row r="185" ht="15">
      <c r="C185" s="32" t="s">
        <v>91</v>
      </c>
    </row>
    <row r="186" ht="15">
      <c r="C186" s="32" t="s">
        <v>91</v>
      </c>
    </row>
    <row r="187" ht="15">
      <c r="C187" s="32" t="s">
        <v>91</v>
      </c>
    </row>
    <row r="188" ht="15">
      <c r="C188" s="32" t="s">
        <v>91</v>
      </c>
    </row>
    <row r="189" ht="15">
      <c r="C189" s="32" t="s">
        <v>91</v>
      </c>
    </row>
    <row r="190" ht="15">
      <c r="C190" s="32" t="s">
        <v>91</v>
      </c>
    </row>
    <row r="191" ht="15">
      <c r="C191" s="32" t="s">
        <v>91</v>
      </c>
    </row>
    <row r="192" ht="15">
      <c r="C192" s="32" t="s">
        <v>91</v>
      </c>
    </row>
    <row r="193" ht="15">
      <c r="C193" s="32" t="s">
        <v>91</v>
      </c>
    </row>
    <row r="194" ht="15">
      <c r="C194" s="32" t="s">
        <v>91</v>
      </c>
    </row>
    <row r="195" ht="15">
      <c r="C195" s="32" t="s">
        <v>91</v>
      </c>
    </row>
    <row r="196" ht="15">
      <c r="C196" s="32" t="s">
        <v>91</v>
      </c>
    </row>
    <row r="197" ht="15">
      <c r="C197" s="32" t="s">
        <v>91</v>
      </c>
    </row>
    <row r="198" ht="15">
      <c r="C198" s="32" t="s">
        <v>91</v>
      </c>
    </row>
    <row r="199" ht="15">
      <c r="C199" s="32" t="s">
        <v>91</v>
      </c>
    </row>
    <row r="200" ht="15">
      <c r="C200" s="32" t="s">
        <v>91</v>
      </c>
    </row>
    <row r="201" ht="15">
      <c r="C201" s="32" t="s">
        <v>91</v>
      </c>
    </row>
    <row r="202" ht="15">
      <c r="C202" s="32" t="s">
        <v>91</v>
      </c>
    </row>
    <row r="203" ht="15">
      <c r="C203" s="32" t="s">
        <v>91</v>
      </c>
    </row>
    <row r="204" ht="15">
      <c r="C204" s="32" t="s">
        <v>91</v>
      </c>
    </row>
    <row r="205" ht="15">
      <c r="C205" s="32" t="s">
        <v>91</v>
      </c>
    </row>
    <row r="206" ht="15">
      <c r="C206" s="32" t="s">
        <v>91</v>
      </c>
    </row>
    <row r="207" ht="15">
      <c r="C207" s="32" t="s">
        <v>91</v>
      </c>
    </row>
    <row r="208" ht="15">
      <c r="C208" s="32" t="s">
        <v>91</v>
      </c>
    </row>
    <row r="209" ht="15">
      <c r="C209" s="32" t="s">
        <v>91</v>
      </c>
    </row>
    <row r="210" ht="15">
      <c r="C210" s="32" t="s">
        <v>91</v>
      </c>
    </row>
    <row r="211" ht="15">
      <c r="C211" s="32" t="s">
        <v>91</v>
      </c>
    </row>
    <row r="212" ht="15">
      <c r="C212" s="32" t="s">
        <v>91</v>
      </c>
    </row>
    <row r="213" ht="15">
      <c r="C213" s="32" t="s">
        <v>91</v>
      </c>
    </row>
    <row r="214" ht="15">
      <c r="C214" s="32" t="s">
        <v>91</v>
      </c>
    </row>
    <row r="215" ht="15">
      <c r="C215" s="32" t="s">
        <v>91</v>
      </c>
    </row>
    <row r="216" ht="15">
      <c r="C216" s="32" t="s">
        <v>91</v>
      </c>
    </row>
    <row r="217" ht="15">
      <c r="C217" s="32" t="s">
        <v>91</v>
      </c>
    </row>
    <row r="218" ht="15">
      <c r="C218" s="32" t="s">
        <v>91</v>
      </c>
    </row>
    <row r="219" ht="15">
      <c r="C219" s="32" t="s">
        <v>91</v>
      </c>
    </row>
    <row r="220" ht="15">
      <c r="C220" s="32" t="s">
        <v>91</v>
      </c>
    </row>
    <row r="221" ht="15">
      <c r="C221" s="32" t="s">
        <v>91</v>
      </c>
    </row>
    <row r="222" ht="15">
      <c r="C222" s="32" t="s">
        <v>91</v>
      </c>
    </row>
    <row r="223" ht="15">
      <c r="C223" s="32" t="s">
        <v>91</v>
      </c>
    </row>
    <row r="224" ht="15">
      <c r="C224" s="32" t="s">
        <v>91</v>
      </c>
    </row>
    <row r="225" ht="15">
      <c r="C225" s="32" t="s">
        <v>91</v>
      </c>
    </row>
    <row r="226" ht="15">
      <c r="C226" s="32" t="s">
        <v>91</v>
      </c>
    </row>
    <row r="227" ht="15">
      <c r="C227" s="32" t="s">
        <v>91</v>
      </c>
    </row>
    <row r="228" ht="15">
      <c r="C228" s="32" t="s">
        <v>91</v>
      </c>
    </row>
    <row r="229" ht="15">
      <c r="C229" s="32" t="s">
        <v>91</v>
      </c>
    </row>
    <row r="230" ht="15">
      <c r="C230" s="32" t="s">
        <v>91</v>
      </c>
    </row>
    <row r="231" ht="15">
      <c r="C231" s="32" t="s">
        <v>91</v>
      </c>
    </row>
    <row r="232" ht="15">
      <c r="C232" s="32" t="s">
        <v>91</v>
      </c>
    </row>
    <row r="233" ht="15">
      <c r="C233" s="32" t="s">
        <v>91</v>
      </c>
    </row>
    <row r="234" ht="15">
      <c r="C234" s="32" t="s">
        <v>91</v>
      </c>
    </row>
    <row r="235" ht="15">
      <c r="C235" s="32" t="s">
        <v>91</v>
      </c>
    </row>
    <row r="236" ht="15">
      <c r="C236" s="32" t="s">
        <v>91</v>
      </c>
    </row>
    <row r="237" ht="15">
      <c r="C237" s="32" t="s">
        <v>91</v>
      </c>
    </row>
    <row r="238" ht="15">
      <c r="C238" s="32" t="s">
        <v>91</v>
      </c>
    </row>
    <row r="239" ht="15">
      <c r="C239" s="32" t="s">
        <v>91</v>
      </c>
    </row>
    <row r="240" ht="15">
      <c r="C240" s="32" t="s">
        <v>91</v>
      </c>
    </row>
    <row r="241" ht="15">
      <c r="C241" s="32" t="s">
        <v>91</v>
      </c>
    </row>
    <row r="242" ht="15">
      <c r="C242" s="32" t="s">
        <v>91</v>
      </c>
    </row>
    <row r="243" ht="15">
      <c r="C243" s="32" t="s">
        <v>91</v>
      </c>
    </row>
    <row r="244" ht="15">
      <c r="C244" s="32" t="s">
        <v>91</v>
      </c>
    </row>
    <row r="245" ht="15">
      <c r="C245" s="32" t="s">
        <v>91</v>
      </c>
    </row>
    <row r="246" ht="15">
      <c r="C246" s="32" t="s">
        <v>91</v>
      </c>
    </row>
    <row r="247" ht="15">
      <c r="C247" s="32" t="s">
        <v>91</v>
      </c>
    </row>
    <row r="248" ht="15">
      <c r="C248" s="32" t="s">
        <v>91</v>
      </c>
    </row>
    <row r="249" ht="15">
      <c r="C249" s="32" t="s">
        <v>91</v>
      </c>
    </row>
    <row r="250" ht="15">
      <c r="C250" s="32" t="s">
        <v>91</v>
      </c>
    </row>
    <row r="251" ht="15">
      <c r="C251" s="32" t="s">
        <v>91</v>
      </c>
    </row>
    <row r="252" ht="15">
      <c r="C252" s="32" t="s">
        <v>91</v>
      </c>
    </row>
    <row r="253" ht="15">
      <c r="C253" s="32" t="s">
        <v>91</v>
      </c>
    </row>
    <row r="254" ht="15">
      <c r="C254" s="32" t="s">
        <v>91</v>
      </c>
    </row>
    <row r="255" ht="15">
      <c r="C255" s="32" t="s">
        <v>91</v>
      </c>
    </row>
    <row r="256" ht="15">
      <c r="C256" s="32" t="s">
        <v>91</v>
      </c>
    </row>
    <row r="257" ht="15">
      <c r="C257" s="32" t="s">
        <v>91</v>
      </c>
    </row>
    <row r="258" ht="15">
      <c r="C258" s="32" t="s">
        <v>91</v>
      </c>
    </row>
    <row r="259" ht="15">
      <c r="C259" s="32" t="s">
        <v>91</v>
      </c>
    </row>
    <row r="260" ht="15">
      <c r="C260" s="32" t="s">
        <v>91</v>
      </c>
    </row>
    <row r="261" ht="15">
      <c r="C261" s="32" t="s">
        <v>91</v>
      </c>
    </row>
    <row r="262" ht="15">
      <c r="C262" s="32" t="s">
        <v>91</v>
      </c>
    </row>
    <row r="263" ht="15">
      <c r="C263" s="32" t="s">
        <v>91</v>
      </c>
    </row>
    <row r="264" ht="15">
      <c r="C264" s="32" t="s">
        <v>91</v>
      </c>
    </row>
    <row r="265" ht="15">
      <c r="C265" s="32" t="s">
        <v>91</v>
      </c>
    </row>
    <row r="266" ht="15">
      <c r="C266" s="32" t="s">
        <v>91</v>
      </c>
    </row>
    <row r="267" ht="15">
      <c r="C267" s="32" t="s">
        <v>91</v>
      </c>
    </row>
    <row r="268" ht="15">
      <c r="C268" s="32" t="s">
        <v>91</v>
      </c>
    </row>
    <row r="269" ht="15">
      <c r="C269" s="32" t="s">
        <v>91</v>
      </c>
    </row>
    <row r="270" ht="15">
      <c r="C270" s="32" t="s">
        <v>91</v>
      </c>
    </row>
    <row r="271" ht="15">
      <c r="C271" s="32" t="s">
        <v>91</v>
      </c>
    </row>
    <row r="272" ht="15">
      <c r="C272" s="32" t="s">
        <v>91</v>
      </c>
    </row>
    <row r="292" ht="15">
      <c r="A292" s="85"/>
    </row>
    <row r="293" ht="15">
      <c r="A293" s="85"/>
    </row>
    <row r="294" ht="15">
      <c r="A294" s="85"/>
    </row>
  </sheetData>
  <mergeCells count="7">
    <mergeCell ref="I8:J8"/>
    <mergeCell ref="K8:L8"/>
    <mergeCell ref="M8:M10"/>
    <mergeCell ref="B3:D3"/>
    <mergeCell ref="B4:D4"/>
    <mergeCell ref="G6:M6"/>
    <mergeCell ref="G7:M7"/>
  </mergeCells>
  <printOptions horizontalCentered="1"/>
  <pageMargins left="0.25" right="0.25" top="1.25" bottom="0.75" header="0.5" footer="0.5"/>
  <pageSetup fitToHeight="1" fitToWidth="1"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2:M98"/>
  <sheetViews>
    <sheetView zoomScale="70" zoomScaleNormal="70" workbookViewId="0" topLeftCell="A1">
      <selection activeCell="D38" sqref="D38"/>
    </sheetView>
  </sheetViews>
  <sheetFormatPr defaultColWidth="12.421875" defaultRowHeight="12.75"/>
  <cols>
    <col min="1" max="1" width="11.8515625" style="1" customWidth="1"/>
    <col min="2" max="2" width="32.7109375" style="36" customWidth="1"/>
    <col min="3" max="4" width="20.00390625" style="36" customWidth="1"/>
    <col min="5" max="5" width="8.8515625" style="1" customWidth="1"/>
    <col min="6" max="6" width="33.00390625" style="1" customWidth="1"/>
    <col min="7" max="9" width="14.57421875" style="1" customWidth="1"/>
    <col min="10" max="11" width="16.28125" style="1" customWidth="1"/>
    <col min="12" max="12" width="14.57421875" style="1" customWidth="1"/>
    <col min="13" max="13" width="17.57421875" style="1" customWidth="1"/>
    <col min="14" max="16384" width="12.421875" style="1" customWidth="1"/>
  </cols>
  <sheetData>
    <row r="2" spans="2:7" ht="15">
      <c r="B2" s="1"/>
      <c r="C2" s="1"/>
      <c r="D2" s="9" t="s">
        <v>590</v>
      </c>
      <c r="F2" s="4"/>
      <c r="G2" s="4"/>
    </row>
    <row r="3" spans="2:4" ht="18">
      <c r="B3" s="771" t="s">
        <v>61</v>
      </c>
      <c r="C3" s="771"/>
      <c r="D3" s="771"/>
    </row>
    <row r="4" spans="2:12" ht="15.75">
      <c r="B4" s="772" t="s">
        <v>700</v>
      </c>
      <c r="C4" s="772"/>
      <c r="D4" s="772"/>
      <c r="L4" s="1" t="str">
        <f>WN</f>
        <v>February 2009</v>
      </c>
    </row>
    <row r="5" spans="2:4" ht="15.75" thickBot="1">
      <c r="B5" s="1"/>
      <c r="C5" s="1"/>
      <c r="D5" s="1"/>
    </row>
    <row r="6" spans="2:12" ht="16.5" thickTop="1">
      <c r="B6" s="42" t="s">
        <v>649</v>
      </c>
      <c r="C6" s="42" t="s">
        <v>423</v>
      </c>
      <c r="D6" s="42" t="s">
        <v>212</v>
      </c>
      <c r="F6" s="780" t="s">
        <v>452</v>
      </c>
      <c r="G6" s="781"/>
      <c r="H6" s="781"/>
      <c r="I6" s="781"/>
      <c r="J6" s="781"/>
      <c r="K6" s="781"/>
      <c r="L6" s="782"/>
    </row>
    <row r="7" spans="2:12" ht="15.75" thickBot="1">
      <c r="B7" s="1"/>
      <c r="C7" s="1"/>
      <c r="D7" s="1"/>
      <c r="F7" s="783" t="str">
        <f>"Fiscal Year 2008 "</f>
        <v>Fiscal Year 2008 </v>
      </c>
      <c r="G7" s="784"/>
      <c r="H7" s="784"/>
      <c r="I7" s="784"/>
      <c r="J7" s="784"/>
      <c r="K7" s="784"/>
      <c r="L7" s="785"/>
    </row>
    <row r="8" spans="2:12" ht="15.75" thickTop="1">
      <c r="B8" s="1" t="s">
        <v>30</v>
      </c>
      <c r="C8" s="53"/>
      <c r="D8" s="53"/>
      <c r="F8" s="184"/>
      <c r="G8" s="575" t="s">
        <v>423</v>
      </c>
      <c r="H8" s="786" t="s">
        <v>234</v>
      </c>
      <c r="I8" s="770"/>
      <c r="J8" s="786" t="s">
        <v>528</v>
      </c>
      <c r="K8" s="787"/>
      <c r="L8" s="804" t="s">
        <v>233</v>
      </c>
    </row>
    <row r="9" spans="2:12" ht="15">
      <c r="B9" s="1" t="s">
        <v>148</v>
      </c>
      <c r="C9" s="53"/>
      <c r="D9" s="53"/>
      <c r="F9" s="187"/>
      <c r="G9" s="207"/>
      <c r="H9" s="72"/>
      <c r="I9" s="72"/>
      <c r="J9" s="207"/>
      <c r="K9" s="215"/>
      <c r="L9" s="805"/>
    </row>
    <row r="10" spans="2:12" ht="15.75" thickBot="1">
      <c r="B10" s="1" t="s">
        <v>147</v>
      </c>
      <c r="C10" s="8">
        <v>186537465.7990108</v>
      </c>
      <c r="D10" s="8">
        <v>404596642.0494366</v>
      </c>
      <c r="F10" s="227"/>
      <c r="G10" s="293" t="str">
        <f>"FY "&amp;FY&amp;" 1/"</f>
        <v>FY  1/</v>
      </c>
      <c r="H10" s="295" t="s">
        <v>206</v>
      </c>
      <c r="I10" s="295" t="s">
        <v>683</v>
      </c>
      <c r="J10" s="296" t="s">
        <v>640</v>
      </c>
      <c r="K10" s="294" t="s">
        <v>683</v>
      </c>
      <c r="L10" s="806"/>
    </row>
    <row r="11" spans="2:12" ht="15.75" thickTop="1">
      <c r="B11" s="1" t="s">
        <v>752</v>
      </c>
      <c r="C11" s="8">
        <v>8740974</v>
      </c>
      <c r="D11" s="8">
        <v>7964224.196305782</v>
      </c>
      <c r="F11" s="184"/>
      <c r="G11" s="468" t="s">
        <v>78</v>
      </c>
      <c r="H11" s="470" t="s">
        <v>79</v>
      </c>
      <c r="I11" s="470" t="s">
        <v>80</v>
      </c>
      <c r="J11" s="471" t="s">
        <v>81</v>
      </c>
      <c r="K11" s="469" t="s">
        <v>82</v>
      </c>
      <c r="L11" s="472" t="s">
        <v>83</v>
      </c>
    </row>
    <row r="12" spans="2:12" ht="15">
      <c r="B12" s="36" t="s">
        <v>441</v>
      </c>
      <c r="C12" s="84">
        <v>32075769</v>
      </c>
      <c r="D12" s="84">
        <v>128104208</v>
      </c>
      <c r="F12" s="187" t="s">
        <v>30</v>
      </c>
      <c r="G12" s="236"/>
      <c r="H12" s="36"/>
      <c r="I12" s="36"/>
      <c r="J12" s="208"/>
      <c r="K12" s="216"/>
      <c r="L12" s="189"/>
    </row>
    <row r="13" spans="2:12" ht="15">
      <c r="B13" s="1" t="s">
        <v>335</v>
      </c>
      <c r="C13" s="8">
        <v>227354208.7990108</v>
      </c>
      <c r="D13" s="8">
        <v>540665074.2457424</v>
      </c>
      <c r="F13" s="195" t="s">
        <v>148</v>
      </c>
      <c r="G13" s="237"/>
      <c r="H13" s="453"/>
      <c r="I13" s="453"/>
      <c r="J13" s="209"/>
      <c r="K13" s="438"/>
      <c r="L13" s="474"/>
    </row>
    <row r="14" spans="2:12" ht="15">
      <c r="B14" s="1"/>
      <c r="C14" s="8"/>
      <c r="D14" s="8"/>
      <c r="F14" s="187" t="s">
        <v>147</v>
      </c>
      <c r="G14" s="237">
        <f>+C10</f>
        <v>186537465.7990108</v>
      </c>
      <c r="H14" s="190">
        <f>+Rates!F212</f>
        <v>2.2</v>
      </c>
      <c r="I14" s="190">
        <f>+Rates!G212</f>
        <v>2.3</v>
      </c>
      <c r="J14" s="253">
        <f>+H14*G14</f>
        <v>410382424.7578238</v>
      </c>
      <c r="K14" s="259">
        <f>+I14*G14</f>
        <v>429036171.33772486</v>
      </c>
      <c r="L14" s="191">
        <f>(I14-H14)/H14</f>
        <v>0.04545454545454529</v>
      </c>
    </row>
    <row r="15" spans="2:12" ht="15">
      <c r="B15" s="1" t="s">
        <v>32</v>
      </c>
      <c r="C15" s="8"/>
      <c r="D15" s="8"/>
      <c r="F15" s="187" t="s">
        <v>752</v>
      </c>
      <c r="G15" s="487">
        <f>+C11</f>
        <v>8740974</v>
      </c>
      <c r="H15" s="490">
        <f>+Rates!F211</f>
        <v>1</v>
      </c>
      <c r="I15" s="490">
        <f>+Rates!G211</f>
        <v>1.1</v>
      </c>
      <c r="J15" s="253">
        <f>+H15*G15</f>
        <v>8740974</v>
      </c>
      <c r="K15" s="259">
        <f>+I15*G15</f>
        <v>9615071.4</v>
      </c>
      <c r="L15" s="191">
        <f>(I15-H15)/H15</f>
        <v>0.10000000000000009</v>
      </c>
    </row>
    <row r="16" spans="2:13" ht="15">
      <c r="B16" s="1" t="s">
        <v>148</v>
      </c>
      <c r="C16" s="8"/>
      <c r="D16" s="8"/>
      <c r="F16" s="187" t="s">
        <v>441</v>
      </c>
      <c r="G16" s="488">
        <f>+C12</f>
        <v>32075769</v>
      </c>
      <c r="H16" s="483">
        <f>+Rates!F214</f>
        <v>4.35</v>
      </c>
      <c r="I16" s="483">
        <f>+Rates!G214</f>
        <v>4.6</v>
      </c>
      <c r="J16" s="253">
        <f>+H16*G16</f>
        <v>139529595.14999998</v>
      </c>
      <c r="K16" s="259">
        <f>+I16*G16</f>
        <v>147548537.39999998</v>
      </c>
      <c r="L16" s="191">
        <f>(I16-H16)/H16</f>
        <v>0.0574712643678161</v>
      </c>
      <c r="M16" s="1" t="s">
        <v>138</v>
      </c>
    </row>
    <row r="17" spans="2:12" ht="15">
      <c r="B17" s="1" t="s">
        <v>147</v>
      </c>
      <c r="C17" s="8">
        <v>478683.7612773342</v>
      </c>
      <c r="D17" s="8">
        <v>1038257.068556308</v>
      </c>
      <c r="F17" s="187" t="s">
        <v>335</v>
      </c>
      <c r="G17" s="489">
        <f>+C13</f>
        <v>227354208.7990108</v>
      </c>
      <c r="H17" s="483"/>
      <c r="I17" s="484"/>
      <c r="J17" s="486">
        <f>SUM(J14:J16)</f>
        <v>558652993.9078238</v>
      </c>
      <c r="K17" s="367">
        <f>SUM(K14:K16)</f>
        <v>586199780.1377249</v>
      </c>
      <c r="L17" s="191"/>
    </row>
    <row r="18" spans="2:12" ht="15">
      <c r="B18" s="1" t="s">
        <v>752</v>
      </c>
      <c r="C18" s="8">
        <v>45211</v>
      </c>
      <c r="D18" s="8">
        <v>41193.41164259048</v>
      </c>
      <c r="F18" s="187"/>
      <c r="G18" s="487"/>
      <c r="H18" s="483"/>
      <c r="I18" s="484"/>
      <c r="J18" s="209"/>
      <c r="K18" s="219"/>
      <c r="L18" s="191"/>
    </row>
    <row r="19" spans="2:12" ht="15">
      <c r="B19" s="36" t="s">
        <v>441</v>
      </c>
      <c r="C19" s="84">
        <v>63056</v>
      </c>
      <c r="D19" s="84">
        <v>249685</v>
      </c>
      <c r="F19" s="187" t="s">
        <v>32</v>
      </c>
      <c r="G19" s="415"/>
      <c r="H19" s="379"/>
      <c r="I19" s="379"/>
      <c r="J19" s="209"/>
      <c r="K19" s="217"/>
      <c r="L19" s="191"/>
    </row>
    <row r="20" spans="2:12" ht="15">
      <c r="B20" s="1" t="s">
        <v>336</v>
      </c>
      <c r="C20" s="8">
        <v>586950.7612773342</v>
      </c>
      <c r="D20" s="8">
        <v>1329135.4801988986</v>
      </c>
      <c r="F20" s="187" t="s">
        <v>148</v>
      </c>
      <c r="G20" s="415"/>
      <c r="H20" s="379"/>
      <c r="I20" s="379"/>
      <c r="J20" s="209"/>
      <c r="K20" s="217"/>
      <c r="L20" s="191"/>
    </row>
    <row r="21" spans="2:12" ht="15">
      <c r="B21" s="1"/>
      <c r="C21" s="8"/>
      <c r="D21" s="8"/>
      <c r="F21" s="187" t="s">
        <v>147</v>
      </c>
      <c r="G21" s="487">
        <f>+C17</f>
        <v>478683.7612773342</v>
      </c>
      <c r="H21" s="379">
        <f aca="true" t="shared" si="0" ref="H21:I23">+H14</f>
        <v>2.2</v>
      </c>
      <c r="I21" s="379">
        <f t="shared" si="0"/>
        <v>2.3</v>
      </c>
      <c r="J21" s="253">
        <f>+H21*G21</f>
        <v>1053104.2748101354</v>
      </c>
      <c r="K21" s="259">
        <f>+I21*G21</f>
        <v>1100972.6509378685</v>
      </c>
      <c r="L21" s="191">
        <f>(I21-H21)/H21</f>
        <v>0.04545454545454529</v>
      </c>
    </row>
    <row r="22" spans="2:12" ht="15">
      <c r="B22" s="1" t="s">
        <v>588</v>
      </c>
      <c r="C22" s="8"/>
      <c r="D22" s="8"/>
      <c r="F22" s="187" t="s">
        <v>752</v>
      </c>
      <c r="G22" s="487">
        <f>+C18</f>
        <v>45211</v>
      </c>
      <c r="H22" s="379">
        <f t="shared" si="0"/>
        <v>1</v>
      </c>
      <c r="I22" s="379">
        <f t="shared" si="0"/>
        <v>1.1</v>
      </c>
      <c r="J22" s="253">
        <f>+H22*G22</f>
        <v>45211</v>
      </c>
      <c r="K22" s="259">
        <f>+I22*G22</f>
        <v>49732.100000000006</v>
      </c>
      <c r="L22" s="191">
        <f>(I22-H22)/H22</f>
        <v>0.10000000000000009</v>
      </c>
    </row>
    <row r="23" spans="2:12" ht="15">
      <c r="B23" s="1" t="s">
        <v>148</v>
      </c>
      <c r="C23" s="8"/>
      <c r="D23" s="8"/>
      <c r="E23" s="114"/>
      <c r="F23" s="187" t="s">
        <v>441</v>
      </c>
      <c r="G23" s="488">
        <f>+C19</f>
        <v>63056</v>
      </c>
      <c r="H23" s="379">
        <f t="shared" si="0"/>
        <v>4.35</v>
      </c>
      <c r="I23" s="379">
        <f t="shared" si="0"/>
        <v>4.6</v>
      </c>
      <c r="J23" s="253">
        <f>+H23*G23</f>
        <v>274293.6</v>
      </c>
      <c r="K23" s="259">
        <f>+I23*G23</f>
        <v>290057.6</v>
      </c>
      <c r="L23" s="191">
        <f>(I23-H23)/H23</f>
        <v>0.0574712643678161</v>
      </c>
    </row>
    <row r="24" spans="2:12" ht="15">
      <c r="B24" s="1" t="s">
        <v>147</v>
      </c>
      <c r="C24" s="8">
        <v>489212.5948748202</v>
      </c>
      <c r="D24" s="8">
        <v>1061093.9324538272</v>
      </c>
      <c r="F24" s="187" t="s">
        <v>336</v>
      </c>
      <c r="G24" s="489">
        <f>+C20</f>
        <v>586950.7612773342</v>
      </c>
      <c r="H24" s="379"/>
      <c r="I24" s="379"/>
      <c r="J24" s="486">
        <f>SUM(J21:J23)</f>
        <v>1372608.8748101355</v>
      </c>
      <c r="K24" s="367">
        <f>SUM(K21:K23)</f>
        <v>1440762.3509378685</v>
      </c>
      <c r="L24" s="191"/>
    </row>
    <row r="25" spans="2:13" ht="15">
      <c r="B25" s="1" t="s">
        <v>752</v>
      </c>
      <c r="C25" s="8">
        <v>48461</v>
      </c>
      <c r="D25" s="8">
        <v>44154.606657927885</v>
      </c>
      <c r="E25" s="36"/>
      <c r="F25" s="187"/>
      <c r="G25" s="404"/>
      <c r="H25" s="36"/>
      <c r="I25" s="36"/>
      <c r="J25" s="208"/>
      <c r="K25" s="216"/>
      <c r="L25" s="362"/>
      <c r="M25" s="5"/>
    </row>
    <row r="26" spans="2:13" ht="15">
      <c r="B26" s="36" t="s">
        <v>441</v>
      </c>
      <c r="C26" s="84">
        <v>328541</v>
      </c>
      <c r="D26" s="84">
        <v>1320998</v>
      </c>
      <c r="F26" s="187" t="s">
        <v>588</v>
      </c>
      <c r="G26" s="236"/>
      <c r="H26" s="379"/>
      <c r="I26" s="379"/>
      <c r="J26" s="209"/>
      <c r="K26" s="217"/>
      <c r="L26" s="191"/>
      <c r="M26" s="5"/>
    </row>
    <row r="27" spans="2:13" ht="15">
      <c r="B27" s="1" t="s">
        <v>337</v>
      </c>
      <c r="C27" s="8">
        <v>866214.5948748202</v>
      </c>
      <c r="D27" s="8">
        <v>2426246.539111755</v>
      </c>
      <c r="F27" s="187" t="s">
        <v>148</v>
      </c>
      <c r="G27" s="236"/>
      <c r="H27" s="379"/>
      <c r="I27" s="379"/>
      <c r="J27" s="209"/>
      <c r="K27" s="217"/>
      <c r="L27" s="191"/>
      <c r="M27" s="5"/>
    </row>
    <row r="28" spans="2:13" ht="15">
      <c r="B28" s="1"/>
      <c r="C28" s="8"/>
      <c r="D28" s="8"/>
      <c r="F28" s="187" t="s">
        <v>147</v>
      </c>
      <c r="G28" s="487">
        <f>+C24</f>
        <v>489212.5948748202</v>
      </c>
      <c r="H28" s="485">
        <f aca="true" t="shared" si="1" ref="H28:I30">+H21</f>
        <v>2.2</v>
      </c>
      <c r="I28" s="485">
        <f t="shared" si="1"/>
        <v>2.3</v>
      </c>
      <c r="J28" s="253">
        <f>+H28*G28</f>
        <v>1076267.7087246045</v>
      </c>
      <c r="K28" s="259">
        <f>+I28*G28</f>
        <v>1125188.9682120865</v>
      </c>
      <c r="L28" s="191">
        <f>(I28-H28)/H28</f>
        <v>0.04545454545454529</v>
      </c>
      <c r="M28" s="5"/>
    </row>
    <row r="29" spans="2:13" ht="15">
      <c r="B29" s="1" t="s">
        <v>9</v>
      </c>
      <c r="C29" s="8"/>
      <c r="D29" s="8"/>
      <c r="F29" s="187" t="s">
        <v>752</v>
      </c>
      <c r="G29" s="487">
        <f>+C25</f>
        <v>48461.00000000001</v>
      </c>
      <c r="H29" s="485">
        <f t="shared" si="1"/>
        <v>1</v>
      </c>
      <c r="I29" s="485">
        <f t="shared" si="1"/>
        <v>1.1</v>
      </c>
      <c r="J29" s="253">
        <f>+H29*G29</f>
        <v>48461.00000000001</v>
      </c>
      <c r="K29" s="259">
        <f>+I29*G29</f>
        <v>53307.10000000001</v>
      </c>
      <c r="L29" s="191">
        <f>(I29-H29)/H29</f>
        <v>0.10000000000000009</v>
      </c>
      <c r="M29" s="5"/>
    </row>
    <row r="30" spans="2:13" ht="15">
      <c r="B30" s="1" t="s">
        <v>148</v>
      </c>
      <c r="C30" s="8"/>
      <c r="D30" s="8"/>
      <c r="F30" s="187" t="s">
        <v>441</v>
      </c>
      <c r="G30" s="488">
        <f>+C26</f>
        <v>328541</v>
      </c>
      <c r="H30" s="485">
        <f t="shared" si="1"/>
        <v>4.35</v>
      </c>
      <c r="I30" s="485">
        <f t="shared" si="1"/>
        <v>4.6</v>
      </c>
      <c r="J30" s="253">
        <f>+H30*G30</f>
        <v>1429153.3499999999</v>
      </c>
      <c r="K30" s="259">
        <f>+I30*G30</f>
        <v>1511288.5999999999</v>
      </c>
      <c r="L30" s="191">
        <f>(I30-H30)/H30</f>
        <v>0.0574712643678161</v>
      </c>
      <c r="M30" s="5"/>
    </row>
    <row r="31" spans="2:13" ht="15">
      <c r="B31" s="1" t="s">
        <v>147</v>
      </c>
      <c r="C31" s="8">
        <v>770.8448370252502</v>
      </c>
      <c r="D31" s="8">
        <v>1671.9495532206129</v>
      </c>
      <c r="F31" s="187" t="s">
        <v>337</v>
      </c>
      <c r="G31" s="489">
        <f>+C27</f>
        <v>866214.5948748202</v>
      </c>
      <c r="H31" s="379"/>
      <c r="I31" s="379"/>
      <c r="J31" s="486">
        <f>SUM(J28:J30)</f>
        <v>2553882.0587246045</v>
      </c>
      <c r="K31" s="367">
        <f>SUM(K28:K30)</f>
        <v>2689784.6682120864</v>
      </c>
      <c r="L31" s="191"/>
      <c r="M31" s="5"/>
    </row>
    <row r="32" spans="2:13" ht="15">
      <c r="B32" s="1" t="s">
        <v>752</v>
      </c>
      <c r="C32" s="8">
        <v>295</v>
      </c>
      <c r="D32" s="8">
        <v>268.78539369985606</v>
      </c>
      <c r="F32" s="187"/>
      <c r="G32" s="415"/>
      <c r="H32" s="379"/>
      <c r="I32" s="379"/>
      <c r="J32" s="209"/>
      <c r="K32" s="217"/>
      <c r="L32" s="191"/>
      <c r="M32" s="5"/>
    </row>
    <row r="33" spans="2:13" ht="15">
      <c r="B33" s="36" t="s">
        <v>441</v>
      </c>
      <c r="C33" s="84">
        <v>0</v>
      </c>
      <c r="D33" s="84">
        <v>0</v>
      </c>
      <c r="F33" s="187" t="s">
        <v>9</v>
      </c>
      <c r="G33" s="404"/>
      <c r="H33" s="379"/>
      <c r="I33" s="379"/>
      <c r="J33" s="299"/>
      <c r="K33" s="300"/>
      <c r="L33" s="191"/>
      <c r="M33" s="5"/>
    </row>
    <row r="34" spans="2:13" ht="15">
      <c r="B34" s="1" t="s">
        <v>338</v>
      </c>
      <c r="C34" s="8">
        <v>1065.8448370252502</v>
      </c>
      <c r="D34" s="8">
        <v>1940.734946920469</v>
      </c>
      <c r="F34" s="187" t="s">
        <v>148</v>
      </c>
      <c r="G34" s="237"/>
      <c r="H34" s="379"/>
      <c r="I34" s="379"/>
      <c r="J34" s="209"/>
      <c r="K34" s="217"/>
      <c r="L34" s="191"/>
      <c r="M34" s="5"/>
    </row>
    <row r="35" spans="3:13" ht="15">
      <c r="C35" s="8"/>
      <c r="D35" s="8"/>
      <c r="F35" s="187" t="s">
        <v>147</v>
      </c>
      <c r="G35" s="487">
        <f>+C31</f>
        <v>770.8448370252502</v>
      </c>
      <c r="H35" s="485">
        <f aca="true" t="shared" si="2" ref="H35:I37">+H28</f>
        <v>2.2</v>
      </c>
      <c r="I35" s="485">
        <f t="shared" si="2"/>
        <v>2.3</v>
      </c>
      <c r="J35" s="253">
        <f>+H35*G35</f>
        <v>1695.8586414555505</v>
      </c>
      <c r="K35" s="259">
        <f>+I35*G35</f>
        <v>1772.9431251580752</v>
      </c>
      <c r="L35" s="191">
        <f>(I35-H35)/H35</f>
        <v>0.04545454545454529</v>
      </c>
      <c r="M35" s="5"/>
    </row>
    <row r="36" spans="2:13" ht="15">
      <c r="B36" s="1" t="s">
        <v>149</v>
      </c>
      <c r="C36" s="8"/>
      <c r="D36" s="8"/>
      <c r="F36" s="187" t="s">
        <v>752</v>
      </c>
      <c r="G36" s="487">
        <f>+C32</f>
        <v>295</v>
      </c>
      <c r="H36" s="485">
        <f t="shared" si="2"/>
        <v>1</v>
      </c>
      <c r="I36" s="485">
        <f t="shared" si="2"/>
        <v>1.1</v>
      </c>
      <c r="J36" s="253">
        <f>+H36*G36</f>
        <v>295</v>
      </c>
      <c r="K36" s="259">
        <f>+I36*G36</f>
        <v>324.5</v>
      </c>
      <c r="L36" s="191">
        <f>(I36-H36)/H36</f>
        <v>0.10000000000000009</v>
      </c>
      <c r="M36" s="5"/>
    </row>
    <row r="37" spans="2:13" ht="15">
      <c r="B37" s="1" t="s">
        <v>659</v>
      </c>
      <c r="C37" s="74">
        <v>1456812</v>
      </c>
      <c r="D37" s="74">
        <v>5149795</v>
      </c>
      <c r="F37" s="187" t="s">
        <v>441</v>
      </c>
      <c r="G37" s="488">
        <f>+C33</f>
        <v>0</v>
      </c>
      <c r="H37" s="485">
        <f t="shared" si="2"/>
        <v>4.35</v>
      </c>
      <c r="I37" s="485">
        <f t="shared" si="2"/>
        <v>4.6</v>
      </c>
      <c r="J37" s="253">
        <f>+H37*G37</f>
        <v>0</v>
      </c>
      <c r="K37" s="259">
        <f>+I37*G37</f>
        <v>0</v>
      </c>
      <c r="L37" s="191">
        <f>(I37-H37)/H37</f>
        <v>0.0574712643678161</v>
      </c>
      <c r="M37" s="5"/>
    </row>
    <row r="38" spans="2:13" ht="15">
      <c r="B38" s="21"/>
      <c r="C38" s="8"/>
      <c r="D38" s="8"/>
      <c r="F38" s="187" t="s">
        <v>338</v>
      </c>
      <c r="G38" s="489">
        <f>+C34</f>
        <v>1065.8448370252502</v>
      </c>
      <c r="H38" s="379"/>
      <c r="I38" s="379"/>
      <c r="J38" s="486">
        <f>SUM(J35:J37)</f>
        <v>1990.8586414555505</v>
      </c>
      <c r="K38" s="367">
        <f>SUM(K35:K37)</f>
        <v>2097.4431251580754</v>
      </c>
      <c r="L38" s="362"/>
      <c r="M38" s="5"/>
    </row>
    <row r="39" spans="2:13" ht="15">
      <c r="B39" s="1" t="s">
        <v>440</v>
      </c>
      <c r="C39" s="315">
        <v>1183724</v>
      </c>
      <c r="D39" s="482" t="s">
        <v>750</v>
      </c>
      <c r="F39" s="187"/>
      <c r="G39" s="489"/>
      <c r="H39" s="379"/>
      <c r="I39" s="379"/>
      <c r="J39" s="424"/>
      <c r="K39" s="217"/>
      <c r="L39" s="362"/>
      <c r="M39" s="5"/>
    </row>
    <row r="40" spans="2:12" ht="15">
      <c r="B40" s="1"/>
      <c r="C40" s="53"/>
      <c r="D40" s="53"/>
      <c r="E40" s="56"/>
      <c r="F40" s="187" t="s">
        <v>149</v>
      </c>
      <c r="G40" s="489"/>
      <c r="H40" s="379"/>
      <c r="I40" s="379"/>
      <c r="J40" s="424"/>
      <c r="K40" s="217"/>
      <c r="L40" s="191" t="s">
        <v>138</v>
      </c>
    </row>
    <row r="41" spans="2:12" ht="15">
      <c r="B41" s="1" t="s">
        <v>660</v>
      </c>
      <c r="C41" s="15">
        <v>231448976</v>
      </c>
      <c r="D41" s="15">
        <v>549572192</v>
      </c>
      <c r="E41" s="56"/>
      <c r="F41" s="187" t="s">
        <v>659</v>
      </c>
      <c r="G41" s="487">
        <f>+C37</f>
        <v>1456812</v>
      </c>
      <c r="H41" s="379">
        <f>+Rates!F213</f>
        <v>3.6</v>
      </c>
      <c r="I41" s="379">
        <f>+Rates!G213</f>
        <v>3.8</v>
      </c>
      <c r="J41" s="253">
        <f>+H41*G41</f>
        <v>5244523.2</v>
      </c>
      <c r="K41" s="259">
        <f>+I41*G41</f>
        <v>5535885.6</v>
      </c>
      <c r="L41" s="191">
        <f>(I41-H41)/H41</f>
        <v>0.05555555555555548</v>
      </c>
    </row>
    <row r="42" spans="6:13" ht="15">
      <c r="F42" s="187"/>
      <c r="G42" s="457"/>
      <c r="H42" s="379"/>
      <c r="I42" s="379"/>
      <c r="J42" s="455"/>
      <c r="K42" s="456"/>
      <c r="L42" s="191" t="s">
        <v>138</v>
      </c>
      <c r="M42" s="5"/>
    </row>
    <row r="43" spans="1:13" ht="15">
      <c r="A43" s="79"/>
      <c r="B43" s="38"/>
      <c r="C43" s="38"/>
      <c r="D43" s="38"/>
      <c r="F43" s="187" t="s">
        <v>580</v>
      </c>
      <c r="G43" s="237">
        <f>+G41+G38+G31+G24+G17</f>
        <v>230265252</v>
      </c>
      <c r="H43" s="36"/>
      <c r="I43" s="379"/>
      <c r="J43" s="209">
        <f>+J41+J38+J31+J24+J17</f>
        <v>567825998.9</v>
      </c>
      <c r="K43" s="217">
        <f>+K41+K38+K31+K24+K17</f>
        <v>595868310.2</v>
      </c>
      <c r="L43" s="191" t="s">
        <v>138</v>
      </c>
      <c r="M43" s="5"/>
    </row>
    <row r="44" spans="2:13" ht="15">
      <c r="B44" s="38"/>
      <c r="C44" s="38"/>
      <c r="D44" s="38"/>
      <c r="F44" s="187"/>
      <c r="G44" s="237"/>
      <c r="H44" s="36"/>
      <c r="I44" s="379"/>
      <c r="J44" s="209"/>
      <c r="K44" s="217"/>
      <c r="L44" s="191"/>
      <c r="M44" s="5"/>
    </row>
    <row r="45" spans="2:12" ht="15.75" thickBot="1">
      <c r="B45" s="180"/>
      <c r="C45" s="180"/>
      <c r="F45" s="196"/>
      <c r="G45" s="458"/>
      <c r="H45" s="396"/>
      <c r="I45" s="396"/>
      <c r="J45" s="231"/>
      <c r="K45" s="232"/>
      <c r="L45" s="229" t="s">
        <v>138</v>
      </c>
    </row>
    <row r="46" spans="6:12" ht="15.75" thickTop="1">
      <c r="F46" s="230" t="s">
        <v>691</v>
      </c>
      <c r="G46" s="199"/>
      <c r="H46" s="473"/>
      <c r="I46" s="473"/>
      <c r="J46" s="199"/>
      <c r="K46" s="199"/>
      <c r="L46" s="242"/>
    </row>
    <row r="47" spans="6:12" ht="15">
      <c r="F47" s="308" t="s">
        <v>624</v>
      </c>
      <c r="G47" s="36"/>
      <c r="H47" s="36"/>
      <c r="I47" s="36"/>
      <c r="J47" s="36"/>
      <c r="K47" s="36"/>
      <c r="L47" s="189"/>
    </row>
    <row r="48" spans="6:12" ht="15.75" thickBot="1">
      <c r="F48" s="394"/>
      <c r="G48" s="411"/>
      <c r="H48" s="197"/>
      <c r="I48" s="197"/>
      <c r="J48" s="197"/>
      <c r="K48" s="197"/>
      <c r="L48" s="198"/>
    </row>
    <row r="49" spans="6:7" ht="15.75" thickTop="1">
      <c r="F49" s="104"/>
      <c r="G49" s="104"/>
    </row>
    <row r="50" spans="6:7" ht="15">
      <c r="F50" s="104"/>
      <c r="G50" s="104"/>
    </row>
    <row r="51" ht="15">
      <c r="E51" s="56"/>
    </row>
    <row r="53" ht="15">
      <c r="E53" s="21"/>
    </row>
    <row r="57" ht="15">
      <c r="M57" s="5"/>
    </row>
    <row r="59" ht="15">
      <c r="M59" s="5"/>
    </row>
    <row r="60" ht="15">
      <c r="M60" s="5"/>
    </row>
    <row r="61" ht="15">
      <c r="M61" s="5"/>
    </row>
    <row r="62" ht="15">
      <c r="M62" s="5"/>
    </row>
    <row r="63" ht="15">
      <c r="M63" s="5"/>
    </row>
    <row r="64" ht="15">
      <c r="M64" s="5"/>
    </row>
    <row r="66" ht="15">
      <c r="M66" s="5"/>
    </row>
    <row r="67" spans="8:13" ht="15">
      <c r="H67" s="6"/>
      <c r="I67" s="6"/>
      <c r="M67" s="5"/>
    </row>
    <row r="68" ht="15">
      <c r="M68" s="5"/>
    </row>
    <row r="69" ht="15">
      <c r="M69" s="5"/>
    </row>
    <row r="70" ht="15">
      <c r="M70" s="5"/>
    </row>
    <row r="71" ht="15">
      <c r="M71" s="5"/>
    </row>
    <row r="72" ht="15">
      <c r="M72" s="5"/>
    </row>
    <row r="73" ht="15">
      <c r="M73" s="5"/>
    </row>
    <row r="77" spans="8:9" ht="15">
      <c r="H77" s="6"/>
      <c r="I77" s="6"/>
    </row>
    <row r="78" spans="8:9" ht="15">
      <c r="H78" s="6"/>
      <c r="I78" s="6"/>
    </row>
    <row r="79" spans="8:9" ht="15">
      <c r="H79" s="6"/>
      <c r="I79" s="6"/>
    </row>
    <row r="80" spans="8:9" ht="15">
      <c r="H80" s="6"/>
      <c r="I80" s="6"/>
    </row>
    <row r="81" spans="8:9" ht="15">
      <c r="H81" s="6"/>
      <c r="I81" s="6"/>
    </row>
    <row r="82" spans="8:9" ht="15">
      <c r="H82" s="6"/>
      <c r="I82" s="6"/>
    </row>
    <row r="83" spans="8:9" ht="15">
      <c r="H83" s="6"/>
      <c r="I83" s="6"/>
    </row>
    <row r="86" spans="8:9" ht="15">
      <c r="H86" s="6"/>
      <c r="I86" s="6"/>
    </row>
    <row r="96" spans="8:9" ht="15">
      <c r="H96" s="6"/>
      <c r="I96" s="6"/>
    </row>
    <row r="97" spans="8:9" ht="15">
      <c r="H97" s="6"/>
      <c r="I97" s="6"/>
    </row>
    <row r="98" spans="8:9" ht="15">
      <c r="H98" s="6"/>
      <c r="I98" s="6"/>
    </row>
  </sheetData>
  <mergeCells count="7">
    <mergeCell ref="H8:I8"/>
    <mergeCell ref="J8:K8"/>
    <mergeCell ref="L8:L10"/>
    <mergeCell ref="B3:D3"/>
    <mergeCell ref="B4:D4"/>
    <mergeCell ref="F6:L6"/>
    <mergeCell ref="F7:L7"/>
  </mergeCells>
  <printOptions horizontalCentered="1"/>
  <pageMargins left="0.25" right="0.25" top="0.5" bottom="0.5" header="0.5" footer="0.5"/>
  <pageSetup fitToHeight="1" fitToWidth="1" horizontalDpi="600" verticalDpi="600" orientation="landscape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workbookViewId="0" topLeftCell="A1">
      <selection activeCell="E9" sqref="E9"/>
    </sheetView>
  </sheetViews>
  <sheetFormatPr defaultColWidth="9.140625" defaultRowHeight="12.75"/>
  <cols>
    <col min="2" max="2" width="53.00390625" style="0" customWidth="1"/>
  </cols>
  <sheetData>
    <row r="2" ht="12.75">
      <c r="B2" s="570" t="s">
        <v>755</v>
      </c>
    </row>
    <row r="3" ht="12.75">
      <c r="B3" s="109"/>
    </row>
    <row r="4" spans="2:3" ht="12.75">
      <c r="B4" s="109" t="s">
        <v>756</v>
      </c>
      <c r="C4" s="726">
        <v>0.038</v>
      </c>
    </row>
    <row r="5" spans="2:3" ht="12.75">
      <c r="B5" s="109" t="s">
        <v>757</v>
      </c>
      <c r="C5" s="727">
        <v>0.00052</v>
      </c>
    </row>
    <row r="6" spans="2:3" ht="12.75">
      <c r="B6" s="570" t="s">
        <v>754</v>
      </c>
      <c r="C6" s="728">
        <f>+C5+C4</f>
        <v>0.03852</v>
      </c>
    </row>
    <row r="7" spans="2:3" ht="12.75">
      <c r="B7" s="109" t="s">
        <v>758</v>
      </c>
      <c r="C7" s="764">
        <f>+'Cap Calc Page'!D39</f>
        <v>0.03837444269369228</v>
      </c>
    </row>
    <row r="8" spans="2:3" ht="12.75" customHeight="1">
      <c r="B8" s="768" t="s">
        <v>753</v>
      </c>
      <c r="C8" s="766">
        <f>+C6-C7</f>
        <v>0.0001455573063077198</v>
      </c>
    </row>
    <row r="9" spans="2:3" ht="12.75">
      <c r="B9" s="765"/>
      <c r="C9" s="767"/>
    </row>
  </sheetData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9"/>
  </sheetPr>
  <dimension ref="B2:L17"/>
  <sheetViews>
    <sheetView zoomScale="85" zoomScaleNormal="85" workbookViewId="0" topLeftCell="K1">
      <selection activeCell="L2" sqref="L2"/>
    </sheetView>
  </sheetViews>
  <sheetFormatPr defaultColWidth="9.140625" defaultRowHeight="12.75"/>
  <cols>
    <col min="2" max="4" width="17.28125" style="0" customWidth="1"/>
    <col min="6" max="6" width="33.00390625" style="0" customWidth="1"/>
    <col min="7" max="10" width="14.57421875" style="0" customWidth="1"/>
    <col min="11" max="11" width="15.7109375" style="0" bestFit="1" customWidth="1"/>
    <col min="12" max="12" width="14.57421875" style="0" customWidth="1"/>
  </cols>
  <sheetData>
    <row r="2" ht="12.75">
      <c r="L2" s="729" t="str">
        <f>WN</f>
        <v>February 2009</v>
      </c>
    </row>
    <row r="3" ht="13.5" thickBot="1"/>
    <row r="4" spans="2:12" ht="16.5" thickTop="1">
      <c r="B4" s="1"/>
      <c r="C4" s="1"/>
      <c r="D4" s="652" t="s">
        <v>5</v>
      </c>
      <c r="F4" s="780" t="s">
        <v>244</v>
      </c>
      <c r="G4" s="781"/>
      <c r="H4" s="781"/>
      <c r="I4" s="781"/>
      <c r="J4" s="781"/>
      <c r="K4" s="781"/>
      <c r="L4" s="782"/>
    </row>
    <row r="5" spans="2:12" ht="18.75" thickBot="1">
      <c r="B5" s="771" t="s">
        <v>244</v>
      </c>
      <c r="C5" s="771"/>
      <c r="D5" s="771"/>
      <c r="F5" s="783" t="str">
        <f>"Fiscal Year 2008 "</f>
        <v>Fiscal Year 2008 </v>
      </c>
      <c r="G5" s="784"/>
      <c r="H5" s="784"/>
      <c r="I5" s="784"/>
      <c r="J5" s="784"/>
      <c r="K5" s="784"/>
      <c r="L5" s="785"/>
    </row>
    <row r="6" spans="2:12" ht="16.5" thickTop="1">
      <c r="B6" s="772" t="s">
        <v>700</v>
      </c>
      <c r="C6" s="772"/>
      <c r="D6" s="772"/>
      <c r="F6" s="184"/>
      <c r="G6" s="575" t="s">
        <v>423</v>
      </c>
      <c r="H6" s="786" t="s">
        <v>234</v>
      </c>
      <c r="I6" s="770"/>
      <c r="J6" s="786" t="s">
        <v>528</v>
      </c>
      <c r="K6" s="787"/>
      <c r="L6" s="804" t="s">
        <v>233</v>
      </c>
    </row>
    <row r="7" spans="2:12" ht="15">
      <c r="B7" s="1"/>
      <c r="C7" s="1"/>
      <c r="D7" s="1"/>
      <c r="F7" s="187"/>
      <c r="G7" s="207"/>
      <c r="H7" s="72"/>
      <c r="I7" s="72"/>
      <c r="J7" s="207"/>
      <c r="K7" s="215"/>
      <c r="L7" s="805"/>
    </row>
    <row r="8" spans="2:12" ht="15.75" thickBot="1">
      <c r="B8" s="1"/>
      <c r="C8" s="42" t="s">
        <v>423</v>
      </c>
      <c r="D8" s="42" t="s">
        <v>212</v>
      </c>
      <c r="F8" s="227"/>
      <c r="G8" s="293" t="str">
        <f>"FY "&amp;FY&amp;" 1/"</f>
        <v>FY  1/</v>
      </c>
      <c r="H8" s="295" t="s">
        <v>206</v>
      </c>
      <c r="I8" s="295" t="s">
        <v>683</v>
      </c>
      <c r="J8" s="296" t="s">
        <v>640</v>
      </c>
      <c r="K8" s="294" t="s">
        <v>683</v>
      </c>
      <c r="L8" s="806"/>
    </row>
    <row r="9" spans="2:12" ht="15.75" thickTop="1">
      <c r="B9" s="1"/>
      <c r="C9" s="1"/>
      <c r="D9" s="1"/>
      <c r="F9" s="184"/>
      <c r="G9" s="468" t="s">
        <v>78</v>
      </c>
      <c r="H9" s="470" t="s">
        <v>79</v>
      </c>
      <c r="I9" s="470" t="s">
        <v>80</v>
      </c>
      <c r="J9" s="471" t="s">
        <v>81</v>
      </c>
      <c r="K9" s="469" t="s">
        <v>82</v>
      </c>
      <c r="L9" s="472" t="s">
        <v>83</v>
      </c>
    </row>
    <row r="10" spans="2:12" ht="15">
      <c r="B10" s="1" t="s">
        <v>8</v>
      </c>
      <c r="C10" s="5">
        <v>229846</v>
      </c>
      <c r="D10" s="5">
        <v>3414736</v>
      </c>
      <c r="F10" s="187"/>
      <c r="G10" s="236"/>
      <c r="H10" s="36"/>
      <c r="I10" s="36"/>
      <c r="J10" s="208"/>
      <c r="K10" s="216"/>
      <c r="L10" s="189"/>
    </row>
    <row r="11" spans="2:12" ht="15">
      <c r="B11" s="1" t="s">
        <v>7</v>
      </c>
      <c r="C11" s="5">
        <v>112992</v>
      </c>
      <c r="D11" s="5">
        <v>1654156</v>
      </c>
      <c r="F11" s="195"/>
      <c r="G11" s="237"/>
      <c r="H11" s="453"/>
      <c r="I11" s="453"/>
      <c r="J11" s="209"/>
      <c r="K11" s="438"/>
      <c r="L11" s="474"/>
    </row>
    <row r="12" spans="2:12" ht="15">
      <c r="B12" s="1" t="s">
        <v>22</v>
      </c>
      <c r="C12" s="5">
        <v>15251</v>
      </c>
      <c r="D12" s="5">
        <v>225689.25</v>
      </c>
      <c r="F12" s="187" t="s">
        <v>244</v>
      </c>
      <c r="G12" s="237">
        <f>+C14</f>
        <v>358089</v>
      </c>
      <c r="H12" s="190">
        <f>+Rates!F216</f>
        <v>14.75</v>
      </c>
      <c r="I12" s="190">
        <f>+Rates!G216</f>
        <v>15.3</v>
      </c>
      <c r="J12" s="253">
        <f>+H12*G12</f>
        <v>5281812.75</v>
      </c>
      <c r="K12" s="259">
        <f>+I12*G12</f>
        <v>5478761.7</v>
      </c>
      <c r="L12" s="191">
        <f>(I12-H12)/H12</f>
        <v>0.03728813559322039</v>
      </c>
    </row>
    <row r="13" spans="2:12" ht="15">
      <c r="B13" s="1"/>
      <c r="C13" s="34"/>
      <c r="D13" s="34"/>
      <c r="F13" s="187"/>
      <c r="G13" s="487"/>
      <c r="H13" s="490"/>
      <c r="I13" s="490"/>
      <c r="J13" s="253"/>
      <c r="K13" s="259"/>
      <c r="L13" s="191"/>
    </row>
    <row r="14" spans="2:12" ht="15.75" thickBot="1">
      <c r="B14" s="1" t="s">
        <v>494</v>
      </c>
      <c r="C14" s="5">
        <v>358089</v>
      </c>
      <c r="D14" s="5">
        <v>5294581.25</v>
      </c>
      <c r="F14" s="187"/>
      <c r="G14" s="488"/>
      <c r="H14" s="483"/>
      <c r="I14" s="483"/>
      <c r="J14" s="253"/>
      <c r="K14" s="259"/>
      <c r="L14" s="191"/>
    </row>
    <row r="15" spans="6:12" ht="15.75" thickTop="1">
      <c r="F15" s="230" t="s">
        <v>691</v>
      </c>
      <c r="G15" s="199"/>
      <c r="H15" s="473"/>
      <c r="I15" s="473"/>
      <c r="J15" s="199"/>
      <c r="K15" s="199"/>
      <c r="L15" s="242"/>
    </row>
    <row r="16" spans="6:12" ht="15.75" thickBot="1">
      <c r="F16" s="394"/>
      <c r="G16" s="411"/>
      <c r="H16" s="197"/>
      <c r="I16" s="197"/>
      <c r="J16" s="197"/>
      <c r="K16" s="197"/>
      <c r="L16" s="198"/>
    </row>
    <row r="17" ht="13.5" thickTop="1">
      <c r="D17" t="s">
        <v>714</v>
      </c>
    </row>
  </sheetData>
  <mergeCells count="7">
    <mergeCell ref="B5:D5"/>
    <mergeCell ref="B6:D6"/>
    <mergeCell ref="F4:L4"/>
    <mergeCell ref="F5:L5"/>
    <mergeCell ref="H6:I6"/>
    <mergeCell ref="J6:K6"/>
    <mergeCell ref="L6:L8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L40"/>
  <sheetViews>
    <sheetView zoomScale="70" zoomScaleNormal="7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8.57421875" style="145" bestFit="1" customWidth="1"/>
    <col min="3" max="3" width="12.8515625" style="145" customWidth="1"/>
    <col min="4" max="5" width="9.140625" style="1" customWidth="1"/>
    <col min="6" max="6" width="19.7109375" style="1" customWidth="1"/>
    <col min="7" max="12" width="16.7109375" style="1" customWidth="1"/>
    <col min="13" max="13" width="10.8515625" style="1" customWidth="1"/>
    <col min="14" max="16384" width="9.140625" style="1" customWidth="1"/>
  </cols>
  <sheetData>
    <row r="1" ht="15">
      <c r="E1" s="2"/>
    </row>
    <row r="2" spans="2:6" ht="15">
      <c r="B2" s="1"/>
      <c r="C2" s="9" t="s">
        <v>487</v>
      </c>
      <c r="E2" s="2"/>
      <c r="F2" s="24"/>
    </row>
    <row r="3" spans="2:6" ht="18">
      <c r="B3" s="771" t="s">
        <v>340</v>
      </c>
      <c r="C3" s="771"/>
      <c r="E3" s="2"/>
      <c r="F3" s="25"/>
    </row>
    <row r="4" spans="2:12" ht="15.75">
      <c r="B4" s="772" t="s">
        <v>700</v>
      </c>
      <c r="C4" s="772"/>
      <c r="D4" s="2"/>
      <c r="E4" s="2"/>
      <c r="L4" s="9" t="str">
        <f>WN</f>
        <v>February 2009</v>
      </c>
    </row>
    <row r="5" spans="2:5" ht="15.75" thickBot="1">
      <c r="B5" s="1"/>
      <c r="C5" s="1"/>
      <c r="D5" s="2"/>
      <c r="E5" s="2"/>
    </row>
    <row r="6" spans="2:12" ht="16.5" thickTop="1">
      <c r="B6" s="1" t="s">
        <v>341</v>
      </c>
      <c r="C6" s="136">
        <v>8595.25</v>
      </c>
      <c r="D6" s="2"/>
      <c r="E6" s="2"/>
      <c r="F6" s="780" t="s">
        <v>340</v>
      </c>
      <c r="G6" s="781"/>
      <c r="H6" s="781"/>
      <c r="I6" s="781"/>
      <c r="J6" s="781"/>
      <c r="K6" s="781"/>
      <c r="L6" s="782"/>
    </row>
    <row r="7" spans="2:12" ht="15.75" thickBot="1">
      <c r="B7" s="1"/>
      <c r="C7" s="1"/>
      <c r="D7" s="2"/>
      <c r="E7" s="2"/>
      <c r="F7" s="783" t="str">
        <f>"Fiscal Year 2008 "</f>
        <v>Fiscal Year 2008 </v>
      </c>
      <c r="G7" s="784"/>
      <c r="H7" s="784"/>
      <c r="I7" s="784"/>
      <c r="J7" s="784"/>
      <c r="K7" s="784"/>
      <c r="L7" s="785"/>
    </row>
    <row r="8" spans="2:12" ht="15.75" thickTop="1">
      <c r="B8" s="1" t="s">
        <v>342</v>
      </c>
      <c r="C8" s="14">
        <v>15.464332310625242</v>
      </c>
      <c r="D8" s="2"/>
      <c r="E8" s="2"/>
      <c r="F8" s="184"/>
      <c r="G8" s="575" t="s">
        <v>423</v>
      </c>
      <c r="H8" s="786" t="s">
        <v>234</v>
      </c>
      <c r="I8" s="770"/>
      <c r="J8" s="786" t="s">
        <v>528</v>
      </c>
      <c r="K8" s="787"/>
      <c r="L8" s="804" t="s">
        <v>233</v>
      </c>
    </row>
    <row r="9" spans="2:12" ht="15">
      <c r="B9" s="1"/>
      <c r="C9" s="1"/>
      <c r="D9" s="2"/>
      <c r="E9" s="2"/>
      <c r="F9" s="187"/>
      <c r="G9" s="207"/>
      <c r="H9" s="72"/>
      <c r="I9" s="72"/>
      <c r="J9" s="207"/>
      <c r="K9" s="215"/>
      <c r="L9" s="805"/>
    </row>
    <row r="10" spans="2:12" ht="15.75" thickBot="1">
      <c r="B10" s="35"/>
      <c r="C10" s="1"/>
      <c r="D10" s="2"/>
      <c r="E10" s="2"/>
      <c r="F10" s="227"/>
      <c r="G10" s="293" t="str">
        <f>"FY "&amp;FY&amp;" 1/"</f>
        <v>FY  1/</v>
      </c>
      <c r="H10" s="295" t="s">
        <v>206</v>
      </c>
      <c r="I10" s="295" t="s">
        <v>683</v>
      </c>
      <c r="J10" s="296" t="s">
        <v>640</v>
      </c>
      <c r="K10" s="294" t="s">
        <v>683</v>
      </c>
      <c r="L10" s="806"/>
    </row>
    <row r="11" spans="2:12" ht="15.75" thickTop="1">
      <c r="B11" s="1" t="s">
        <v>229</v>
      </c>
      <c r="C11" s="20"/>
      <c r="D11" s="2"/>
      <c r="E11" s="2"/>
      <c r="F11" s="184"/>
      <c r="G11" s="468" t="s">
        <v>78</v>
      </c>
      <c r="H11" s="470" t="s">
        <v>79</v>
      </c>
      <c r="I11" s="470" t="s">
        <v>80</v>
      </c>
      <c r="J11" s="471" t="s">
        <v>81</v>
      </c>
      <c r="K11" s="469" t="s">
        <v>82</v>
      </c>
      <c r="L11" s="472" t="s">
        <v>83</v>
      </c>
    </row>
    <row r="12" spans="4:12" ht="15">
      <c r="D12" s="2"/>
      <c r="E12" s="2"/>
      <c r="F12" s="195" t="s">
        <v>158</v>
      </c>
      <c r="G12" s="236"/>
      <c r="H12" s="36"/>
      <c r="I12" s="36"/>
      <c r="J12" s="208"/>
      <c r="K12" s="216"/>
      <c r="L12" s="189"/>
    </row>
    <row r="13" spans="4:12" ht="15">
      <c r="D13" s="2"/>
      <c r="E13" s="2"/>
      <c r="F13" s="195" t="s">
        <v>159</v>
      </c>
      <c r="G13" s="237">
        <v>13</v>
      </c>
      <c r="H13" s="201">
        <f>AcctMC</f>
        <v>565</v>
      </c>
      <c r="I13" s="201">
        <f>AcctMP</f>
        <v>585</v>
      </c>
      <c r="J13" s="253">
        <f>+H13*G13</f>
        <v>7345</v>
      </c>
      <c r="K13" s="259">
        <f>+I13*G13</f>
        <v>7605</v>
      </c>
      <c r="L13" s="474">
        <f>(I13-H13)/H13</f>
        <v>0.035398230088495575</v>
      </c>
    </row>
    <row r="14" spans="4:12" ht="15">
      <c r="D14" s="2"/>
      <c r="E14" s="2"/>
      <c r="F14" s="187"/>
      <c r="G14" s="237"/>
      <c r="H14" s="190"/>
      <c r="I14" s="190"/>
      <c r="J14" s="209"/>
      <c r="K14" s="438"/>
      <c r="L14" s="203"/>
    </row>
    <row r="15" spans="4:12" ht="15.75" thickBot="1">
      <c r="D15" s="2"/>
      <c r="E15" s="2"/>
      <c r="F15" s="187"/>
      <c r="G15" s="487"/>
      <c r="H15" s="379"/>
      <c r="I15" s="379"/>
      <c r="J15" s="209"/>
      <c r="K15" s="217"/>
      <c r="L15" s="191"/>
    </row>
    <row r="16" spans="4:12" ht="15.75" thickTop="1">
      <c r="D16" s="2"/>
      <c r="E16" s="2"/>
      <c r="F16" s="184" t="s">
        <v>691</v>
      </c>
      <c r="G16" s="491"/>
      <c r="H16" s="199"/>
      <c r="I16" s="199"/>
      <c r="J16" s="492"/>
      <c r="K16" s="492"/>
      <c r="L16" s="200"/>
    </row>
    <row r="17" spans="4:12" ht="15">
      <c r="D17" s="2"/>
      <c r="E17" s="2"/>
      <c r="F17" s="187" t="s">
        <v>134</v>
      </c>
      <c r="G17" s="92"/>
      <c r="H17" s="36"/>
      <c r="I17" s="36"/>
      <c r="J17" s="94"/>
      <c r="K17" s="94"/>
      <c r="L17" s="189"/>
    </row>
    <row r="18" spans="4:12" ht="15.75" thickBot="1">
      <c r="D18" s="2"/>
      <c r="E18" s="2"/>
      <c r="F18" s="227"/>
      <c r="G18" s="197"/>
      <c r="H18" s="197"/>
      <c r="I18" s="197"/>
      <c r="J18" s="197"/>
      <c r="K18" s="197"/>
      <c r="L18" s="198"/>
    </row>
    <row r="19" spans="2:5" ht="15.75" thickTop="1">
      <c r="B19" s="128"/>
      <c r="C19" s="128"/>
      <c r="D19" s="2"/>
      <c r="E19" s="2"/>
    </row>
    <row r="20" spans="4:5" ht="15">
      <c r="D20" s="2"/>
      <c r="E20" s="2"/>
    </row>
    <row r="21" spans="4:5" ht="15">
      <c r="D21" s="2"/>
      <c r="E21" s="2"/>
    </row>
    <row r="22" spans="4:7" ht="15">
      <c r="D22" s="2"/>
      <c r="E22" s="2"/>
      <c r="G22" s="15"/>
    </row>
    <row r="23" spans="4:5" ht="15">
      <c r="D23" s="2"/>
      <c r="E23" s="2"/>
    </row>
    <row r="24" spans="4:5" ht="15">
      <c r="D24" s="2"/>
      <c r="E24" s="2"/>
    </row>
    <row r="25" spans="4:5" ht="15">
      <c r="D25" s="2"/>
      <c r="E25" s="2"/>
    </row>
    <row r="26" spans="4:5" ht="15">
      <c r="D26" s="2"/>
      <c r="E26" s="2"/>
    </row>
    <row r="27" spans="4:5" ht="15">
      <c r="D27" s="2"/>
      <c r="E27" s="2"/>
    </row>
    <row r="28" spans="4:5" ht="15">
      <c r="D28" s="2"/>
      <c r="E28" s="2"/>
    </row>
    <row r="29" spans="4:5" ht="15">
      <c r="D29" s="2"/>
      <c r="E29" s="2"/>
    </row>
    <row r="30" spans="4:5" ht="15">
      <c r="D30" s="2"/>
      <c r="E30" s="2"/>
    </row>
    <row r="31" spans="4:5" ht="15">
      <c r="D31" s="2"/>
      <c r="E31" s="2"/>
    </row>
    <row r="32" spans="4:5" ht="15">
      <c r="D32" s="2"/>
      <c r="E32" s="2"/>
    </row>
    <row r="33" spans="4:5" ht="15">
      <c r="D33" s="2"/>
      <c r="E33" s="2"/>
    </row>
    <row r="34" spans="4:5" ht="15">
      <c r="D34" s="2"/>
      <c r="E34" s="2"/>
    </row>
    <row r="35" spans="4:5" ht="15">
      <c r="D35" s="2"/>
      <c r="E35" s="2"/>
    </row>
    <row r="36" spans="4:5" ht="15">
      <c r="D36" s="2"/>
      <c r="E36" s="2"/>
    </row>
    <row r="37" spans="4:5" ht="15">
      <c r="D37" s="2"/>
      <c r="E37" s="2"/>
    </row>
    <row r="38" spans="4:5" ht="15">
      <c r="D38" s="2"/>
      <c r="E38" s="2"/>
    </row>
    <row r="39" spans="4:5" ht="15">
      <c r="D39" s="2"/>
      <c r="E39" s="2"/>
    </row>
    <row r="40" spans="4:5" ht="15">
      <c r="D40" s="2"/>
      <c r="E40" s="2"/>
    </row>
  </sheetData>
  <mergeCells count="7">
    <mergeCell ref="H8:I8"/>
    <mergeCell ref="J8:K8"/>
    <mergeCell ref="L8:L10"/>
    <mergeCell ref="B3:C3"/>
    <mergeCell ref="B4:C4"/>
    <mergeCell ref="F6:L6"/>
    <mergeCell ref="F7:L7"/>
  </mergeCells>
  <printOptions horizontalCentered="1"/>
  <pageMargins left="0.25" right="0.25" top="0.5" bottom="0.5" header="0.5" footer="0.5"/>
  <pageSetup fitToHeight="1" fitToWidth="1"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2:S58"/>
  <sheetViews>
    <sheetView zoomScale="70" zoomScaleNormal="70" workbookViewId="0" topLeftCell="D1">
      <selection activeCell="N31" sqref="N31"/>
    </sheetView>
  </sheetViews>
  <sheetFormatPr defaultColWidth="9.140625" defaultRowHeight="12.75"/>
  <cols>
    <col min="1" max="1" width="11.8515625" style="1" customWidth="1"/>
    <col min="2" max="2" width="40.140625" style="36" customWidth="1"/>
    <col min="3" max="4" width="15.8515625" style="36" customWidth="1"/>
    <col min="5" max="5" width="6.421875" style="36" customWidth="1"/>
    <col min="6" max="6" width="6.421875" style="1" customWidth="1"/>
    <col min="7" max="7" width="9.140625" style="1" customWidth="1"/>
    <col min="8" max="8" width="21.140625" style="1" customWidth="1"/>
    <col min="9" max="14" width="14.7109375" style="1" customWidth="1"/>
    <col min="15" max="16384" width="9.140625" style="1" customWidth="1"/>
  </cols>
  <sheetData>
    <row r="2" spans="2:4" ht="15">
      <c r="B2" s="1"/>
      <c r="C2" s="1"/>
      <c r="D2" s="9" t="s">
        <v>28</v>
      </c>
    </row>
    <row r="3" spans="2:5" ht="18">
      <c r="B3" s="771" t="s">
        <v>62</v>
      </c>
      <c r="C3" s="771"/>
      <c r="D3" s="771"/>
      <c r="E3" s="676"/>
    </row>
    <row r="4" spans="2:14" ht="15">
      <c r="B4" s="776" t="s">
        <v>700</v>
      </c>
      <c r="C4" s="776"/>
      <c r="D4" s="776"/>
      <c r="N4" s="9" t="str">
        <f>WN</f>
        <v>February 2009</v>
      </c>
    </row>
    <row r="5" spans="2:4" ht="15.75" thickBot="1">
      <c r="B5" s="1"/>
      <c r="C5" s="1"/>
      <c r="D5" s="1"/>
    </row>
    <row r="6" spans="2:14" ht="16.5" thickTop="1">
      <c r="B6" s="1"/>
      <c r="C6" s="34" t="s">
        <v>423</v>
      </c>
      <c r="D6" s="42" t="s">
        <v>237</v>
      </c>
      <c r="H6" s="780" t="s">
        <v>62</v>
      </c>
      <c r="I6" s="781"/>
      <c r="J6" s="781"/>
      <c r="K6" s="781"/>
      <c r="L6" s="781"/>
      <c r="M6" s="781"/>
      <c r="N6" s="782"/>
    </row>
    <row r="7" spans="2:14" ht="15.75" thickBot="1">
      <c r="B7" s="1"/>
      <c r="C7" s="1"/>
      <c r="D7" s="1"/>
      <c r="E7" s="72"/>
      <c r="H7" s="783" t="str">
        <f>"Fiscal Year 2008 "</f>
        <v>Fiscal Year 2008 </v>
      </c>
      <c r="I7" s="784"/>
      <c r="J7" s="784"/>
      <c r="K7" s="784"/>
      <c r="L7" s="784"/>
      <c r="M7" s="784"/>
      <c r="N7" s="785"/>
    </row>
    <row r="8" spans="2:14" ht="15.75" thickTop="1">
      <c r="B8" s="1" t="s">
        <v>172</v>
      </c>
      <c r="C8" s="16">
        <v>1204208</v>
      </c>
      <c r="D8" s="16">
        <v>2575093</v>
      </c>
      <c r="H8" s="184"/>
      <c r="I8" s="575" t="s">
        <v>423</v>
      </c>
      <c r="J8" s="786" t="s">
        <v>234</v>
      </c>
      <c r="K8" s="770"/>
      <c r="L8" s="786" t="s">
        <v>528</v>
      </c>
      <c r="M8" s="787"/>
      <c r="N8" s="804" t="s">
        <v>209</v>
      </c>
    </row>
    <row r="9" spans="2:14" ht="15">
      <c r="B9" s="1"/>
      <c r="C9" s="16"/>
      <c r="D9" s="16"/>
      <c r="E9" s="181"/>
      <c r="H9" s="187"/>
      <c r="I9" s="207"/>
      <c r="J9" s="72"/>
      <c r="K9" s="72"/>
      <c r="L9" s="207"/>
      <c r="M9" s="215"/>
      <c r="N9" s="805"/>
    </row>
    <row r="10" spans="2:14" ht="15.75" thickBot="1">
      <c r="B10" s="1" t="s">
        <v>173</v>
      </c>
      <c r="C10" s="100">
        <v>3024103</v>
      </c>
      <c r="D10" s="100">
        <v>5353835</v>
      </c>
      <c r="E10" s="181"/>
      <c r="H10" s="227"/>
      <c r="I10" s="293" t="str">
        <f>"FY "&amp;FY</f>
        <v>FY </v>
      </c>
      <c r="J10" s="295" t="s">
        <v>206</v>
      </c>
      <c r="K10" s="295" t="s">
        <v>683</v>
      </c>
      <c r="L10" s="296" t="s">
        <v>640</v>
      </c>
      <c r="M10" s="294" t="s">
        <v>683</v>
      </c>
      <c r="N10" s="806"/>
    </row>
    <row r="11" spans="2:14" ht="15.75" thickTop="1">
      <c r="B11" s="1"/>
      <c r="C11" s="16"/>
      <c r="D11" s="16"/>
      <c r="E11" s="181"/>
      <c r="H11" s="184"/>
      <c r="I11" s="468" t="s">
        <v>78</v>
      </c>
      <c r="J11" s="470" t="s">
        <v>79</v>
      </c>
      <c r="K11" s="470" t="s">
        <v>80</v>
      </c>
      <c r="L11" s="471" t="s">
        <v>81</v>
      </c>
      <c r="M11" s="469" t="s">
        <v>82</v>
      </c>
      <c r="N11" s="472" t="s">
        <v>83</v>
      </c>
    </row>
    <row r="12" spans="2:14" ht="15">
      <c r="B12" s="1" t="s">
        <v>343</v>
      </c>
      <c r="C12" s="16">
        <v>4228311</v>
      </c>
      <c r="D12" s="16">
        <v>7928928</v>
      </c>
      <c r="E12" s="181"/>
      <c r="H12" s="187" t="s">
        <v>163</v>
      </c>
      <c r="I12" s="236"/>
      <c r="J12" s="36"/>
      <c r="K12" s="36"/>
      <c r="L12" s="208"/>
      <c r="M12" s="216"/>
      <c r="N12" s="189"/>
    </row>
    <row r="13" spans="2:14" ht="15">
      <c r="B13" s="1"/>
      <c r="C13" s="1"/>
      <c r="D13" s="1"/>
      <c r="E13" s="181"/>
      <c r="H13" s="195" t="s">
        <v>223</v>
      </c>
      <c r="I13" s="237">
        <f>+C10</f>
        <v>3024103</v>
      </c>
      <c r="J13" s="190">
        <f>+Rates!F220</f>
        <v>1.8</v>
      </c>
      <c r="K13" s="190">
        <f>+Rates!G220</f>
        <v>1.95</v>
      </c>
      <c r="L13" s="253">
        <f>+J13*I13</f>
        <v>5443385.4</v>
      </c>
      <c r="M13" s="259">
        <f>+K13*I13</f>
        <v>5897000.85</v>
      </c>
      <c r="N13" s="474">
        <f>+(K13-J13)/J13</f>
        <v>0.08333333333333329</v>
      </c>
    </row>
    <row r="14" spans="2:14" ht="15">
      <c r="B14" s="1"/>
      <c r="C14" s="1"/>
      <c r="D14" s="1"/>
      <c r="H14" s="187" t="s">
        <v>124</v>
      </c>
      <c r="I14" s="237">
        <f>+C8</f>
        <v>1204208</v>
      </c>
      <c r="J14" s="190">
        <f>+Rates!F221</f>
        <v>2.2</v>
      </c>
      <c r="K14" s="190">
        <f>+Rates!G221</f>
        <v>2.35</v>
      </c>
      <c r="L14" s="253">
        <f>+J14*I14</f>
        <v>2649257.6</v>
      </c>
      <c r="M14" s="259">
        <f>+K14*I14</f>
        <v>2829888.8000000003</v>
      </c>
      <c r="N14" s="203">
        <f>+(K14-J14)/J14</f>
        <v>0.06818181818181814</v>
      </c>
    </row>
    <row r="15" spans="2:14" ht="15">
      <c r="B15" s="1" t="s">
        <v>596</v>
      </c>
      <c r="C15" s="13">
        <v>4466706</v>
      </c>
      <c r="D15" s="13">
        <v>9545152</v>
      </c>
      <c r="H15" s="187" t="s">
        <v>105</v>
      </c>
      <c r="I15" s="487">
        <f>SUM(I13:I14)</f>
        <v>4228311</v>
      </c>
      <c r="J15" s="490"/>
      <c r="K15" s="490"/>
      <c r="L15" s="209">
        <f>SUM(L13:L14)</f>
        <v>8092643</v>
      </c>
      <c r="M15" s="217">
        <f>SUM(M13:M14)</f>
        <v>8726889.65</v>
      </c>
      <c r="N15" s="203"/>
    </row>
    <row r="16" spans="2:14" ht="15">
      <c r="B16" s="1"/>
      <c r="C16" s="1"/>
      <c r="D16" s="1"/>
      <c r="E16" s="685"/>
      <c r="H16" s="187"/>
      <c r="I16" s="487"/>
      <c r="J16" s="483"/>
      <c r="K16" s="483"/>
      <c r="L16" s="209"/>
      <c r="M16" s="217"/>
      <c r="N16" s="203"/>
    </row>
    <row r="17" spans="2:14" ht="15">
      <c r="B17" s="1" t="s">
        <v>595</v>
      </c>
      <c r="C17" s="105">
        <v>5366324</v>
      </c>
      <c r="D17" s="105">
        <v>9493278</v>
      </c>
      <c r="H17" s="187" t="s">
        <v>7</v>
      </c>
      <c r="I17" s="489"/>
      <c r="J17" s="483"/>
      <c r="K17" s="484"/>
      <c r="L17" s="486"/>
      <c r="M17" s="367"/>
      <c r="N17" s="203"/>
    </row>
    <row r="18" spans="2:14" ht="15">
      <c r="B18" s="1"/>
      <c r="C18" s="1"/>
      <c r="D18" s="1"/>
      <c r="E18" s="685"/>
      <c r="H18" s="187" t="s">
        <v>223</v>
      </c>
      <c r="I18" s="487">
        <f>+C17</f>
        <v>5366324</v>
      </c>
      <c r="J18" s="483">
        <f>+J13</f>
        <v>1.8</v>
      </c>
      <c r="K18" s="484">
        <f>K13</f>
        <v>1.95</v>
      </c>
      <c r="L18" s="253">
        <f>+J18*I18</f>
        <v>9659383.200000001</v>
      </c>
      <c r="M18" s="259">
        <f>+K18*I18</f>
        <v>10464331.799999999</v>
      </c>
      <c r="N18" s="203">
        <f>+(K18-J18)/J18</f>
        <v>0.08333333333333329</v>
      </c>
    </row>
    <row r="19" spans="2:14" ht="15">
      <c r="B19" s="1" t="s">
        <v>344</v>
      </c>
      <c r="C19" s="13">
        <v>9833030</v>
      </c>
      <c r="D19" s="13">
        <v>19038430</v>
      </c>
      <c r="H19" s="187" t="s">
        <v>124</v>
      </c>
      <c r="I19" s="415">
        <f>+C15</f>
        <v>4466706</v>
      </c>
      <c r="J19" s="379">
        <f>+J14</f>
        <v>2.2</v>
      </c>
      <c r="K19" s="379">
        <f>K14</f>
        <v>2.35</v>
      </c>
      <c r="L19" s="253">
        <f>+J19*I19</f>
        <v>9826753.200000001</v>
      </c>
      <c r="M19" s="259">
        <f>+K19*I19</f>
        <v>10496759.1</v>
      </c>
      <c r="N19" s="203">
        <f>+(K19-J19)/J19</f>
        <v>0.06818181818181814</v>
      </c>
    </row>
    <row r="20" spans="2:14" ht="15">
      <c r="B20" s="1"/>
      <c r="C20" s="1"/>
      <c r="D20" s="1"/>
      <c r="E20" s="685"/>
      <c r="H20" s="187" t="s">
        <v>105</v>
      </c>
      <c r="I20" s="487">
        <f>SUM(I18:I19)</f>
        <v>9833030</v>
      </c>
      <c r="J20" s="379"/>
      <c r="K20" s="379"/>
      <c r="L20" s="209">
        <f>SUM(L18:L19)</f>
        <v>19486136.400000002</v>
      </c>
      <c r="M20" s="217">
        <f>SUM(M18:M19)</f>
        <v>20961090.9</v>
      </c>
      <c r="N20" s="203"/>
    </row>
    <row r="21" spans="2:14" ht="15">
      <c r="B21" s="1"/>
      <c r="C21" s="1"/>
      <c r="D21" s="1"/>
      <c r="H21" s="187"/>
      <c r="I21" s="487"/>
      <c r="J21" s="490"/>
      <c r="K21" s="490"/>
      <c r="L21" s="209"/>
      <c r="M21" s="217"/>
      <c r="N21" s="203"/>
    </row>
    <row r="22" spans="2:14" ht="15">
      <c r="B22" s="1" t="s">
        <v>345</v>
      </c>
      <c r="C22" s="13">
        <v>376695</v>
      </c>
      <c r="D22" s="13">
        <v>805965</v>
      </c>
      <c r="H22" s="187" t="s">
        <v>109</v>
      </c>
      <c r="I22" s="487"/>
      <c r="J22" s="483"/>
      <c r="K22" s="483"/>
      <c r="L22" s="209"/>
      <c r="M22" s="217"/>
      <c r="N22" s="203"/>
    </row>
    <row r="23" spans="2:14" ht="15">
      <c r="B23" s="1"/>
      <c r="C23" s="1"/>
      <c r="D23" s="1"/>
      <c r="E23" s="685"/>
      <c r="H23" s="187" t="s">
        <v>223</v>
      </c>
      <c r="I23" s="489">
        <f>+C24</f>
        <v>502123</v>
      </c>
      <c r="J23" s="483">
        <f>+J13</f>
        <v>1.8</v>
      </c>
      <c r="K23" s="484">
        <f>K13</f>
        <v>1.95</v>
      </c>
      <c r="L23" s="253">
        <f>+J23*I23</f>
        <v>903821.4</v>
      </c>
      <c r="M23" s="259">
        <f>+K23*I23</f>
        <v>979139.85</v>
      </c>
      <c r="N23" s="203">
        <f>+(K23-J23)/J23</f>
        <v>0.08333333333333329</v>
      </c>
    </row>
    <row r="24" spans="2:14" ht="15">
      <c r="B24" s="1" t="s">
        <v>346</v>
      </c>
      <c r="C24" s="105">
        <v>502123</v>
      </c>
      <c r="D24" s="105">
        <v>889137</v>
      </c>
      <c r="H24" s="187" t="s">
        <v>124</v>
      </c>
      <c r="I24" s="487">
        <f>+C22</f>
        <v>376695</v>
      </c>
      <c r="J24" s="483">
        <f>+J14</f>
        <v>2.2</v>
      </c>
      <c r="K24" s="484">
        <f>K14</f>
        <v>2.35</v>
      </c>
      <c r="L24" s="253">
        <f>+J24*I24</f>
        <v>828729.0000000001</v>
      </c>
      <c r="M24" s="259">
        <f>+K24*I24</f>
        <v>885233.25</v>
      </c>
      <c r="N24" s="203">
        <f>+(K24-J24)/J24</f>
        <v>0.06818181818181814</v>
      </c>
    </row>
    <row r="25" spans="2:14" ht="15">
      <c r="B25" s="1"/>
      <c r="C25" s="1"/>
      <c r="D25" s="1"/>
      <c r="E25" s="685"/>
      <c r="H25" s="187" t="s">
        <v>105</v>
      </c>
      <c r="I25" s="415">
        <f>SUM(I23:I24)</f>
        <v>878818</v>
      </c>
      <c r="J25" s="379"/>
      <c r="K25" s="379"/>
      <c r="L25" s="209">
        <f>SUM(L23:L24)</f>
        <v>1732550.4000000001</v>
      </c>
      <c r="M25" s="217">
        <f>SUM(M23:M24)</f>
        <v>1864373.1</v>
      </c>
      <c r="N25" s="191"/>
    </row>
    <row r="26" spans="2:14" ht="15">
      <c r="B26" s="1" t="s">
        <v>347</v>
      </c>
      <c r="C26" s="105">
        <v>878818</v>
      </c>
      <c r="D26" s="105">
        <v>1695102</v>
      </c>
      <c r="E26" s="685"/>
      <c r="H26" s="187"/>
      <c r="I26" s="415"/>
      <c r="J26" s="379"/>
      <c r="K26" s="379"/>
      <c r="L26" s="209"/>
      <c r="M26" s="217"/>
      <c r="N26" s="191"/>
    </row>
    <row r="27" spans="2:14" ht="15">
      <c r="B27" s="1"/>
      <c r="C27" s="1"/>
      <c r="D27" s="1"/>
      <c r="E27" s="685"/>
      <c r="H27" s="187" t="s">
        <v>123</v>
      </c>
      <c r="I27" s="415"/>
      <c r="J27" s="379"/>
      <c r="K27" s="379"/>
      <c r="L27" s="209"/>
      <c r="M27" s="217"/>
      <c r="N27" s="191"/>
    </row>
    <row r="28" spans="2:14" ht="15">
      <c r="B28" s="1" t="s">
        <v>348</v>
      </c>
      <c r="C28" s="105">
        <v>14940159</v>
      </c>
      <c r="D28" s="105">
        <v>28662460</v>
      </c>
      <c r="E28" s="685"/>
      <c r="H28" s="187" t="s">
        <v>667</v>
      </c>
      <c r="I28" s="415">
        <f>+I13+I18+I23</f>
        <v>8892550</v>
      </c>
      <c r="J28" s="379"/>
      <c r="K28" s="379"/>
      <c r="L28" s="209">
        <f>+L13+L18+L23</f>
        <v>16006590.000000002</v>
      </c>
      <c r="M28" s="217">
        <f>+M13+M18+M23</f>
        <v>17340472.5</v>
      </c>
      <c r="N28" s="191"/>
    </row>
    <row r="29" spans="2:14" ht="15">
      <c r="B29" s="1"/>
      <c r="C29" s="1"/>
      <c r="D29" s="1"/>
      <c r="E29" s="685"/>
      <c r="H29" s="187" t="s">
        <v>36</v>
      </c>
      <c r="I29" s="562">
        <f>+I14+I19+I24</f>
        <v>6047609</v>
      </c>
      <c r="J29" s="379"/>
      <c r="K29" s="379"/>
      <c r="L29" s="211">
        <f>+L14+L19+L24</f>
        <v>13304739.8</v>
      </c>
      <c r="M29" s="218">
        <f>+M14+M19+M24</f>
        <v>14211881.15</v>
      </c>
      <c r="N29" s="191"/>
    </row>
    <row r="30" spans="2:14" ht="15">
      <c r="B30" s="1" t="s">
        <v>574</v>
      </c>
      <c r="C30" s="105">
        <v>253379</v>
      </c>
      <c r="D30" s="105" t="s">
        <v>750</v>
      </c>
      <c r="H30" s="187"/>
      <c r="I30" s="487"/>
      <c r="J30" s="379"/>
      <c r="K30" s="379"/>
      <c r="L30" s="209"/>
      <c r="M30" s="217"/>
      <c r="N30" s="191"/>
    </row>
    <row r="31" spans="2:14" ht="15">
      <c r="B31" s="1"/>
      <c r="C31" s="1"/>
      <c r="D31" s="1"/>
      <c r="E31" s="685"/>
      <c r="H31" s="187" t="s">
        <v>118</v>
      </c>
      <c r="I31" s="415">
        <f>+I25+I20+I15</f>
        <v>14940159</v>
      </c>
      <c r="J31" s="379"/>
      <c r="K31" s="379"/>
      <c r="L31" s="209">
        <f>+L25+L20+L15</f>
        <v>29311329.8</v>
      </c>
      <c r="M31" s="217">
        <f>+M25+M20+M15</f>
        <v>31552353.65</v>
      </c>
      <c r="N31" s="203">
        <f>+M31/L31-1</f>
        <v>0.07645589146897036</v>
      </c>
    </row>
    <row r="32" spans="2:14" ht="15">
      <c r="B32" s="1" t="s">
        <v>349</v>
      </c>
      <c r="C32" s="105">
        <v>15193538</v>
      </c>
      <c r="D32" s="105">
        <v>28662460</v>
      </c>
      <c r="H32" s="187"/>
      <c r="I32" s="487"/>
      <c r="J32" s="379"/>
      <c r="K32" s="379"/>
      <c r="L32" s="209"/>
      <c r="M32" s="217"/>
      <c r="N32" s="191"/>
    </row>
    <row r="33" spans="8:14" ht="15.75" thickBot="1">
      <c r="H33" s="187"/>
      <c r="I33" s="487"/>
      <c r="J33" s="379"/>
      <c r="K33" s="379"/>
      <c r="L33" s="209"/>
      <c r="M33" s="217"/>
      <c r="N33" s="191"/>
    </row>
    <row r="34" spans="5:14" ht="15.75" thickTop="1">
      <c r="E34" s="685"/>
      <c r="H34" s="230" t="s">
        <v>691</v>
      </c>
      <c r="I34" s="199"/>
      <c r="J34" s="199"/>
      <c r="K34" s="199"/>
      <c r="L34" s="199"/>
      <c r="M34" s="477"/>
      <c r="N34" s="493"/>
    </row>
    <row r="35" spans="8:14" ht="15.75" thickBot="1">
      <c r="H35" s="364"/>
      <c r="I35" s="197"/>
      <c r="J35" s="197"/>
      <c r="K35" s="197"/>
      <c r="L35" s="197"/>
      <c r="M35" s="363"/>
      <c r="N35" s="494"/>
    </row>
    <row r="36" spans="5:13" ht="15.75" thickTop="1">
      <c r="E36" s="83"/>
      <c r="M36" s="16"/>
    </row>
    <row r="37" spans="8:13" ht="15">
      <c r="H37" s="10"/>
      <c r="M37" s="16"/>
    </row>
    <row r="38" spans="5:13" ht="15">
      <c r="E38" s="685"/>
      <c r="H38" s="10"/>
      <c r="M38" s="16"/>
    </row>
    <row r="39" spans="8:13" ht="15">
      <c r="H39" s="10"/>
      <c r="M39" s="16"/>
    </row>
    <row r="40" spans="8:19" ht="15">
      <c r="H40" s="10"/>
      <c r="M40" s="16"/>
      <c r="O40" s="36"/>
      <c r="P40" s="36"/>
      <c r="Q40" s="36"/>
      <c r="R40" s="36"/>
      <c r="S40" s="36"/>
    </row>
    <row r="41" spans="8:19" ht="15">
      <c r="H41" s="10"/>
      <c r="M41" s="16"/>
      <c r="O41" s="36"/>
      <c r="P41" s="36"/>
      <c r="Q41" s="36"/>
      <c r="R41" s="36"/>
      <c r="S41" s="36"/>
    </row>
    <row r="42" spans="8:13" ht="15">
      <c r="H42" s="10"/>
      <c r="M42" s="16"/>
    </row>
    <row r="43" ht="15">
      <c r="M43" s="16"/>
    </row>
    <row r="44" ht="15">
      <c r="M44" s="16"/>
    </row>
    <row r="45" ht="15">
      <c r="M45" s="16"/>
    </row>
    <row r="46" ht="15">
      <c r="M46" s="16"/>
    </row>
    <row r="47" ht="15">
      <c r="M47" s="16"/>
    </row>
    <row r="48" ht="15">
      <c r="M48" s="16"/>
    </row>
    <row r="49" ht="15">
      <c r="M49" s="16"/>
    </row>
    <row r="50" ht="15">
      <c r="M50" s="16"/>
    </row>
    <row r="51" ht="15">
      <c r="M51" s="16"/>
    </row>
    <row r="52" ht="15">
      <c r="M52" s="16"/>
    </row>
    <row r="53" ht="15">
      <c r="M53" s="16"/>
    </row>
    <row r="54" ht="15">
      <c r="M54" s="16"/>
    </row>
    <row r="55" ht="15">
      <c r="M55" s="16"/>
    </row>
    <row r="56" ht="15">
      <c r="M56" s="16"/>
    </row>
    <row r="57" ht="15">
      <c r="M57" s="16"/>
    </row>
    <row r="58" ht="15">
      <c r="M58" s="16"/>
    </row>
  </sheetData>
  <mergeCells count="7">
    <mergeCell ref="J8:K8"/>
    <mergeCell ref="L8:M8"/>
    <mergeCell ref="N8:N10"/>
    <mergeCell ref="B3:D3"/>
    <mergeCell ref="B4:D4"/>
    <mergeCell ref="H6:N6"/>
    <mergeCell ref="H7:N7"/>
  </mergeCells>
  <printOptions horizontalCentered="1"/>
  <pageMargins left="0.25" right="0.25" top="0.75" bottom="0.75" header="0.5" footer="0.5"/>
  <pageSetup fitToHeight="1" fitToWidth="1" horizontalDpi="300" verticalDpi="300" orientation="landscape" scale="9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2:M344"/>
  <sheetViews>
    <sheetView zoomScale="70" zoomScaleNormal="70" workbookViewId="0" topLeftCell="A1">
      <selection activeCell="E16" sqref="E16"/>
    </sheetView>
  </sheetViews>
  <sheetFormatPr defaultColWidth="15.140625" defaultRowHeight="12.75"/>
  <cols>
    <col min="1" max="1" width="11.8515625" style="1" customWidth="1"/>
    <col min="2" max="2" width="33.57421875" style="36" customWidth="1"/>
    <col min="3" max="4" width="18.00390625" style="36" customWidth="1"/>
    <col min="5" max="5" width="12.8515625" style="1" customWidth="1"/>
    <col min="6" max="6" width="23.8515625" style="1" customWidth="1"/>
    <col min="7" max="7" width="14.421875" style="1" bestFit="1" customWidth="1"/>
    <col min="8" max="8" width="15.140625" style="1" customWidth="1"/>
    <col min="9" max="9" width="15.00390625" style="1" customWidth="1"/>
    <col min="10" max="10" width="18.00390625" style="1" customWidth="1"/>
    <col min="11" max="11" width="16.421875" style="1" customWidth="1"/>
    <col min="12" max="12" width="13.28125" style="1" customWidth="1"/>
    <col min="13" max="16384" width="15.140625" style="1" customWidth="1"/>
  </cols>
  <sheetData>
    <row r="2" spans="2:4" ht="15">
      <c r="B2" s="23"/>
      <c r="C2" s="1"/>
      <c r="D2" s="1" t="s">
        <v>598</v>
      </c>
    </row>
    <row r="3" spans="2:7" ht="18">
      <c r="B3" s="771" t="s">
        <v>671</v>
      </c>
      <c r="C3" s="771"/>
      <c r="D3" s="771"/>
      <c r="F3" s="4"/>
      <c r="G3" s="4"/>
    </row>
    <row r="4" spans="2:12" ht="15.75">
      <c r="B4" s="772" t="s">
        <v>700</v>
      </c>
      <c r="C4" s="772"/>
      <c r="D4" s="772"/>
      <c r="H4" s="243"/>
      <c r="I4" s="243"/>
      <c r="L4" s="9" t="str">
        <f>WN</f>
        <v>February 2009</v>
      </c>
    </row>
    <row r="5" spans="2:12" ht="15.75" thickBot="1">
      <c r="B5" s="1"/>
      <c r="C5" s="1"/>
      <c r="D5" s="1"/>
      <c r="E5" s="2"/>
      <c r="H5" s="4"/>
      <c r="I5" s="4"/>
      <c r="L5" s="9"/>
    </row>
    <row r="6" spans="2:12" ht="16.5" thickTop="1">
      <c r="B6" s="1" t="s">
        <v>137</v>
      </c>
      <c r="C6" s="2" t="s">
        <v>423</v>
      </c>
      <c r="D6" s="72" t="s">
        <v>212</v>
      </c>
      <c r="E6" s="2"/>
      <c r="F6" s="780" t="s">
        <v>671</v>
      </c>
      <c r="G6" s="781"/>
      <c r="H6" s="781"/>
      <c r="I6" s="781"/>
      <c r="J6" s="781"/>
      <c r="K6" s="781"/>
      <c r="L6" s="782"/>
    </row>
    <row r="7" spans="2:12" ht="15.75" thickBot="1">
      <c r="B7" s="26"/>
      <c r="C7" s="26"/>
      <c r="D7" s="26"/>
      <c r="E7" s="2"/>
      <c r="F7" s="783" t="str">
        <f>"Fiscal Year 2008 "</f>
        <v>Fiscal Year 2008 </v>
      </c>
      <c r="G7" s="784"/>
      <c r="H7" s="784"/>
      <c r="I7" s="784"/>
      <c r="J7" s="784"/>
      <c r="K7" s="784"/>
      <c r="L7" s="785"/>
    </row>
    <row r="8" spans="2:12" ht="15.75" thickTop="1">
      <c r="B8" s="1" t="s">
        <v>350</v>
      </c>
      <c r="C8" s="16">
        <v>1504037</v>
      </c>
      <c r="D8" s="16">
        <v>10494455</v>
      </c>
      <c r="E8" s="2"/>
      <c r="F8" s="184"/>
      <c r="G8" s="575" t="s">
        <v>423</v>
      </c>
      <c r="H8" s="786" t="s">
        <v>234</v>
      </c>
      <c r="I8" s="770"/>
      <c r="J8" s="786" t="s">
        <v>528</v>
      </c>
      <c r="K8" s="787"/>
      <c r="L8" s="804" t="s">
        <v>209</v>
      </c>
    </row>
    <row r="9" spans="2:12" ht="15">
      <c r="B9" s="1"/>
      <c r="C9" s="1"/>
      <c r="D9" s="1"/>
      <c r="E9" s="2"/>
      <c r="F9" s="187"/>
      <c r="G9" s="207"/>
      <c r="H9" s="72"/>
      <c r="I9" s="72"/>
      <c r="J9" s="207"/>
      <c r="K9" s="215"/>
      <c r="L9" s="805"/>
    </row>
    <row r="10" spans="2:12" ht="15.75" thickBot="1">
      <c r="B10" s="1" t="s">
        <v>7</v>
      </c>
      <c r="C10" s="1"/>
      <c r="D10" s="1"/>
      <c r="E10" s="2"/>
      <c r="F10" s="227"/>
      <c r="G10" s="293" t="str">
        <f>"FY "&amp;FY</f>
        <v>FY </v>
      </c>
      <c r="H10" s="295" t="s">
        <v>206</v>
      </c>
      <c r="I10" s="295" t="s">
        <v>683</v>
      </c>
      <c r="J10" s="296" t="s">
        <v>640</v>
      </c>
      <c r="K10" s="294" t="s">
        <v>683</v>
      </c>
      <c r="L10" s="806"/>
    </row>
    <row r="11" spans="2:12" ht="15.75" thickTop="1">
      <c r="B11" s="1" t="s">
        <v>599</v>
      </c>
      <c r="C11" s="16">
        <v>106871</v>
      </c>
      <c r="D11" s="16">
        <v>748164</v>
      </c>
      <c r="E11" s="2"/>
      <c r="F11" s="184"/>
      <c r="G11" s="401" t="s">
        <v>78</v>
      </c>
      <c r="H11" s="383" t="s">
        <v>79</v>
      </c>
      <c r="I11" s="383" t="s">
        <v>80</v>
      </c>
      <c r="J11" s="397" t="s">
        <v>81</v>
      </c>
      <c r="K11" s="420" t="s">
        <v>82</v>
      </c>
      <c r="L11" s="384" t="s">
        <v>96</v>
      </c>
    </row>
    <row r="12" spans="2:12" ht="15">
      <c r="B12" s="1" t="s">
        <v>600</v>
      </c>
      <c r="C12" s="100">
        <v>7566</v>
      </c>
      <c r="D12" s="100">
        <v>73898</v>
      </c>
      <c r="E12" s="2"/>
      <c r="F12" s="187"/>
      <c r="G12" s="236"/>
      <c r="H12" s="38"/>
      <c r="I12" s="36"/>
      <c r="J12" s="208"/>
      <c r="K12" s="216"/>
      <c r="L12" s="498"/>
    </row>
    <row r="13" spans="2:12" ht="15">
      <c r="B13" s="1" t="s">
        <v>105</v>
      </c>
      <c r="C13" s="16">
        <v>114437</v>
      </c>
      <c r="D13" s="16">
        <v>822062</v>
      </c>
      <c r="E13" s="2"/>
      <c r="F13" s="187" t="s">
        <v>163</v>
      </c>
      <c r="G13" s="269">
        <f>+C8</f>
        <v>1504037</v>
      </c>
      <c r="H13" s="390">
        <f>+Rates!F228</f>
        <v>7.1</v>
      </c>
      <c r="I13" s="390">
        <f>+Rates!G228</f>
        <v>7.4</v>
      </c>
      <c r="J13" s="253">
        <f>+H13*G13</f>
        <v>10678662.7</v>
      </c>
      <c r="K13" s="259">
        <f>+I13*G13</f>
        <v>11129873.8</v>
      </c>
      <c r="L13" s="191">
        <f>(I13-H13)/H13</f>
        <v>0.04225352112676067</v>
      </c>
    </row>
    <row r="14" spans="2:12" ht="15">
      <c r="B14" s="1"/>
      <c r="C14" s="1"/>
      <c r="D14" s="1"/>
      <c r="E14" s="2"/>
      <c r="F14" s="187"/>
      <c r="G14" s="236"/>
      <c r="H14" s="390"/>
      <c r="I14" s="390"/>
      <c r="J14" s="212"/>
      <c r="K14" s="219"/>
      <c r="L14" s="189"/>
    </row>
    <row r="15" spans="2:12" ht="15">
      <c r="B15" s="1" t="s">
        <v>351</v>
      </c>
      <c r="C15" s="1"/>
      <c r="D15" s="1"/>
      <c r="E15" s="2"/>
      <c r="F15" s="187" t="s">
        <v>7</v>
      </c>
      <c r="G15" s="236"/>
      <c r="H15" s="390"/>
      <c r="I15" s="390"/>
      <c r="J15" s="212"/>
      <c r="K15" s="219"/>
      <c r="L15" s="189"/>
    </row>
    <row r="16" spans="2:12" ht="15">
      <c r="B16" s="1"/>
      <c r="C16" s="1"/>
      <c r="D16" s="1"/>
      <c r="E16" s="2"/>
      <c r="F16" s="187" t="s">
        <v>599</v>
      </c>
      <c r="G16" s="269">
        <f>+C11</f>
        <v>106871</v>
      </c>
      <c r="H16" s="390">
        <f>H13</f>
        <v>7.1</v>
      </c>
      <c r="I16" s="390">
        <f>I13</f>
        <v>7.4</v>
      </c>
      <c r="J16" s="253">
        <f>+H16*G16</f>
        <v>758784.1</v>
      </c>
      <c r="K16" s="259">
        <f>+I16*G16</f>
        <v>790845.4</v>
      </c>
      <c r="L16" s="191">
        <f>(I16-H16)/H16</f>
        <v>0.04225352112676067</v>
      </c>
    </row>
    <row r="17" spans="2:12" ht="15">
      <c r="B17" s="1" t="s">
        <v>112</v>
      </c>
      <c r="C17" s="1"/>
      <c r="D17" s="1"/>
      <c r="E17" s="2"/>
      <c r="F17" s="187" t="s">
        <v>600</v>
      </c>
      <c r="G17" s="449">
        <f>+C12</f>
        <v>7566</v>
      </c>
      <c r="H17" s="390">
        <f>+Rates!F231</f>
        <v>9.9</v>
      </c>
      <c r="I17" s="390">
        <f>+Rates!G231</f>
        <v>10.4</v>
      </c>
      <c r="J17" s="699">
        <f>+H17*G17</f>
        <v>74903.40000000001</v>
      </c>
      <c r="K17" s="700">
        <f>+I17*G17</f>
        <v>78686.40000000001</v>
      </c>
      <c r="L17" s="191">
        <f>(I17-H17)/H17</f>
        <v>0.050505050505050504</v>
      </c>
    </row>
    <row r="18" spans="2:12" ht="15">
      <c r="B18" s="1" t="s">
        <v>599</v>
      </c>
      <c r="C18" s="5">
        <v>41185</v>
      </c>
      <c r="D18" s="5">
        <v>292147.81052044797</v>
      </c>
      <c r="E18" s="2"/>
      <c r="F18" s="187" t="s">
        <v>105</v>
      </c>
      <c r="G18" s="269">
        <f>G16+G17</f>
        <v>114437</v>
      </c>
      <c r="H18" s="390"/>
      <c r="I18" s="390"/>
      <c r="J18" s="212">
        <f>J16+J17</f>
        <v>833687.5</v>
      </c>
      <c r="K18" s="219">
        <f>K16+K17</f>
        <v>869531.8</v>
      </c>
      <c r="L18" s="189"/>
    </row>
    <row r="19" spans="2:12" ht="15">
      <c r="B19" s="1" t="s">
        <v>600</v>
      </c>
      <c r="C19" s="88">
        <v>5177</v>
      </c>
      <c r="D19" s="88">
        <v>9517</v>
      </c>
      <c r="E19" s="2"/>
      <c r="F19" s="187"/>
      <c r="G19" s="236"/>
      <c r="H19" s="390"/>
      <c r="I19" s="390"/>
      <c r="J19" s="212"/>
      <c r="K19" s="219"/>
      <c r="L19" s="189"/>
    </row>
    <row r="20" spans="2:12" ht="15">
      <c r="B20" s="1" t="s">
        <v>105</v>
      </c>
      <c r="C20" s="5">
        <v>46362</v>
      </c>
      <c r="D20" s="5">
        <v>301664.81052044797</v>
      </c>
      <c r="E20" s="2"/>
      <c r="F20" s="501" t="s">
        <v>351</v>
      </c>
      <c r="G20" s="236"/>
      <c r="H20" s="390" t="s">
        <v>138</v>
      </c>
      <c r="I20" s="390" t="s">
        <v>138</v>
      </c>
      <c r="J20" s="499"/>
      <c r="K20" s="216"/>
      <c r="L20" s="189"/>
    </row>
    <row r="21" spans="2:12" ht="15">
      <c r="B21" s="1"/>
      <c r="C21" s="1"/>
      <c r="D21" s="1"/>
      <c r="E21" s="2"/>
      <c r="F21" s="250"/>
      <c r="G21" s="236"/>
      <c r="H21" s="387"/>
      <c r="I21" s="387"/>
      <c r="J21" s="209"/>
      <c r="K21" s="217"/>
      <c r="L21" s="191"/>
    </row>
    <row r="22" spans="2:12" ht="15">
      <c r="B22" s="1" t="s">
        <v>665</v>
      </c>
      <c r="C22" s="1"/>
      <c r="D22" s="1"/>
      <c r="E22" s="2"/>
      <c r="F22" s="187" t="s">
        <v>112</v>
      </c>
      <c r="G22" s="236"/>
      <c r="H22" s="390"/>
      <c r="I22" s="390"/>
      <c r="J22" s="208"/>
      <c r="K22" s="216"/>
      <c r="L22" s="189"/>
    </row>
    <row r="23" spans="2:12" ht="15">
      <c r="B23" s="1" t="s">
        <v>599</v>
      </c>
      <c r="C23" s="5">
        <v>5614</v>
      </c>
      <c r="D23" s="5">
        <v>39823.18339836822</v>
      </c>
      <c r="E23" s="2"/>
      <c r="F23" s="187" t="s">
        <v>599</v>
      </c>
      <c r="G23" s="269">
        <f>+C18</f>
        <v>41185</v>
      </c>
      <c r="H23" s="390">
        <f>H13</f>
        <v>7.1</v>
      </c>
      <c r="I23" s="390">
        <f>I13</f>
        <v>7.4</v>
      </c>
      <c r="J23" s="253">
        <f>+H23*G23</f>
        <v>292413.5</v>
      </c>
      <c r="K23" s="259">
        <f>+I23*G23</f>
        <v>304769</v>
      </c>
      <c r="L23" s="191">
        <f>(I23-H23)/H23</f>
        <v>0.04225352112676067</v>
      </c>
    </row>
    <row r="24" spans="2:12" ht="15">
      <c r="B24" s="1" t="s">
        <v>600</v>
      </c>
      <c r="C24" s="88">
        <v>0</v>
      </c>
      <c r="D24" s="88">
        <v>0</v>
      </c>
      <c r="E24" s="2"/>
      <c r="F24" s="187" t="s">
        <v>600</v>
      </c>
      <c r="G24" s="449">
        <f>+C19</f>
        <v>5177</v>
      </c>
      <c r="H24" s="390">
        <f>H17</f>
        <v>9.9</v>
      </c>
      <c r="I24" s="390">
        <f>I17</f>
        <v>10.4</v>
      </c>
      <c r="J24" s="699">
        <f>+H24*G24</f>
        <v>51252.3</v>
      </c>
      <c r="K24" s="700">
        <f>+I24*G24</f>
        <v>53840.8</v>
      </c>
      <c r="L24" s="191">
        <f>(I24-H24)/H24</f>
        <v>0.050505050505050504</v>
      </c>
    </row>
    <row r="25" spans="2:13" ht="15">
      <c r="B25" s="1" t="s">
        <v>105</v>
      </c>
      <c r="C25" s="5">
        <v>5614</v>
      </c>
      <c r="D25" s="5">
        <v>39823.18339836822</v>
      </c>
      <c r="E25" s="2"/>
      <c r="F25" s="187" t="s">
        <v>105</v>
      </c>
      <c r="G25" s="269">
        <f>SUM(G23:G24)</f>
        <v>46362</v>
      </c>
      <c r="H25" s="390" t="s">
        <v>138</v>
      </c>
      <c r="I25" s="390" t="s">
        <v>138</v>
      </c>
      <c r="J25" s="212">
        <f>SUM(J23:J24)</f>
        <v>343665.8</v>
      </c>
      <c r="K25" s="219">
        <f>SUM(K23:K24)</f>
        <v>358609.8</v>
      </c>
      <c r="L25" s="191" t="s">
        <v>138</v>
      </c>
      <c r="M25" s="30"/>
    </row>
    <row r="26" spans="2:13" ht="15">
      <c r="B26" s="1"/>
      <c r="C26" s="5"/>
      <c r="D26" s="5"/>
      <c r="E26" s="2"/>
      <c r="F26" s="187"/>
      <c r="G26" s="236"/>
      <c r="H26" s="387" t="s">
        <v>138</v>
      </c>
      <c r="I26" s="387" t="s">
        <v>138</v>
      </c>
      <c r="J26" s="208"/>
      <c r="K26" s="216"/>
      <c r="L26" s="191" t="s">
        <v>138</v>
      </c>
      <c r="M26" s="30"/>
    </row>
    <row r="27" spans="2:13" ht="15">
      <c r="B27" s="1" t="s">
        <v>115</v>
      </c>
      <c r="C27" s="1"/>
      <c r="D27" s="1"/>
      <c r="E27" s="2"/>
      <c r="F27" s="187" t="s">
        <v>665</v>
      </c>
      <c r="G27" s="236"/>
      <c r="H27" s="387" t="s">
        <v>138</v>
      </c>
      <c r="I27" s="387" t="s">
        <v>138</v>
      </c>
      <c r="J27" s="208"/>
      <c r="K27" s="216"/>
      <c r="L27" s="191" t="s">
        <v>138</v>
      </c>
      <c r="M27" s="30"/>
    </row>
    <row r="28" spans="2:13" ht="15">
      <c r="B28" s="1" t="s">
        <v>599</v>
      </c>
      <c r="C28" s="5">
        <v>12400</v>
      </c>
      <c r="D28" s="5">
        <v>87960.0060811838</v>
      </c>
      <c r="E28" s="2"/>
      <c r="F28" s="187" t="s">
        <v>599</v>
      </c>
      <c r="G28" s="269">
        <f>+C23</f>
        <v>5614</v>
      </c>
      <c r="H28" s="390">
        <f>H13</f>
        <v>7.1</v>
      </c>
      <c r="I28" s="390">
        <f>$I$23</f>
        <v>7.4</v>
      </c>
      <c r="J28" s="253">
        <f>+H28*G28</f>
        <v>39859.4</v>
      </c>
      <c r="K28" s="259">
        <f>+I28*G28</f>
        <v>41543.6</v>
      </c>
      <c r="L28" s="191">
        <f>(I28-H28)/H28</f>
        <v>0.04225352112676067</v>
      </c>
      <c r="M28" s="30"/>
    </row>
    <row r="29" spans="2:13" ht="15">
      <c r="B29" s="1" t="s">
        <v>600</v>
      </c>
      <c r="C29" s="88">
        <v>0</v>
      </c>
      <c r="D29" s="88">
        <v>0</v>
      </c>
      <c r="E29" s="2"/>
      <c r="F29" s="187" t="s">
        <v>600</v>
      </c>
      <c r="G29" s="449">
        <f>+C24</f>
        <v>0</v>
      </c>
      <c r="H29" s="390">
        <f>H24</f>
        <v>9.9</v>
      </c>
      <c r="I29" s="390">
        <f>$I$24</f>
        <v>10.4</v>
      </c>
      <c r="J29" s="699">
        <f>+H29*G29</f>
        <v>0</v>
      </c>
      <c r="K29" s="700">
        <f>+I29*G29</f>
        <v>0</v>
      </c>
      <c r="L29" s="191">
        <f>(I29-H29)/H29</f>
        <v>0.050505050505050504</v>
      </c>
      <c r="M29" s="30"/>
    </row>
    <row r="30" spans="2:13" ht="15">
      <c r="B30" s="1" t="s">
        <v>105</v>
      </c>
      <c r="C30" s="5">
        <v>12400</v>
      </c>
      <c r="D30" s="5">
        <v>87960.0060811838</v>
      </c>
      <c r="E30" s="2"/>
      <c r="F30" s="187" t="s">
        <v>105</v>
      </c>
      <c r="G30" s="269">
        <f>SUM(G28:G29)</f>
        <v>5614</v>
      </c>
      <c r="H30" s="390"/>
      <c r="I30" s="390"/>
      <c r="J30" s="212">
        <f>SUM(J28:J29)</f>
        <v>39859.4</v>
      </c>
      <c r="K30" s="219">
        <f>SUM(K28:K29)</f>
        <v>41543.6</v>
      </c>
      <c r="L30" s="191" t="s">
        <v>138</v>
      </c>
      <c r="M30" s="30"/>
    </row>
    <row r="31" spans="2:13" ht="15">
      <c r="B31" s="1"/>
      <c r="C31" s="1"/>
      <c r="D31" s="1"/>
      <c r="E31" s="2"/>
      <c r="F31" s="187"/>
      <c r="G31" s="237"/>
      <c r="H31" s="387"/>
      <c r="I31" s="387"/>
      <c r="J31" s="209"/>
      <c r="K31" s="217"/>
      <c r="L31" s="191" t="s">
        <v>138</v>
      </c>
      <c r="M31" s="30"/>
    </row>
    <row r="32" spans="2:13" ht="15">
      <c r="B32" s="1" t="s">
        <v>117</v>
      </c>
      <c r="C32" s="1"/>
      <c r="D32" s="1"/>
      <c r="E32" s="2"/>
      <c r="F32" s="187" t="s">
        <v>115</v>
      </c>
      <c r="G32" s="236"/>
      <c r="H32" s="387" t="s">
        <v>138</v>
      </c>
      <c r="I32" s="387" t="s">
        <v>138</v>
      </c>
      <c r="J32" s="208"/>
      <c r="K32" s="216"/>
      <c r="L32" s="191" t="s">
        <v>138</v>
      </c>
      <c r="M32" s="30"/>
    </row>
    <row r="33" spans="2:13" ht="15">
      <c r="B33" s="1" t="s">
        <v>599</v>
      </c>
      <c r="C33" s="5">
        <v>0</v>
      </c>
      <c r="D33" s="5">
        <v>0</v>
      </c>
      <c r="E33" s="2"/>
      <c r="F33" s="187" t="s">
        <v>599</v>
      </c>
      <c r="G33" s="269">
        <f>+C28</f>
        <v>12400</v>
      </c>
      <c r="H33" s="390">
        <f>H23</f>
        <v>7.1</v>
      </c>
      <c r="I33" s="390">
        <f>$I$23</f>
        <v>7.4</v>
      </c>
      <c r="J33" s="253">
        <f>+H33*G33</f>
        <v>88040</v>
      </c>
      <c r="K33" s="259">
        <f>+I33*G33</f>
        <v>91760</v>
      </c>
      <c r="L33" s="191">
        <f>(I33-H33)/H33</f>
        <v>0.04225352112676067</v>
      </c>
      <c r="M33" s="30"/>
    </row>
    <row r="34" spans="2:13" ht="15">
      <c r="B34" s="1" t="s">
        <v>600</v>
      </c>
      <c r="C34" s="88">
        <v>0</v>
      </c>
      <c r="D34" s="88">
        <v>0</v>
      </c>
      <c r="E34" s="2"/>
      <c r="F34" s="187" t="s">
        <v>600</v>
      </c>
      <c r="G34" s="449">
        <f>+C29</f>
        <v>0</v>
      </c>
      <c r="H34" s="390">
        <f>H24</f>
        <v>9.9</v>
      </c>
      <c r="I34" s="390">
        <f>$I$24</f>
        <v>10.4</v>
      </c>
      <c r="J34" s="699">
        <f>+H34*G34</f>
        <v>0</v>
      </c>
      <c r="K34" s="700">
        <f>+I34*G34</f>
        <v>0</v>
      </c>
      <c r="L34" s="191">
        <f>(I34-H34)/H34</f>
        <v>0.050505050505050504</v>
      </c>
      <c r="M34" s="30"/>
    </row>
    <row r="35" spans="2:13" ht="15">
      <c r="B35" s="1" t="s">
        <v>105</v>
      </c>
      <c r="C35" s="88">
        <v>0</v>
      </c>
      <c r="D35" s="88">
        <v>0</v>
      </c>
      <c r="E35" s="2"/>
      <c r="F35" s="187" t="s">
        <v>105</v>
      </c>
      <c r="G35" s="269">
        <f>SUM(G33:G34)</f>
        <v>12400</v>
      </c>
      <c r="H35" s="390"/>
      <c r="I35" s="390"/>
      <c r="J35" s="212">
        <f>SUM(J33:J34)</f>
        <v>88040</v>
      </c>
      <c r="K35" s="219">
        <f>SUM(K33:K34)</f>
        <v>91760</v>
      </c>
      <c r="L35" s="191" t="s">
        <v>138</v>
      </c>
      <c r="M35" s="30"/>
    </row>
    <row r="36" spans="2:13" ht="15">
      <c r="B36" s="1"/>
      <c r="C36" s="1"/>
      <c r="D36" s="1"/>
      <c r="E36" s="2"/>
      <c r="F36" s="187"/>
      <c r="G36" s="236"/>
      <c r="H36" s="36"/>
      <c r="I36" s="36"/>
      <c r="J36" s="208"/>
      <c r="K36" s="216"/>
      <c r="L36" s="189"/>
      <c r="M36" s="30"/>
    </row>
    <row r="37" spans="2:13" ht="15">
      <c r="B37" s="1" t="s">
        <v>213</v>
      </c>
      <c r="C37" s="88">
        <v>64376</v>
      </c>
      <c r="D37" s="88">
        <v>429448</v>
      </c>
      <c r="E37" s="2"/>
      <c r="F37" s="187" t="s">
        <v>117</v>
      </c>
      <c r="G37" s="236"/>
      <c r="H37" s="387"/>
      <c r="I37" s="387"/>
      <c r="J37" s="208"/>
      <c r="K37" s="216"/>
      <c r="L37" s="191"/>
      <c r="M37" s="30"/>
    </row>
    <row r="38" spans="2:13" ht="15">
      <c r="B38" s="1"/>
      <c r="C38" s="1"/>
      <c r="D38" s="1"/>
      <c r="E38" s="2"/>
      <c r="F38" s="187" t="s">
        <v>599</v>
      </c>
      <c r="G38" s="269">
        <f>+C33</f>
        <v>0</v>
      </c>
      <c r="H38" s="390">
        <f>H28</f>
        <v>7.1</v>
      </c>
      <c r="I38" s="390">
        <f>$I$23</f>
        <v>7.4</v>
      </c>
      <c r="J38" s="253">
        <f>+H38*G38</f>
        <v>0</v>
      </c>
      <c r="K38" s="259">
        <f>+I38*G38</f>
        <v>0</v>
      </c>
      <c r="L38" s="191">
        <f>(I38-H38)/H38</f>
        <v>0.04225352112676067</v>
      </c>
      <c r="M38" s="30"/>
    </row>
    <row r="39" spans="2:13" ht="15">
      <c r="B39" s="1" t="s">
        <v>352</v>
      </c>
      <c r="C39" s="5">
        <v>1682850</v>
      </c>
      <c r="D39" s="5">
        <v>11745965</v>
      </c>
      <c r="E39" s="2"/>
      <c r="F39" s="187" t="s">
        <v>600</v>
      </c>
      <c r="G39" s="449">
        <f>+C34</f>
        <v>0</v>
      </c>
      <c r="H39" s="390">
        <f>H29</f>
        <v>9.9</v>
      </c>
      <c r="I39" s="390">
        <f>$I$24</f>
        <v>10.4</v>
      </c>
      <c r="J39" s="699">
        <f>+H39*G39</f>
        <v>0</v>
      </c>
      <c r="K39" s="700">
        <f>+I39*G39</f>
        <v>0</v>
      </c>
      <c r="L39" s="191">
        <f>(I39-H39)/H39</f>
        <v>0.050505050505050504</v>
      </c>
      <c r="M39" s="30"/>
    </row>
    <row r="40" spans="2:13" ht="15">
      <c r="B40" s="1"/>
      <c r="C40" s="1"/>
      <c r="D40" s="1"/>
      <c r="E40" s="2"/>
      <c r="F40" s="187" t="s">
        <v>105</v>
      </c>
      <c r="G40" s="269">
        <f>+C35</f>
        <v>0</v>
      </c>
      <c r="H40" s="390"/>
      <c r="I40" s="390"/>
      <c r="J40" s="212">
        <f>SUM(J38:J39)</f>
        <v>0</v>
      </c>
      <c r="K40" s="219">
        <f>SUM(K38:K39)</f>
        <v>0</v>
      </c>
      <c r="L40" s="191"/>
      <c r="M40" s="30"/>
    </row>
    <row r="41" spans="2:13" ht="15">
      <c r="B41" s="1" t="s">
        <v>574</v>
      </c>
      <c r="C41" s="88">
        <v>17243</v>
      </c>
      <c r="D41" s="497" t="s">
        <v>750</v>
      </c>
      <c r="E41" s="2"/>
      <c r="F41" s="187"/>
      <c r="G41" s="236"/>
      <c r="H41" s="38"/>
      <c r="I41" s="38"/>
      <c r="J41" s="208"/>
      <c r="K41" s="216"/>
      <c r="L41" s="191"/>
      <c r="M41" s="30"/>
    </row>
    <row r="42" spans="2:13" ht="15">
      <c r="B42" s="1" t="s">
        <v>138</v>
      </c>
      <c r="C42" s="73"/>
      <c r="D42" s="73"/>
      <c r="E42" s="2"/>
      <c r="F42" s="187" t="s">
        <v>608</v>
      </c>
      <c r="G42" s="404"/>
      <c r="H42" s="38"/>
      <c r="I42" s="38"/>
      <c r="J42" s="299"/>
      <c r="K42" s="448"/>
      <c r="L42" s="191" t="s">
        <v>138</v>
      </c>
      <c r="M42" s="30"/>
    </row>
    <row r="43" spans="2:13" ht="15">
      <c r="B43" s="1" t="s">
        <v>118</v>
      </c>
      <c r="C43" s="5">
        <v>1700093</v>
      </c>
      <c r="D43" s="5">
        <v>11745965</v>
      </c>
      <c r="E43" s="2"/>
      <c r="F43" s="187" t="s">
        <v>604</v>
      </c>
      <c r="G43" s="269">
        <f>G33+G28+G23+G16+G13+G38</f>
        <v>1670107</v>
      </c>
      <c r="H43" s="390">
        <f>+H33</f>
        <v>7.1</v>
      </c>
      <c r="I43" s="390">
        <f>+I33</f>
        <v>7.4</v>
      </c>
      <c r="J43" s="212">
        <f>J33+J28+J23+J16+J13+J38</f>
        <v>11857759.7</v>
      </c>
      <c r="K43" s="219">
        <f>K33+K28+K23+K16+K13+K38</f>
        <v>12358791.8</v>
      </c>
      <c r="L43" s="191">
        <f>(I43-H43)/H43</f>
        <v>0.04225352112676067</v>
      </c>
      <c r="M43" s="30"/>
    </row>
    <row r="44" spans="5:13" ht="15">
      <c r="E44" s="2"/>
      <c r="F44" s="187" t="s">
        <v>605</v>
      </c>
      <c r="G44" s="269">
        <f>G34+G29+G24+G17+G14+G39</f>
        <v>12743</v>
      </c>
      <c r="H44" s="390">
        <f>+H34</f>
        <v>9.9</v>
      </c>
      <c r="I44" s="390">
        <f>+I34</f>
        <v>10.4</v>
      </c>
      <c r="J44" s="256">
        <f>J34+J29+J24+J17+J39</f>
        <v>126155.70000000001</v>
      </c>
      <c r="K44" s="261">
        <f>K34+K29+K24+K17+K39</f>
        <v>132527.2</v>
      </c>
      <c r="L44" s="191">
        <f>(I44-H44)/H44</f>
        <v>0.050505050505050504</v>
      </c>
      <c r="M44" s="30"/>
    </row>
    <row r="45" spans="4:13" ht="15">
      <c r="D45" s="38"/>
      <c r="E45" s="2"/>
      <c r="F45" s="187" t="s">
        <v>609</v>
      </c>
      <c r="G45" s="269">
        <f>SUM(G43:G44)</f>
        <v>1682850</v>
      </c>
      <c r="H45" s="36"/>
      <c r="I45" s="36"/>
      <c r="J45" s="212">
        <f>SUM(J43:J44)</f>
        <v>11983915.399999999</v>
      </c>
      <c r="K45" s="219">
        <f>SUM(K43:K44)</f>
        <v>12491319</v>
      </c>
      <c r="L45" s="454">
        <f>+K45/J45-1</f>
        <v>0.04234038568062659</v>
      </c>
      <c r="M45" s="30"/>
    </row>
    <row r="46" spans="4:13" ht="15">
      <c r="D46" s="38"/>
      <c r="E46" s="2"/>
      <c r="F46" s="187"/>
      <c r="G46" s="269"/>
      <c r="H46" s="36"/>
      <c r="I46" s="36"/>
      <c r="J46" s="208"/>
      <c r="K46" s="216"/>
      <c r="L46" s="189"/>
      <c r="M46" s="30"/>
    </row>
    <row r="47" spans="4:12" ht="15.75" thickBot="1">
      <c r="D47" s="38"/>
      <c r="E47" s="2"/>
      <c r="F47" s="227"/>
      <c r="G47" s="500"/>
      <c r="H47" s="197"/>
      <c r="I47" s="197"/>
      <c r="J47" s="223"/>
      <c r="K47" s="220"/>
      <c r="L47" s="198"/>
    </row>
    <row r="48" spans="5:12" ht="15.75" thickTop="1">
      <c r="E48" s="2"/>
      <c r="F48" s="184" t="s">
        <v>691</v>
      </c>
      <c r="G48" s="199"/>
      <c r="H48" s="199"/>
      <c r="I48" s="199"/>
      <c r="J48" s="199"/>
      <c r="K48" s="199"/>
      <c r="L48" s="200"/>
    </row>
    <row r="49" spans="5:12" ht="15.75" thickBot="1">
      <c r="E49" s="2"/>
      <c r="F49" s="227"/>
      <c r="G49" s="197"/>
      <c r="H49" s="197"/>
      <c r="I49" s="197"/>
      <c r="J49" s="228"/>
      <c r="K49" s="228"/>
      <c r="L49" s="229"/>
    </row>
    <row r="50" spans="5:12" ht="15.75" thickTop="1">
      <c r="E50" s="2"/>
      <c r="J50" s="5"/>
      <c r="K50" s="5"/>
      <c r="L50" s="30" t="s">
        <v>138</v>
      </c>
    </row>
    <row r="51" spans="5:12" ht="15">
      <c r="E51" s="2"/>
      <c r="L51" s="30" t="s">
        <v>138</v>
      </c>
    </row>
    <row r="52" spans="5:12" ht="15">
      <c r="E52" s="2"/>
      <c r="F52" s="10"/>
      <c r="I52" s="29"/>
      <c r="J52" s="5"/>
      <c r="K52" s="5"/>
      <c r="L52" s="30" t="s">
        <v>138</v>
      </c>
    </row>
    <row r="53" spans="5:12" ht="15">
      <c r="E53" s="2"/>
      <c r="G53" s="5"/>
      <c r="J53" s="5"/>
      <c r="K53" s="5"/>
      <c r="L53" s="30"/>
    </row>
    <row r="54" spans="5:12" ht="15">
      <c r="E54" s="2"/>
      <c r="L54" s="30"/>
    </row>
    <row r="55" spans="4:5" ht="15">
      <c r="D55" s="38"/>
      <c r="E55" s="2"/>
    </row>
    <row r="57" ht="15">
      <c r="B57" s="21"/>
    </row>
    <row r="103" ht="15">
      <c r="B103" s="495"/>
    </row>
    <row r="114" ht="15">
      <c r="C114" s="317"/>
    </row>
    <row r="115" spans="3:4" ht="15">
      <c r="C115" s="37"/>
      <c r="D115" s="37"/>
    </row>
    <row r="120" spans="3:4" ht="15">
      <c r="C120" s="37"/>
      <c r="D120" s="37"/>
    </row>
    <row r="121" spans="3:4" ht="15">
      <c r="C121" s="37"/>
      <c r="D121" s="37"/>
    </row>
    <row r="122" spans="3:4" ht="15">
      <c r="C122" s="37"/>
      <c r="D122" s="37"/>
    </row>
    <row r="123" spans="3:4" ht="15">
      <c r="C123" s="37"/>
      <c r="D123" s="37"/>
    </row>
    <row r="126" spans="3:4" ht="15">
      <c r="C126" s="37"/>
      <c r="D126" s="37"/>
    </row>
    <row r="127" spans="3:4" ht="15">
      <c r="C127" s="37"/>
      <c r="D127" s="37"/>
    </row>
    <row r="128" spans="3:4" ht="15">
      <c r="C128" s="37"/>
      <c r="D128" s="37"/>
    </row>
    <row r="129" spans="3:4" ht="15">
      <c r="C129" s="37"/>
      <c r="D129" s="37"/>
    </row>
    <row r="132" ht="15">
      <c r="C132" s="37"/>
    </row>
    <row r="133" ht="15">
      <c r="C133" s="37"/>
    </row>
    <row r="134" spans="3:4" ht="15">
      <c r="C134" s="496"/>
      <c r="D134" s="37"/>
    </row>
    <row r="135" spans="3:4" ht="15">
      <c r="C135" s="496"/>
      <c r="D135" s="37"/>
    </row>
    <row r="136" spans="3:4" ht="15">
      <c r="C136" s="496"/>
      <c r="D136" s="37"/>
    </row>
    <row r="137" spans="3:4" ht="15">
      <c r="C137" s="496"/>
      <c r="D137" s="37"/>
    </row>
    <row r="139" spans="3:4" ht="15">
      <c r="C139" s="37"/>
      <c r="D139" s="37"/>
    </row>
    <row r="141" spans="3:4" ht="15">
      <c r="C141" s="37"/>
      <c r="D141" s="37"/>
    </row>
    <row r="142" ht="15">
      <c r="D142" s="37"/>
    </row>
    <row r="143" spans="3:4" ht="15">
      <c r="C143" s="37"/>
      <c r="D143" s="37"/>
    </row>
    <row r="149" spans="3:4" ht="15">
      <c r="C149" s="37"/>
      <c r="D149" s="37"/>
    </row>
    <row r="163" spans="1:2" ht="15">
      <c r="A163" s="32"/>
      <c r="B163" s="317"/>
    </row>
    <row r="164" ht="15">
      <c r="B164" s="317"/>
    </row>
    <row r="186" ht="15">
      <c r="A186" s="5"/>
    </row>
    <row r="187" ht="15">
      <c r="A187" s="5"/>
    </row>
    <row r="188" ht="15">
      <c r="C188" s="37"/>
    </row>
    <row r="307" ht="15">
      <c r="C307" s="317"/>
    </row>
    <row r="308" ht="15">
      <c r="C308" s="317"/>
    </row>
    <row r="309" ht="15">
      <c r="C309" s="317"/>
    </row>
    <row r="310" ht="15">
      <c r="C310" s="317"/>
    </row>
    <row r="311" ht="15">
      <c r="C311" s="317"/>
    </row>
    <row r="312" ht="15">
      <c r="C312" s="317"/>
    </row>
    <row r="313" ht="15">
      <c r="C313" s="317"/>
    </row>
    <row r="314" ht="15">
      <c r="C314" s="317"/>
    </row>
    <row r="315" ht="15">
      <c r="C315" s="317"/>
    </row>
    <row r="316" ht="15">
      <c r="C316" s="317"/>
    </row>
    <row r="317" ht="15">
      <c r="C317" s="317"/>
    </row>
    <row r="318" ht="15">
      <c r="C318" s="317"/>
    </row>
    <row r="319" ht="15">
      <c r="C319" s="317"/>
    </row>
    <row r="320" ht="15">
      <c r="C320" s="317"/>
    </row>
    <row r="321" ht="15">
      <c r="C321" s="317"/>
    </row>
    <row r="322" ht="15">
      <c r="C322" s="317"/>
    </row>
    <row r="323" ht="15">
      <c r="C323" s="317"/>
    </row>
    <row r="324" ht="15">
      <c r="C324" s="317"/>
    </row>
    <row r="325" ht="15">
      <c r="C325" s="317"/>
    </row>
    <row r="326" ht="15">
      <c r="C326" s="317"/>
    </row>
    <row r="327" ht="15">
      <c r="C327" s="317"/>
    </row>
    <row r="328" ht="15">
      <c r="C328" s="317"/>
    </row>
    <row r="329" ht="15">
      <c r="C329" s="317"/>
    </row>
    <row r="330" ht="15">
      <c r="C330" s="317"/>
    </row>
    <row r="331" ht="15">
      <c r="C331" s="317"/>
    </row>
    <row r="332" ht="15">
      <c r="C332" s="317"/>
    </row>
    <row r="333" ht="15">
      <c r="C333" s="317"/>
    </row>
    <row r="334" ht="15">
      <c r="C334" s="317"/>
    </row>
    <row r="335" ht="15">
      <c r="C335" s="317"/>
    </row>
    <row r="336" ht="15">
      <c r="C336" s="317"/>
    </row>
    <row r="337" ht="15">
      <c r="C337" s="317"/>
    </row>
    <row r="338" ht="15">
      <c r="C338" s="317"/>
    </row>
    <row r="339" ht="15">
      <c r="C339" s="317"/>
    </row>
    <row r="340" ht="15">
      <c r="C340" s="317"/>
    </row>
    <row r="341" ht="15">
      <c r="C341" s="317"/>
    </row>
    <row r="342" ht="15">
      <c r="C342" s="317"/>
    </row>
    <row r="343" ht="15">
      <c r="C343" s="317"/>
    </row>
    <row r="344" ht="15">
      <c r="C344" s="317"/>
    </row>
  </sheetData>
  <mergeCells count="7">
    <mergeCell ref="H8:I8"/>
    <mergeCell ref="J8:K8"/>
    <mergeCell ref="L8:L10"/>
    <mergeCell ref="B3:D3"/>
    <mergeCell ref="B4:D4"/>
    <mergeCell ref="F6:L6"/>
    <mergeCell ref="F7:L7"/>
  </mergeCells>
  <printOptions horizontalCentered="1"/>
  <pageMargins left="0.25" right="0.25" top="0.75" bottom="0.75" header="0.5" footer="0.5"/>
  <pageSetup fitToHeight="1" fitToWidth="1" horizontalDpi="600" verticalDpi="600" orientation="landscape" scale="7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4:L21"/>
  <sheetViews>
    <sheetView zoomScale="75" zoomScaleNormal="75" workbookViewId="0" topLeftCell="B1">
      <selection activeCell="K5" sqref="K5"/>
    </sheetView>
  </sheetViews>
  <sheetFormatPr defaultColWidth="12.57421875" defaultRowHeight="12.75"/>
  <cols>
    <col min="1" max="1" width="12.57421875" style="1" customWidth="1"/>
    <col min="2" max="3" width="27.140625" style="1" customWidth="1"/>
    <col min="4" max="4" width="12.57421875" style="1" customWidth="1"/>
    <col min="5" max="5" width="19.28125" style="1" customWidth="1"/>
    <col min="6" max="11" width="15.57421875" style="1" customWidth="1"/>
    <col min="12" max="12" width="4.00390625" style="1" customWidth="1"/>
    <col min="13" max="16384" width="12.57421875" style="1" customWidth="1"/>
  </cols>
  <sheetData>
    <row r="4" spans="3:11" ht="15">
      <c r="C4" s="9" t="s">
        <v>4</v>
      </c>
      <c r="G4" s="20"/>
      <c r="H4" s="20"/>
      <c r="K4" s="1" t="str">
        <f>WN</f>
        <v>February 2009</v>
      </c>
    </row>
    <row r="5" spans="2:8" ht="18.75" thickBot="1">
      <c r="B5" s="771" t="s">
        <v>63</v>
      </c>
      <c r="C5" s="771"/>
      <c r="G5" s="20"/>
      <c r="H5" s="20"/>
    </row>
    <row r="6" spans="2:11" ht="16.5" thickTop="1">
      <c r="B6" s="772" t="str">
        <f>"Fiscal Year "&amp;FY</f>
        <v>Fiscal Year </v>
      </c>
      <c r="C6" s="772"/>
      <c r="E6" s="780" t="s">
        <v>63</v>
      </c>
      <c r="F6" s="781"/>
      <c r="G6" s="781"/>
      <c r="H6" s="781"/>
      <c r="I6" s="781"/>
      <c r="J6" s="781"/>
      <c r="K6" s="782"/>
    </row>
    <row r="7" spans="5:11" ht="15.75" thickBot="1">
      <c r="E7" s="783" t="str">
        <f>"Fiscal Year 2008 "</f>
        <v>Fiscal Year 2008 </v>
      </c>
      <c r="F7" s="784"/>
      <c r="G7" s="784"/>
      <c r="H7" s="784"/>
      <c r="I7" s="784"/>
      <c r="J7" s="784"/>
      <c r="K7" s="785"/>
    </row>
    <row r="8" spans="2:11" ht="15.75" thickTop="1">
      <c r="B8" s="42" t="s">
        <v>529</v>
      </c>
      <c r="C8" s="42" t="s">
        <v>237</v>
      </c>
      <c r="E8" s="184"/>
      <c r="F8" s="575" t="s">
        <v>423</v>
      </c>
      <c r="G8" s="786" t="s">
        <v>234</v>
      </c>
      <c r="H8" s="770"/>
      <c r="I8" s="786" t="s">
        <v>528</v>
      </c>
      <c r="J8" s="787"/>
      <c r="K8" s="804" t="s">
        <v>209</v>
      </c>
    </row>
    <row r="9" spans="5:11" ht="15">
      <c r="E9" s="187"/>
      <c r="F9" s="207"/>
      <c r="G9" s="72"/>
      <c r="H9" s="72"/>
      <c r="I9" s="207"/>
      <c r="J9" s="215"/>
      <c r="K9" s="805"/>
    </row>
    <row r="10" spans="2:12" ht="15.75" thickBot="1">
      <c r="B10" s="8">
        <v>49374500</v>
      </c>
      <c r="C10" s="8">
        <v>1167818.5483870967</v>
      </c>
      <c r="E10" s="227"/>
      <c r="F10" s="293" t="str">
        <f>"FY "&amp;FY</f>
        <v>FY </v>
      </c>
      <c r="G10" s="295" t="s">
        <v>206</v>
      </c>
      <c r="H10" s="295" t="s">
        <v>683</v>
      </c>
      <c r="I10" s="296" t="s">
        <v>640</v>
      </c>
      <c r="J10" s="294" t="s">
        <v>683</v>
      </c>
      <c r="K10" s="806"/>
      <c r="L10" s="10"/>
    </row>
    <row r="11" spans="5:11" ht="15.75" thickTop="1">
      <c r="E11" s="187"/>
      <c r="F11" s="468" t="s">
        <v>78</v>
      </c>
      <c r="G11" s="470" t="s">
        <v>79</v>
      </c>
      <c r="H11" s="470" t="s">
        <v>80</v>
      </c>
      <c r="I11" s="471" t="s">
        <v>81</v>
      </c>
      <c r="J11" s="469" t="s">
        <v>82</v>
      </c>
      <c r="K11" s="472" t="s">
        <v>83</v>
      </c>
    </row>
    <row r="12" spans="5:11" ht="15">
      <c r="E12" s="187"/>
      <c r="F12" s="236"/>
      <c r="G12" s="36"/>
      <c r="H12" s="36"/>
      <c r="I12" s="208"/>
      <c r="J12" s="216"/>
      <c r="K12" s="189"/>
    </row>
    <row r="13" spans="5:11" ht="15">
      <c r="E13" s="195" t="s">
        <v>63</v>
      </c>
      <c r="F13" s="237">
        <f>+B10</f>
        <v>49374500</v>
      </c>
      <c r="G13" s="453">
        <f>+Rates!F243</f>
        <v>0.03</v>
      </c>
      <c r="H13" s="453">
        <f>+Rates!G243</f>
        <v>0.03</v>
      </c>
      <c r="I13" s="253">
        <f>+G13*F13</f>
        <v>1481235</v>
      </c>
      <c r="J13" s="259">
        <f>+H13*F13</f>
        <v>1481235</v>
      </c>
      <c r="K13" s="474">
        <f>(H13-G13)/G13</f>
        <v>0</v>
      </c>
    </row>
    <row r="14" spans="5:11" ht="15">
      <c r="E14" s="187"/>
      <c r="F14" s="237"/>
      <c r="G14" s="453"/>
      <c r="H14" s="453"/>
      <c r="I14" s="209"/>
      <c r="J14" s="438"/>
      <c r="K14" s="405"/>
    </row>
    <row r="15" spans="5:11" ht="15.75" thickBot="1">
      <c r="E15" s="177"/>
      <c r="F15" s="238"/>
      <c r="G15" s="459"/>
      <c r="H15" s="459"/>
      <c r="I15" s="231"/>
      <c r="J15" s="460"/>
      <c r="K15" s="461"/>
    </row>
    <row r="16" spans="5:11" ht="15.75" thickTop="1">
      <c r="E16" s="230" t="s">
        <v>691</v>
      </c>
      <c r="F16" s="199"/>
      <c r="G16" s="199"/>
      <c r="H16" s="199"/>
      <c r="I16" s="199"/>
      <c r="J16" s="199"/>
      <c r="K16" s="200"/>
    </row>
    <row r="17" spans="5:11" ht="15.75" thickBot="1">
      <c r="E17" s="227"/>
      <c r="F17" s="197"/>
      <c r="G17" s="197"/>
      <c r="H17" s="197"/>
      <c r="I17" s="197"/>
      <c r="J17" s="197"/>
      <c r="K17" s="198"/>
    </row>
    <row r="18" ht="15.75" thickTop="1"/>
    <row r="21" ht="15">
      <c r="H21" s="36"/>
    </row>
  </sheetData>
  <mergeCells count="7">
    <mergeCell ref="G8:H8"/>
    <mergeCell ref="I8:J8"/>
    <mergeCell ref="K8:K10"/>
    <mergeCell ref="B5:C5"/>
    <mergeCell ref="B6:C6"/>
    <mergeCell ref="E6:K6"/>
    <mergeCell ref="E7:K7"/>
  </mergeCells>
  <printOptions horizontalCentered="1"/>
  <pageMargins left="0.25" right="0.25" top="0.5" bottom="0.5" header="0.5" footer="0.5"/>
  <pageSetup fitToHeight="1" fitToWidth="1"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M49"/>
  <sheetViews>
    <sheetView zoomScale="70" zoomScaleNormal="70" workbookViewId="0" topLeftCell="C5">
      <selection activeCell="G28" sqref="G28"/>
    </sheetView>
  </sheetViews>
  <sheetFormatPr defaultColWidth="16.28125" defaultRowHeight="12.75"/>
  <cols>
    <col min="1" max="1" width="9.28125" style="1" customWidth="1"/>
    <col min="2" max="2" width="35.8515625" style="36" bestFit="1" customWidth="1"/>
    <col min="3" max="4" width="14.28125" style="36" customWidth="1"/>
    <col min="5" max="5" width="10.7109375" style="1" customWidth="1"/>
    <col min="6" max="6" width="9.140625" style="1" customWidth="1"/>
    <col min="7" max="7" width="34.28125" style="1" customWidth="1"/>
    <col min="8" max="13" width="15.8515625" style="1" customWidth="1"/>
    <col min="14" max="16384" width="16.28125" style="1" customWidth="1"/>
  </cols>
  <sheetData>
    <row r="1" ht="15">
      <c r="E1" s="2"/>
    </row>
    <row r="2" spans="2:6" ht="15">
      <c r="B2" s="149"/>
      <c r="C2" s="149"/>
      <c r="D2" s="314" t="s">
        <v>353</v>
      </c>
      <c r="E2" s="2"/>
      <c r="F2" s="24"/>
    </row>
    <row r="3" spans="2:5" ht="18">
      <c r="B3" s="771" t="s">
        <v>64</v>
      </c>
      <c r="C3" s="771"/>
      <c r="D3" s="771"/>
      <c r="E3" s="2"/>
    </row>
    <row r="4" spans="2:13" ht="15.75">
      <c r="B4" s="807" t="s">
        <v>712</v>
      </c>
      <c r="C4" s="807"/>
      <c r="D4" s="807"/>
      <c r="E4" s="2"/>
      <c r="F4" s="25"/>
      <c r="K4" s="20"/>
      <c r="L4" s="20"/>
      <c r="M4" s="9" t="str">
        <f>WN</f>
        <v>February 2009</v>
      </c>
    </row>
    <row r="5" spans="2:13" ht="16.5" thickBot="1">
      <c r="B5" s="382"/>
      <c r="C5" s="382"/>
      <c r="D5" s="382"/>
      <c r="E5" s="2"/>
      <c r="F5" s="1" t="s">
        <v>138</v>
      </c>
      <c r="K5" s="178"/>
      <c r="L5" s="178"/>
      <c r="M5" s="9"/>
    </row>
    <row r="6" spans="2:13" ht="16.5" thickTop="1">
      <c r="B6" s="149"/>
      <c r="C6" s="502" t="s">
        <v>529</v>
      </c>
      <c r="D6" s="503" t="s">
        <v>237</v>
      </c>
      <c r="E6" s="2"/>
      <c r="F6" s="1" t="s">
        <v>138</v>
      </c>
      <c r="G6" s="780" t="s">
        <v>64</v>
      </c>
      <c r="H6" s="781"/>
      <c r="I6" s="781"/>
      <c r="J6" s="781"/>
      <c r="K6" s="781"/>
      <c r="L6" s="781"/>
      <c r="M6" s="782"/>
    </row>
    <row r="7" spans="2:13" ht="15.75" thickBot="1">
      <c r="B7" s="153" t="s">
        <v>150</v>
      </c>
      <c r="C7" s="149"/>
      <c r="D7" s="149"/>
      <c r="E7" s="2"/>
      <c r="F7" s="1" t="s">
        <v>138</v>
      </c>
      <c r="G7" s="783" t="str">
        <f>"Fiscal Year 2008 "</f>
        <v>Fiscal Year 2008 </v>
      </c>
      <c r="H7" s="784"/>
      <c r="I7" s="784"/>
      <c r="J7" s="784"/>
      <c r="K7" s="784"/>
      <c r="L7" s="784"/>
      <c r="M7" s="785"/>
    </row>
    <row r="8" spans="2:13" ht="15.75" thickTop="1">
      <c r="B8" s="154" t="s">
        <v>151</v>
      </c>
      <c r="C8" s="504">
        <v>6853005</v>
      </c>
      <c r="D8" s="504">
        <v>616770.45</v>
      </c>
      <c r="E8" s="2"/>
      <c r="G8" s="184"/>
      <c r="H8" s="575" t="s">
        <v>423</v>
      </c>
      <c r="I8" s="786" t="s">
        <v>234</v>
      </c>
      <c r="J8" s="770"/>
      <c r="K8" s="786" t="s">
        <v>528</v>
      </c>
      <c r="L8" s="787"/>
      <c r="M8" s="804" t="s">
        <v>209</v>
      </c>
    </row>
    <row r="9" spans="2:13" ht="15">
      <c r="B9" s="154" t="s">
        <v>152</v>
      </c>
      <c r="C9" s="504">
        <v>53297271</v>
      </c>
      <c r="D9" s="504">
        <v>4796754.39</v>
      </c>
      <c r="E9" s="2"/>
      <c r="G9" s="187"/>
      <c r="H9" s="207"/>
      <c r="I9" s="72"/>
      <c r="J9" s="72"/>
      <c r="K9" s="207"/>
      <c r="L9" s="215"/>
      <c r="M9" s="805"/>
    </row>
    <row r="10" spans="2:13" ht="15.75" thickBot="1">
      <c r="B10" s="154"/>
      <c r="C10" s="504"/>
      <c r="D10" s="505"/>
      <c r="E10" s="2"/>
      <c r="G10" s="227"/>
      <c r="H10" s="293" t="str">
        <f>"FY "&amp;FY</f>
        <v>FY </v>
      </c>
      <c r="I10" s="295" t="s">
        <v>206</v>
      </c>
      <c r="J10" s="295" t="s">
        <v>683</v>
      </c>
      <c r="K10" s="296" t="s">
        <v>640</v>
      </c>
      <c r="L10" s="294" t="s">
        <v>683</v>
      </c>
      <c r="M10" s="806"/>
    </row>
    <row r="11" spans="2:13" ht="15.75" thickTop="1">
      <c r="B11" s="154" t="s">
        <v>153</v>
      </c>
      <c r="C11" s="504">
        <v>37056.99</v>
      </c>
      <c r="D11" s="504">
        <v>550214.3006000001</v>
      </c>
      <c r="E11" s="2"/>
      <c r="G11" s="184"/>
      <c r="H11" s="468" t="s">
        <v>78</v>
      </c>
      <c r="I11" s="470" t="s">
        <v>79</v>
      </c>
      <c r="J11" s="470" t="s">
        <v>80</v>
      </c>
      <c r="K11" s="471" t="s">
        <v>81</v>
      </c>
      <c r="L11" s="469" t="s">
        <v>82</v>
      </c>
      <c r="M11" s="472" t="s">
        <v>83</v>
      </c>
    </row>
    <row r="12" spans="2:13" ht="15">
      <c r="B12" s="154" t="s">
        <v>154</v>
      </c>
      <c r="C12" s="504">
        <v>288400.058</v>
      </c>
      <c r="D12" s="507">
        <v>4850387.451349669</v>
      </c>
      <c r="E12" s="2"/>
      <c r="G12" s="508" t="s">
        <v>150</v>
      </c>
      <c r="H12" s="236"/>
      <c r="I12" s="36"/>
      <c r="J12" s="36"/>
      <c r="K12" s="517" t="s">
        <v>91</v>
      </c>
      <c r="L12" s="216"/>
      <c r="M12" s="189"/>
    </row>
    <row r="13" spans="2:13" ht="15">
      <c r="B13" s="154"/>
      <c r="C13" s="504"/>
      <c r="D13" s="505"/>
      <c r="E13" s="2"/>
      <c r="G13" s="509" t="s">
        <v>151</v>
      </c>
      <c r="H13" s="269">
        <f>+C8</f>
        <v>6853005</v>
      </c>
      <c r="I13" s="390">
        <f>+Rates!F256</f>
        <v>0.09</v>
      </c>
      <c r="J13" s="390">
        <f>+Rates!G256</f>
        <v>0.1</v>
      </c>
      <c r="K13" s="253">
        <f>+I13*H13</f>
        <v>616770.45</v>
      </c>
      <c r="L13" s="259">
        <f>+J13*H13</f>
        <v>685300.5</v>
      </c>
      <c r="M13" s="454">
        <f>+J13/I13-1</f>
        <v>0.11111111111111116</v>
      </c>
    </row>
    <row r="14" spans="2:13" ht="15">
      <c r="B14" s="154" t="s">
        <v>619</v>
      </c>
      <c r="C14" s="504"/>
      <c r="D14" s="504">
        <v>10814126.591949668</v>
      </c>
      <c r="E14" s="2"/>
      <c r="G14" s="509" t="s">
        <v>152</v>
      </c>
      <c r="H14" s="269">
        <f>+C9</f>
        <v>53297271</v>
      </c>
      <c r="I14" s="390">
        <f>+I13</f>
        <v>0.09</v>
      </c>
      <c r="J14" s="390">
        <f>+J13</f>
        <v>0.1</v>
      </c>
      <c r="K14" s="253">
        <f>+I14*H14</f>
        <v>4796754.39</v>
      </c>
      <c r="L14" s="259">
        <f>+J14*H14</f>
        <v>5329727.100000001</v>
      </c>
      <c r="M14" s="454">
        <f>+J14/I14-1</f>
        <v>0.11111111111111116</v>
      </c>
    </row>
    <row r="15" spans="2:13" ht="15">
      <c r="B15" s="149"/>
      <c r="C15" s="149"/>
      <c r="D15" s="149"/>
      <c r="E15" s="2"/>
      <c r="G15" s="509"/>
      <c r="H15" s="236"/>
      <c r="I15" s="390"/>
      <c r="J15" s="390"/>
      <c r="K15" s="518"/>
      <c r="L15" s="216"/>
      <c r="M15" s="189"/>
    </row>
    <row r="16" spans="2:13" ht="15">
      <c r="B16" s="149" t="s">
        <v>160</v>
      </c>
      <c r="C16" s="149"/>
      <c r="D16" s="149"/>
      <c r="E16" s="2"/>
      <c r="G16" s="509" t="s">
        <v>389</v>
      </c>
      <c r="H16" s="269">
        <f>+C11</f>
        <v>37056.99</v>
      </c>
      <c r="I16" s="390">
        <f>+Rates!F253</f>
        <v>14.9</v>
      </c>
      <c r="J16" s="390">
        <f>+Rates!G253</f>
        <v>15.5</v>
      </c>
      <c r="K16" s="253">
        <f>+I16*H16</f>
        <v>552149.151</v>
      </c>
      <c r="L16" s="259">
        <f>+J16*H16</f>
        <v>574383.345</v>
      </c>
      <c r="M16" s="454">
        <f>+J16/I16-1</f>
        <v>0.04026845637583887</v>
      </c>
    </row>
    <row r="17" spans="2:13" ht="15">
      <c r="B17" s="154" t="s">
        <v>161</v>
      </c>
      <c r="C17" s="504">
        <v>14550</v>
      </c>
      <c r="D17" s="504">
        <v>1236.75</v>
      </c>
      <c r="E17" s="2"/>
      <c r="G17" s="509" t="s">
        <v>390</v>
      </c>
      <c r="H17" s="449">
        <f>+C12</f>
        <v>288400.058</v>
      </c>
      <c r="I17" s="390">
        <f>+Rates!F254</f>
        <v>16.95</v>
      </c>
      <c r="J17" s="390">
        <f>+Rates!G254</f>
        <v>17.75</v>
      </c>
      <c r="K17" s="253">
        <f>+I17*H17</f>
        <v>4888380.9831</v>
      </c>
      <c r="L17" s="259">
        <f>+J17*H17</f>
        <v>5119101.0295</v>
      </c>
      <c r="M17" s="454">
        <f>+J17/I17-1</f>
        <v>0.0471976401179941</v>
      </c>
    </row>
    <row r="18" spans="2:13" ht="15">
      <c r="B18" s="154" t="s">
        <v>162</v>
      </c>
      <c r="C18" s="504">
        <v>0</v>
      </c>
      <c r="D18" s="504">
        <v>0</v>
      </c>
      <c r="E18" s="2"/>
      <c r="G18" s="509"/>
      <c r="H18" s="236"/>
      <c r="I18" s="390"/>
      <c r="J18" s="390"/>
      <c r="K18" s="208"/>
      <c r="L18" s="216"/>
      <c r="M18" s="189"/>
    </row>
    <row r="19" spans="2:13" ht="15">
      <c r="B19" s="154"/>
      <c r="C19" s="505"/>
      <c r="D19" s="505"/>
      <c r="E19" s="2"/>
      <c r="G19" s="509" t="s">
        <v>385</v>
      </c>
      <c r="H19" s="237">
        <f>+H14+H13+H16*500+H17*500</f>
        <v>222878800</v>
      </c>
      <c r="I19" s="390"/>
      <c r="J19" s="390"/>
      <c r="K19" s="519">
        <f>SUM(K13:K17)</f>
        <v>10854054.9741</v>
      </c>
      <c r="L19" s="523">
        <f>SUM(L13:L17)</f>
        <v>11708511.9745</v>
      </c>
      <c r="M19" s="322"/>
    </row>
    <row r="20" spans="2:13" ht="15">
      <c r="B20" s="154" t="s">
        <v>153</v>
      </c>
      <c r="C20" s="504">
        <v>7844</v>
      </c>
      <c r="D20" s="504">
        <v>164098.41721854304</v>
      </c>
      <c r="E20" s="2"/>
      <c r="G20" s="511"/>
      <c r="H20" s="237"/>
      <c r="I20" s="390"/>
      <c r="J20" s="390"/>
      <c r="K20" s="334"/>
      <c r="L20" s="216"/>
      <c r="M20" s="322"/>
    </row>
    <row r="21" spans="2:13" ht="15">
      <c r="B21" s="154" t="s">
        <v>154</v>
      </c>
      <c r="C21" s="504">
        <v>231838.7</v>
      </c>
      <c r="D21" s="714">
        <v>5559272.364900662</v>
      </c>
      <c r="E21" s="2"/>
      <c r="G21" s="511" t="s">
        <v>160</v>
      </c>
      <c r="H21" s="269"/>
      <c r="I21" s="390"/>
      <c r="J21" s="390"/>
      <c r="K21" s="520"/>
      <c r="L21" s="524"/>
      <c r="M21" s="512"/>
    </row>
    <row r="22" spans="2:13" ht="15">
      <c r="B22" s="149"/>
      <c r="C22" s="150"/>
      <c r="D22" s="149"/>
      <c r="E22" s="2"/>
      <c r="G22" s="509" t="s">
        <v>391</v>
      </c>
      <c r="H22" s="269">
        <f>+C17</f>
        <v>14550</v>
      </c>
      <c r="I22" s="390">
        <f>+Rates!F251</f>
        <v>4.6</v>
      </c>
      <c r="J22" s="390">
        <f>+Rates!G251</f>
        <v>4.8</v>
      </c>
      <c r="K22" s="253">
        <f>+I22*H22</f>
        <v>66930</v>
      </c>
      <c r="L22" s="259">
        <f>+J22*H22</f>
        <v>69840</v>
      </c>
      <c r="M22" s="454">
        <f>+J22/I22-1</f>
        <v>0.04347826086956519</v>
      </c>
    </row>
    <row r="23" spans="2:13" ht="15">
      <c r="B23" s="149" t="s">
        <v>354</v>
      </c>
      <c r="C23" s="506"/>
      <c r="D23" s="507">
        <v>5724607.532119204</v>
      </c>
      <c r="E23" s="2"/>
      <c r="G23" s="509" t="s">
        <v>392</v>
      </c>
      <c r="H23" s="269">
        <f>+C18</f>
        <v>0</v>
      </c>
      <c r="I23" s="390">
        <f>+I22</f>
        <v>4.6</v>
      </c>
      <c r="J23" s="390">
        <f>+J22</f>
        <v>4.8</v>
      </c>
      <c r="K23" s="253">
        <f>+I23*H23</f>
        <v>0</v>
      </c>
      <c r="L23" s="259">
        <f>+J23*H23</f>
        <v>0</v>
      </c>
      <c r="M23" s="454">
        <f>+J23/I23-1</f>
        <v>0.04347826086956519</v>
      </c>
    </row>
    <row r="24" spans="2:13" ht="15">
      <c r="B24" s="149"/>
      <c r="C24" s="149"/>
      <c r="D24" s="149"/>
      <c r="E24" s="2"/>
      <c r="G24" s="509"/>
      <c r="H24" s="236"/>
      <c r="I24" s="390"/>
      <c r="J24" s="390"/>
      <c r="K24" s="520"/>
      <c r="L24" s="524"/>
      <c r="M24" s="512"/>
    </row>
    <row r="25" spans="2:13" ht="15">
      <c r="B25" s="149" t="s">
        <v>105</v>
      </c>
      <c r="C25" s="504"/>
      <c r="D25" s="504">
        <v>16538734.124068871</v>
      </c>
      <c r="E25" s="2"/>
      <c r="G25" s="509" t="s">
        <v>389</v>
      </c>
      <c r="H25" s="269">
        <f>+C20</f>
        <v>7844</v>
      </c>
      <c r="I25" s="513">
        <f>+Rates!F247</f>
        <v>22</v>
      </c>
      <c r="J25" s="513">
        <f>+Rates!G247</f>
        <v>24</v>
      </c>
      <c r="K25" s="253">
        <f>+I25*H25</f>
        <v>172568</v>
      </c>
      <c r="L25" s="259">
        <f>+J25*H25</f>
        <v>188256</v>
      </c>
      <c r="M25" s="454">
        <f>+J25/I25-1</f>
        <v>0.09090909090909083</v>
      </c>
    </row>
    <row r="26" spans="2:13" ht="15">
      <c r="B26" s="150"/>
      <c r="C26" s="149"/>
      <c r="D26" s="149"/>
      <c r="E26" s="2"/>
      <c r="G26" s="509" t="s">
        <v>390</v>
      </c>
      <c r="H26" s="449">
        <f>+C21</f>
        <v>231838.7</v>
      </c>
      <c r="I26" s="513">
        <f>+Rates!F250</f>
        <v>25</v>
      </c>
      <c r="J26" s="513">
        <f>+Rates!G250</f>
        <v>27</v>
      </c>
      <c r="K26" s="253">
        <f>+I26*H26</f>
        <v>5795967.5</v>
      </c>
      <c r="L26" s="259">
        <f>+J26*H26</f>
        <v>6259644.9</v>
      </c>
      <c r="M26" s="454">
        <f>+J26/I26-1</f>
        <v>0.08000000000000007</v>
      </c>
    </row>
    <row r="27" spans="2:13" ht="15">
      <c r="B27" s="54" t="s">
        <v>123</v>
      </c>
      <c r="C27" s="42" t="s">
        <v>620</v>
      </c>
      <c r="D27" s="503" t="s">
        <v>212</v>
      </c>
      <c r="E27" s="2"/>
      <c r="G27" s="511"/>
      <c r="H27" s="237"/>
      <c r="I27" s="361"/>
      <c r="J27" s="36"/>
      <c r="K27" s="521"/>
      <c r="L27" s="524"/>
      <c r="M27" s="514"/>
    </row>
    <row r="28" spans="2:13" ht="15">
      <c r="B28"/>
      <c r="C28"/>
      <c r="D28" s="149"/>
      <c r="E28" s="2"/>
      <c r="G28" s="511" t="s">
        <v>386</v>
      </c>
      <c r="H28" s="432">
        <f>+H26*500+H25*500+H23*50+H22*50</f>
        <v>120568850</v>
      </c>
      <c r="I28" s="361"/>
      <c r="J28" s="36"/>
      <c r="K28" s="526">
        <f>SUM(K22:K26)</f>
        <v>6035465.5</v>
      </c>
      <c r="L28" s="527">
        <f>SUM(L22:L26)</f>
        <v>6517740.9</v>
      </c>
      <c r="M28" s="514"/>
    </row>
    <row r="29" spans="2:13" ht="15">
      <c r="B29" s="20" t="s">
        <v>613</v>
      </c>
      <c r="C29" s="504">
        <v>120568850</v>
      </c>
      <c r="D29" s="504">
        <v>5724607.532119204</v>
      </c>
      <c r="E29" s="2"/>
      <c r="G29" s="511"/>
      <c r="H29" s="237"/>
      <c r="I29" s="361"/>
      <c r="J29" s="36"/>
      <c r="K29" s="521"/>
      <c r="L29" s="524"/>
      <c r="M29" s="514"/>
    </row>
    <row r="30" spans="2:13" ht="15">
      <c r="B30" s="20" t="s">
        <v>621</v>
      </c>
      <c r="C30" s="504">
        <v>162728524</v>
      </c>
      <c r="D30" s="504">
        <v>5400601.751949669</v>
      </c>
      <c r="E30" s="2"/>
      <c r="G30" s="511" t="s">
        <v>387</v>
      </c>
      <c r="H30" s="237">
        <f>+H28+H19</f>
        <v>343447650</v>
      </c>
      <c r="I30" s="361"/>
      <c r="J30" s="36"/>
      <c r="K30" s="519">
        <f>+K28+K19</f>
        <v>16889520.4741</v>
      </c>
      <c r="L30" s="523">
        <f>+L28+L19</f>
        <v>18226252.8745</v>
      </c>
      <c r="M30" s="514"/>
    </row>
    <row r="31" spans="2:13" ht="15">
      <c r="B31" s="20" t="s">
        <v>622</v>
      </c>
      <c r="C31" s="507">
        <v>60150276</v>
      </c>
      <c r="D31" s="507">
        <v>5413524.84</v>
      </c>
      <c r="E31" s="2"/>
      <c r="G31" s="511"/>
      <c r="H31" s="237"/>
      <c r="I31" s="361"/>
      <c r="J31" s="36"/>
      <c r="K31" s="521"/>
      <c r="L31" s="524"/>
      <c r="M31" s="514"/>
    </row>
    <row r="32" spans="2:13" ht="15">
      <c r="B32" s="20"/>
      <c r="C32" s="4"/>
      <c r="D32" s="4"/>
      <c r="E32" s="2"/>
      <c r="G32" s="179" t="s">
        <v>123</v>
      </c>
      <c r="H32" s="237"/>
      <c r="I32" s="361"/>
      <c r="J32" s="36"/>
      <c r="K32" s="521"/>
      <c r="L32" s="524"/>
      <c r="M32" s="514"/>
    </row>
    <row r="33" spans="2:13" ht="15">
      <c r="B33" s="20" t="s">
        <v>494</v>
      </c>
      <c r="C33" s="504">
        <v>343447650</v>
      </c>
      <c r="D33" s="504">
        <v>16538734.124068871</v>
      </c>
      <c r="E33" s="2"/>
      <c r="G33" s="179" t="s">
        <v>355</v>
      </c>
      <c r="H33" s="237">
        <f>+H28</f>
        <v>120568850</v>
      </c>
      <c r="I33" s="361"/>
      <c r="J33" s="36"/>
      <c r="K33" s="521"/>
      <c r="L33" s="524"/>
      <c r="M33" s="514"/>
    </row>
    <row r="34" spans="5:13" ht="15">
      <c r="E34" s="2"/>
      <c r="G34" s="179" t="s">
        <v>384</v>
      </c>
      <c r="H34" s="237">
        <f>(H16+H17)*500</f>
        <v>162728524</v>
      </c>
      <c r="I34" s="361"/>
      <c r="J34" s="36"/>
      <c r="K34" s="521"/>
      <c r="L34" s="524"/>
      <c r="M34" s="514"/>
    </row>
    <row r="35" spans="5:13" ht="15">
      <c r="E35" s="2"/>
      <c r="G35" s="179" t="s">
        <v>383</v>
      </c>
      <c r="H35" s="432">
        <f>+H13+H14</f>
        <v>60150276</v>
      </c>
      <c r="I35" s="361"/>
      <c r="J35" s="36"/>
      <c r="K35" s="521"/>
      <c r="L35" s="524"/>
      <c r="M35" s="514"/>
    </row>
    <row r="36" spans="5:13" ht="15">
      <c r="E36" s="2"/>
      <c r="G36" s="179" t="s">
        <v>105</v>
      </c>
      <c r="H36" s="237">
        <f>SUM(H33:H35)</f>
        <v>343447650</v>
      </c>
      <c r="I36" s="361"/>
      <c r="J36" s="36"/>
      <c r="K36" s="521"/>
      <c r="L36" s="524"/>
      <c r="M36" s="514"/>
    </row>
    <row r="37" spans="5:13" ht="15">
      <c r="E37" s="2"/>
      <c r="G37" s="511"/>
      <c r="H37" s="237"/>
      <c r="I37" s="361"/>
      <c r="J37" s="36"/>
      <c r="K37" s="520"/>
      <c r="L37" s="524"/>
      <c r="M37" s="512"/>
    </row>
    <row r="38" spans="7:13" ht="15.75" thickBot="1">
      <c r="G38" s="196"/>
      <c r="H38" s="238"/>
      <c r="I38" s="515"/>
      <c r="J38" s="197"/>
      <c r="K38" s="522"/>
      <c r="L38" s="525"/>
      <c r="M38" s="516"/>
    </row>
    <row r="39" spans="7:13" ht="15.75" thickTop="1">
      <c r="G39" s="230" t="s">
        <v>691</v>
      </c>
      <c r="H39" s="199"/>
      <c r="I39" s="199"/>
      <c r="J39" s="199"/>
      <c r="K39" s="199"/>
      <c r="L39" s="199"/>
      <c r="M39" s="200"/>
    </row>
    <row r="40" spans="7:13" ht="15">
      <c r="G40" s="187" t="s">
        <v>388</v>
      </c>
      <c r="H40" s="36"/>
      <c r="I40" s="36"/>
      <c r="J40" s="36"/>
      <c r="K40" s="36"/>
      <c r="L40" s="36"/>
      <c r="M40" s="189"/>
    </row>
    <row r="41" spans="7:13" ht="15.75" thickBot="1">
      <c r="G41" s="364"/>
      <c r="H41" s="197"/>
      <c r="I41" s="197"/>
      <c r="J41" s="197"/>
      <c r="K41" s="197"/>
      <c r="L41" s="197"/>
      <c r="M41" s="198"/>
    </row>
    <row r="42" ht="15.75" thickTop="1"/>
    <row r="49" ht="15">
      <c r="H49" s="4"/>
    </row>
  </sheetData>
  <mergeCells count="7">
    <mergeCell ref="I8:J8"/>
    <mergeCell ref="K8:L8"/>
    <mergeCell ref="M8:M10"/>
    <mergeCell ref="B3:D3"/>
    <mergeCell ref="B4:D4"/>
    <mergeCell ref="G6:M6"/>
    <mergeCell ref="G7:M7"/>
  </mergeCells>
  <printOptions horizontalCentered="1"/>
  <pageMargins left="0.25" right="0.25" top="0.75" bottom="0.75" header="0.5" footer="0.5"/>
  <pageSetup fitToHeight="1" fitToWidth="1" horizontalDpi="600" verticalDpi="600" orientation="landscape" scale="6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L56"/>
  <sheetViews>
    <sheetView zoomScale="75" zoomScaleNormal="75" workbookViewId="0" topLeftCell="A1">
      <selection activeCell="K5" sqref="K5"/>
    </sheetView>
  </sheetViews>
  <sheetFormatPr defaultColWidth="12.421875" defaultRowHeight="12.75"/>
  <cols>
    <col min="1" max="1" width="6.00390625" style="1" customWidth="1"/>
    <col min="2" max="2" width="45.00390625" style="1" customWidth="1"/>
    <col min="3" max="3" width="16.28125" style="1" customWidth="1"/>
    <col min="4" max="4" width="14.7109375" style="1" customWidth="1"/>
    <col min="5" max="5" width="13.421875" style="1" customWidth="1"/>
    <col min="6" max="12" width="15.00390625" style="1" customWidth="1"/>
    <col min="13" max="16384" width="12.421875" style="1" customWidth="1"/>
  </cols>
  <sheetData>
    <row r="1" ht="15">
      <c r="D1" s="2"/>
    </row>
    <row r="2" spans="3:4" ht="15">
      <c r="C2" s="9" t="s">
        <v>625</v>
      </c>
      <c r="D2" s="2"/>
    </row>
    <row r="3" spans="2:4" ht="18">
      <c r="B3" s="771" t="s">
        <v>201</v>
      </c>
      <c r="C3" s="771"/>
      <c r="D3" s="2"/>
    </row>
    <row r="4" spans="2:11" ht="15.75">
      <c r="B4" s="772" t="s">
        <v>700</v>
      </c>
      <c r="C4" s="772"/>
      <c r="D4" s="2"/>
      <c r="K4" s="9" t="str">
        <f>WN</f>
        <v>February 2009</v>
      </c>
    </row>
    <row r="5" spans="4:11" ht="15.75" thickBot="1">
      <c r="D5" s="2"/>
      <c r="K5" s="9"/>
    </row>
    <row r="6" spans="2:11" ht="16.5" thickTop="1">
      <c r="B6" s="1" t="s">
        <v>76</v>
      </c>
      <c r="C6" s="33">
        <v>58892295</v>
      </c>
      <c r="D6" s="2"/>
      <c r="E6" s="780" t="s">
        <v>201</v>
      </c>
      <c r="F6" s="781"/>
      <c r="G6" s="781"/>
      <c r="H6" s="781"/>
      <c r="I6" s="781"/>
      <c r="J6" s="781"/>
      <c r="K6" s="782"/>
    </row>
    <row r="7" spans="4:11" ht="15.75" thickBot="1">
      <c r="D7" s="2"/>
      <c r="E7" s="783" t="str">
        <f>"Fiscal Year 2008 "</f>
        <v>Fiscal Year 2008 </v>
      </c>
      <c r="F7" s="784"/>
      <c r="G7" s="784"/>
      <c r="H7" s="784"/>
      <c r="I7" s="784"/>
      <c r="J7" s="784"/>
      <c r="K7" s="785"/>
    </row>
    <row r="8" spans="2:11" ht="15.75" thickTop="1">
      <c r="B8" s="1" t="s">
        <v>626</v>
      </c>
      <c r="D8" s="2"/>
      <c r="E8" s="184"/>
      <c r="F8" s="575" t="s">
        <v>423</v>
      </c>
      <c r="G8" s="786" t="s">
        <v>234</v>
      </c>
      <c r="H8" s="770"/>
      <c r="I8" s="786" t="s">
        <v>212</v>
      </c>
      <c r="J8" s="787"/>
      <c r="K8" s="804" t="s">
        <v>233</v>
      </c>
    </row>
    <row r="9" spans="2:11" ht="15">
      <c r="B9" s="1" t="s">
        <v>627</v>
      </c>
      <c r="C9" s="97">
        <v>246980.02693055698</v>
      </c>
      <c r="D9" s="2"/>
      <c r="E9" s="187"/>
      <c r="F9" s="207"/>
      <c r="G9" s="72"/>
      <c r="H9" s="72"/>
      <c r="I9" s="207"/>
      <c r="J9" s="215"/>
      <c r="K9" s="805"/>
    </row>
    <row r="10" spans="3:11" ht="15.75" thickBot="1">
      <c r="C10" s="104"/>
      <c r="D10" s="2"/>
      <c r="E10" s="227"/>
      <c r="F10" s="293" t="str">
        <f>"FY "&amp;FY&amp;" 1/"</f>
        <v>FY  1/</v>
      </c>
      <c r="G10" s="295" t="s">
        <v>206</v>
      </c>
      <c r="H10" s="295" t="s">
        <v>683</v>
      </c>
      <c r="I10" s="296" t="s">
        <v>640</v>
      </c>
      <c r="J10" s="294" t="s">
        <v>683</v>
      </c>
      <c r="K10" s="806"/>
    </row>
    <row r="11" spans="2:11" ht="15.75" thickTop="1">
      <c r="B11" s="1" t="s">
        <v>628</v>
      </c>
      <c r="C11" s="97">
        <v>126939.30640277633</v>
      </c>
      <c r="D11" s="2"/>
      <c r="E11" s="511"/>
      <c r="F11" s="528" t="s">
        <v>78</v>
      </c>
      <c r="G11" s="529" t="s">
        <v>79</v>
      </c>
      <c r="H11" s="72" t="s">
        <v>80</v>
      </c>
      <c r="I11" s="530" t="s">
        <v>81</v>
      </c>
      <c r="J11" s="531" t="s">
        <v>82</v>
      </c>
      <c r="K11" s="532" t="s">
        <v>83</v>
      </c>
    </row>
    <row r="12" spans="3:12" ht="15">
      <c r="C12" s="104"/>
      <c r="D12" s="2"/>
      <c r="E12" s="511"/>
      <c r="F12" s="237"/>
      <c r="G12" s="361"/>
      <c r="H12" s="36"/>
      <c r="I12" s="521"/>
      <c r="J12" s="524"/>
      <c r="K12" s="514"/>
      <c r="L12" s="30"/>
    </row>
    <row r="13" spans="2:12" ht="15">
      <c r="B13" s="1" t="s">
        <v>629</v>
      </c>
      <c r="C13" s="97">
        <v>373919.3333333333</v>
      </c>
      <c r="D13" s="2"/>
      <c r="E13" s="179" t="s">
        <v>530</v>
      </c>
      <c r="F13" s="237">
        <f>+C9</f>
        <v>246980.02693055698</v>
      </c>
      <c r="G13" s="201">
        <f>PermC</f>
        <v>180</v>
      </c>
      <c r="H13" s="201">
        <f>PermP</f>
        <v>185</v>
      </c>
      <c r="I13" s="253">
        <f>+G13*F13</f>
        <v>44456404.84750026</v>
      </c>
      <c r="J13" s="259">
        <f>+H13*F13</f>
        <v>45691304.98215304</v>
      </c>
      <c r="K13" s="533">
        <f>(H13-G13)/G13</f>
        <v>0.027777777777777776</v>
      </c>
      <c r="L13" s="30"/>
    </row>
    <row r="14" spans="4:12" ht="15">
      <c r="D14" s="2"/>
      <c r="E14" s="179"/>
      <c r="F14" s="237"/>
      <c r="G14" s="529"/>
      <c r="H14" s="72"/>
      <c r="I14" s="222"/>
      <c r="J14" s="257"/>
      <c r="K14" s="533"/>
      <c r="L14" s="30"/>
    </row>
    <row r="15" spans="2:12" ht="15">
      <c r="B15" s="35"/>
      <c r="D15" s="2"/>
      <c r="E15" s="179" t="s">
        <v>617</v>
      </c>
      <c r="F15" s="237">
        <f>+C11</f>
        <v>126939.30640277633</v>
      </c>
      <c r="G15" s="201">
        <f>PermC</f>
        <v>180</v>
      </c>
      <c r="H15" s="201">
        <f>PermP</f>
        <v>185</v>
      </c>
      <c r="I15" s="253">
        <f>+G15*F15</f>
        <v>22849075.15249974</v>
      </c>
      <c r="J15" s="259">
        <f>+H15*F15</f>
        <v>23483771.68451362</v>
      </c>
      <c r="K15" s="533">
        <f>(H15-G15)/G15</f>
        <v>0.027777777777777776</v>
      </c>
      <c r="L15" s="30"/>
    </row>
    <row r="16" spans="2:12" ht="15">
      <c r="B16" s="1" t="s">
        <v>393</v>
      </c>
      <c r="D16" s="2"/>
      <c r="E16" s="179"/>
      <c r="F16" s="432"/>
      <c r="G16" s="361"/>
      <c r="H16" s="36"/>
      <c r="I16" s="222"/>
      <c r="J16" s="257"/>
      <c r="K16" s="514"/>
      <c r="L16" s="30"/>
    </row>
    <row r="17" spans="2:11" ht="15">
      <c r="B17" s="2"/>
      <c r="D17" s="2"/>
      <c r="E17" s="179" t="s">
        <v>105</v>
      </c>
      <c r="F17" s="237">
        <f>SUM(F13:F15)</f>
        <v>373919.3333333333</v>
      </c>
      <c r="G17" s="361"/>
      <c r="H17" s="36"/>
      <c r="I17" s="222">
        <f>SUM(I13:I15)</f>
        <v>67305480</v>
      </c>
      <c r="J17" s="257">
        <f>SUM(J13:J15)</f>
        <v>69175076.66666666</v>
      </c>
      <c r="K17" s="514"/>
    </row>
    <row r="18" spans="2:11" ht="15">
      <c r="B18" s="2"/>
      <c r="D18" s="2"/>
      <c r="E18" s="511"/>
      <c r="F18" s="237"/>
      <c r="G18" s="361"/>
      <c r="H18" s="36"/>
      <c r="I18" s="520"/>
      <c r="J18" s="524"/>
      <c r="K18" s="512"/>
    </row>
    <row r="19" spans="2:11" ht="15.75" thickBot="1">
      <c r="B19" s="2"/>
      <c r="D19" s="2"/>
      <c r="E19" s="196"/>
      <c r="F19" s="238"/>
      <c r="G19" s="515"/>
      <c r="H19" s="197"/>
      <c r="I19" s="522"/>
      <c r="J19" s="525"/>
      <c r="K19" s="516"/>
    </row>
    <row r="20" spans="2:11" ht="15.75" thickTop="1">
      <c r="B20" s="2"/>
      <c r="D20" s="2"/>
      <c r="E20" s="230" t="s">
        <v>638</v>
      </c>
      <c r="F20" s="199"/>
      <c r="G20" s="199"/>
      <c r="H20" s="199"/>
      <c r="I20" s="199"/>
      <c r="J20" s="199"/>
      <c r="K20" s="200"/>
    </row>
    <row r="21" spans="2:11" ht="15">
      <c r="B21" s="2"/>
      <c r="D21" s="2"/>
      <c r="E21" s="187" t="s">
        <v>692</v>
      </c>
      <c r="F21" s="36"/>
      <c r="G21" s="36"/>
      <c r="H21" s="36"/>
      <c r="I21" s="36"/>
      <c r="J21" s="36"/>
      <c r="K21" s="189"/>
    </row>
    <row r="22" spans="2:11" ht="15.75" thickBot="1">
      <c r="B22" s="2"/>
      <c r="D22" s="2"/>
      <c r="E22" s="227"/>
      <c r="F22" s="197"/>
      <c r="G22" s="197"/>
      <c r="H22" s="197"/>
      <c r="I22" s="197"/>
      <c r="J22" s="197"/>
      <c r="K22" s="198"/>
    </row>
    <row r="23" spans="2:4" ht="15.75" thickTop="1">
      <c r="B23" s="2"/>
      <c r="D23" s="2"/>
    </row>
    <row r="24" spans="2:4" ht="15">
      <c r="B24" s="2"/>
      <c r="D24" s="2"/>
    </row>
    <row r="25" spans="2:4" ht="15">
      <c r="B25" s="2"/>
      <c r="D25" s="2"/>
    </row>
    <row r="26" spans="2:4" ht="15">
      <c r="B26" s="2"/>
      <c r="D26" s="2"/>
    </row>
    <row r="27" spans="2:4" ht="15">
      <c r="B27" s="2"/>
      <c r="D27" s="2"/>
    </row>
    <row r="28" spans="2:4" ht="15">
      <c r="B28" s="2"/>
      <c r="D28" s="2"/>
    </row>
    <row r="29" spans="2:4" ht="15">
      <c r="B29" s="2"/>
      <c r="D29" s="2"/>
    </row>
    <row r="30" spans="2:4" ht="15">
      <c r="B30" s="2"/>
      <c r="D30" s="2"/>
    </row>
    <row r="31" spans="2:4" ht="15">
      <c r="B31" s="2"/>
      <c r="D31" s="2"/>
    </row>
    <row r="32" spans="2:4" ht="15">
      <c r="B32" s="2"/>
      <c r="D32" s="2"/>
    </row>
    <row r="33" spans="2:4" ht="15">
      <c r="B33" s="2"/>
      <c r="D33" s="2"/>
    </row>
    <row r="34" spans="2:4" ht="15">
      <c r="B34" s="2"/>
      <c r="D34" s="2"/>
    </row>
    <row r="35" spans="2:4" ht="15">
      <c r="B35" s="2"/>
      <c r="D35" s="2"/>
    </row>
    <row r="36" ht="15">
      <c r="D36" s="2"/>
    </row>
    <row r="37" ht="15">
      <c r="D37" s="2"/>
    </row>
    <row r="38" ht="15">
      <c r="D38" s="2"/>
    </row>
    <row r="39" ht="15">
      <c r="D39" s="2"/>
    </row>
    <row r="40" ht="15">
      <c r="D40" s="2"/>
    </row>
    <row r="41" ht="15">
      <c r="D41" s="2"/>
    </row>
    <row r="42" ht="15">
      <c r="D42" s="2"/>
    </row>
    <row r="43" ht="15">
      <c r="D43" s="2"/>
    </row>
    <row r="44" ht="15">
      <c r="D44" s="2"/>
    </row>
    <row r="45" ht="15">
      <c r="D45" s="2"/>
    </row>
    <row r="46" ht="15">
      <c r="D46" s="2"/>
    </row>
    <row r="47" ht="15">
      <c r="D47" s="2"/>
    </row>
    <row r="48" ht="15">
      <c r="D48" s="2"/>
    </row>
    <row r="49" ht="15">
      <c r="D49" s="2"/>
    </row>
    <row r="50" ht="15">
      <c r="D50" s="2"/>
    </row>
    <row r="51" ht="15">
      <c r="D51" s="2"/>
    </row>
    <row r="52" ht="15">
      <c r="D52" s="2"/>
    </row>
    <row r="53" ht="15">
      <c r="D53" s="2"/>
    </row>
    <row r="54" ht="15">
      <c r="D54" s="2"/>
    </row>
    <row r="55" ht="15">
      <c r="D55" s="2"/>
    </row>
    <row r="56" ht="15">
      <c r="D56" s="2"/>
    </row>
  </sheetData>
  <mergeCells count="7">
    <mergeCell ref="G8:H8"/>
    <mergeCell ref="I8:J8"/>
    <mergeCell ref="K8:K10"/>
    <mergeCell ref="B3:C3"/>
    <mergeCell ref="B4:C4"/>
    <mergeCell ref="E6:K6"/>
    <mergeCell ref="E7:K7"/>
  </mergeCells>
  <printOptions horizontalCentered="1"/>
  <pageMargins left="0.25" right="0.25" top="0.75" bottom="0.75" header="0.5" footer="0.5"/>
  <pageSetup fitToHeight="1" fitToWidth="1"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3:L31"/>
  <sheetViews>
    <sheetView zoomScale="70" zoomScaleNormal="70" workbookViewId="0" topLeftCell="B1">
      <selection activeCell="F41" sqref="F41"/>
    </sheetView>
  </sheetViews>
  <sheetFormatPr defaultColWidth="9.140625" defaultRowHeight="12.75"/>
  <cols>
    <col min="1" max="1" width="10.421875" style="0" bestFit="1" customWidth="1"/>
    <col min="2" max="2" width="37.7109375" style="0" customWidth="1"/>
    <col min="3" max="5" width="15.57421875" style="0" bestFit="1" customWidth="1"/>
    <col min="6" max="6" width="33.7109375" style="0" customWidth="1"/>
    <col min="7" max="7" width="15.140625" style="0" bestFit="1" customWidth="1"/>
    <col min="10" max="11" width="15.140625" style="0" bestFit="1" customWidth="1"/>
    <col min="12" max="12" width="13.57421875" style="0" bestFit="1" customWidth="1"/>
  </cols>
  <sheetData>
    <row r="3" spans="6:11" ht="15">
      <c r="F3" s="1"/>
      <c r="G3" s="1"/>
      <c r="H3" s="20"/>
      <c r="I3" s="20"/>
      <c r="J3" s="1"/>
      <c r="K3" s="1"/>
    </row>
    <row r="4" spans="6:11" ht="15">
      <c r="F4" s="1"/>
      <c r="G4" s="1"/>
      <c r="H4" s="20"/>
      <c r="I4" s="20"/>
      <c r="J4" s="1"/>
      <c r="K4" s="1"/>
    </row>
    <row r="5" spans="6:12" ht="15">
      <c r="F5" s="1"/>
      <c r="G5" s="1"/>
      <c r="H5" s="243"/>
      <c r="I5" s="243"/>
      <c r="J5" s="1"/>
      <c r="K5" s="1"/>
      <c r="L5" s="1"/>
    </row>
    <row r="6" spans="6:12" ht="15">
      <c r="F6" s="1"/>
      <c r="G6" s="1"/>
      <c r="H6" s="1"/>
      <c r="I6" s="1"/>
      <c r="J6" s="1"/>
      <c r="K6" s="1"/>
      <c r="L6" s="1" t="str">
        <f>WN</f>
        <v>February 2009</v>
      </c>
    </row>
    <row r="7" spans="6:12" ht="15.75" thickBot="1">
      <c r="F7" s="1"/>
      <c r="G7" s="1"/>
      <c r="H7" s="1"/>
      <c r="I7" s="1"/>
      <c r="J7" s="1"/>
      <c r="K7" s="1"/>
      <c r="L7" s="1"/>
    </row>
    <row r="8" spans="6:12" ht="16.5" thickTop="1">
      <c r="F8" s="780" t="s">
        <v>396</v>
      </c>
      <c r="G8" s="781"/>
      <c r="H8" s="781"/>
      <c r="I8" s="781"/>
      <c r="J8" s="781"/>
      <c r="K8" s="781"/>
      <c r="L8" s="782"/>
    </row>
    <row r="9" spans="6:12" ht="15.75" thickBot="1">
      <c r="F9" s="783" t="str">
        <f>"Fiscal Year 2008 "</f>
        <v>Fiscal Year 2008 </v>
      </c>
      <c r="G9" s="784"/>
      <c r="H9" s="784"/>
      <c r="I9" s="784"/>
      <c r="J9" s="784"/>
      <c r="K9" s="784"/>
      <c r="L9" s="785"/>
    </row>
    <row r="10" spans="3:12" ht="15.75" thickTop="1">
      <c r="C10" s="137"/>
      <c r="D10" s="137"/>
      <c r="E10" s="137"/>
      <c r="F10" s="184"/>
      <c r="G10" s="575" t="s">
        <v>423</v>
      </c>
      <c r="H10" s="786" t="s">
        <v>235</v>
      </c>
      <c r="I10" s="770"/>
      <c r="J10" s="786" t="s">
        <v>528</v>
      </c>
      <c r="K10" s="787"/>
      <c r="L10" s="804" t="s">
        <v>209</v>
      </c>
    </row>
    <row r="11" spans="2:12" ht="15">
      <c r="B11" s="1"/>
      <c r="C11" s="1"/>
      <c r="D11" s="9" t="s">
        <v>321</v>
      </c>
      <c r="E11" s="137"/>
      <c r="F11" s="187"/>
      <c r="G11" s="207"/>
      <c r="H11" s="72"/>
      <c r="I11" s="72"/>
      <c r="J11" s="207"/>
      <c r="K11" s="215"/>
      <c r="L11" s="805"/>
    </row>
    <row r="12" spans="2:12" ht="18.75" thickBot="1">
      <c r="B12" s="771" t="s">
        <v>396</v>
      </c>
      <c r="C12" s="771"/>
      <c r="D12" s="771"/>
      <c r="E12" s="137"/>
      <c r="F12" s="227"/>
      <c r="G12" s="293" t="str">
        <f>"FY "&amp;FY&amp;" 1/"</f>
        <v>FY  1/</v>
      </c>
      <c r="H12" s="295" t="s">
        <v>206</v>
      </c>
      <c r="I12" s="295" t="s">
        <v>683</v>
      </c>
      <c r="J12" s="296" t="s">
        <v>640</v>
      </c>
      <c r="K12" s="294" t="s">
        <v>683</v>
      </c>
      <c r="L12" s="806"/>
    </row>
    <row r="13" spans="1:12" ht="16.5" thickTop="1">
      <c r="A13" s="1"/>
      <c r="B13" s="772" t="str">
        <f>"Fiscal Year "&amp;FY</f>
        <v>Fiscal Year </v>
      </c>
      <c r="C13" s="772"/>
      <c r="D13" s="772"/>
      <c r="E13" s="1"/>
      <c r="F13" s="184"/>
      <c r="G13" s="401" t="s">
        <v>78</v>
      </c>
      <c r="H13" s="383" t="s">
        <v>79</v>
      </c>
      <c r="I13" s="383" t="s">
        <v>80</v>
      </c>
      <c r="J13" s="397" t="s">
        <v>81</v>
      </c>
      <c r="K13" s="399" t="s">
        <v>82</v>
      </c>
      <c r="L13" s="421" t="s">
        <v>83</v>
      </c>
    </row>
    <row r="14" spans="1:12" ht="15">
      <c r="A14" s="1"/>
      <c r="B14" s="1"/>
      <c r="C14" s="1"/>
      <c r="D14" s="1"/>
      <c r="E14" s="1"/>
      <c r="F14" s="187"/>
      <c r="G14" s="236"/>
      <c r="H14" s="36"/>
      <c r="I14" s="36"/>
      <c r="J14" s="208"/>
      <c r="K14" s="216"/>
      <c r="L14" s="189"/>
    </row>
    <row r="15" spans="1:12" ht="15">
      <c r="A15" s="1"/>
      <c r="B15" s="1"/>
      <c r="C15" s="42" t="s">
        <v>423</v>
      </c>
      <c r="D15" s="42" t="s">
        <v>237</v>
      </c>
      <c r="E15" s="1"/>
      <c r="F15" s="187" t="s">
        <v>396</v>
      </c>
      <c r="G15" s="237"/>
      <c r="H15" s="38"/>
      <c r="I15" s="38"/>
      <c r="J15" s="222"/>
      <c r="K15" s="217"/>
      <c r="L15" s="324"/>
    </row>
    <row r="16" spans="1:12" ht="15">
      <c r="A16" s="1"/>
      <c r="B16" s="1"/>
      <c r="C16" s="1"/>
      <c r="D16" s="1"/>
      <c r="E16" s="1"/>
      <c r="F16" s="187" t="s">
        <v>394</v>
      </c>
      <c r="G16" s="403">
        <f>+C17</f>
        <v>5307206</v>
      </c>
      <c r="H16" s="108">
        <f>+Rates!F260</f>
        <v>1.6262499224882945</v>
      </c>
      <c r="I16" s="108">
        <f>+Rates!G260</f>
        <v>1.6880474195428496</v>
      </c>
      <c r="J16" s="253">
        <f>+H16*G16</f>
        <v>8630843.346129412</v>
      </c>
      <c r="K16" s="259">
        <f>+I16*G16</f>
        <v>8958815.39328233</v>
      </c>
      <c r="L16" s="362">
        <f>(I16-H16)/H16</f>
        <v>0.03799999999999999</v>
      </c>
    </row>
    <row r="17" spans="1:12" ht="15">
      <c r="A17" s="4"/>
      <c r="B17" s="1" t="s">
        <v>530</v>
      </c>
      <c r="C17" s="464">
        <v>5307206</v>
      </c>
      <c r="D17" s="464">
        <v>10297537</v>
      </c>
      <c r="E17" s="4"/>
      <c r="F17" s="187" t="s">
        <v>395</v>
      </c>
      <c r="G17" s="403">
        <f>+C18</f>
        <v>3687919</v>
      </c>
      <c r="H17" s="108">
        <f>+Rates!F261</f>
        <v>1.3530132427345045</v>
      </c>
      <c r="I17" s="108">
        <f>+Rates!G261</f>
        <v>1.4044277459584158</v>
      </c>
      <c r="J17" s="253">
        <f>+H17*G17</f>
        <v>4989803.245132191</v>
      </c>
      <c r="K17" s="259">
        <f>+I17*G17</f>
        <v>5179415.768447215</v>
      </c>
      <c r="L17" s="362">
        <f>(I17-H17)/H17</f>
        <v>0.03800000000000008</v>
      </c>
    </row>
    <row r="18" spans="1:12" ht="15">
      <c r="A18" s="1"/>
      <c r="B18" s="1" t="s">
        <v>157</v>
      </c>
      <c r="C18" s="464">
        <v>3687919</v>
      </c>
      <c r="D18" s="464">
        <v>5279374</v>
      </c>
      <c r="E18" s="23"/>
      <c r="F18" s="187"/>
      <c r="G18" s="537"/>
      <c r="H18" s="108"/>
      <c r="I18" s="36"/>
      <c r="J18" s="534"/>
      <c r="K18" s="535"/>
      <c r="L18" s="324"/>
    </row>
    <row r="19" spans="1:12" ht="15">
      <c r="A19" s="1"/>
      <c r="B19" s="34"/>
      <c r="C19" s="1"/>
      <c r="D19" s="1"/>
      <c r="E19" s="23"/>
      <c r="F19" s="187" t="s">
        <v>105</v>
      </c>
      <c r="G19" s="403">
        <f>SUM(G16:G18)</f>
        <v>8995125</v>
      </c>
      <c r="H19" s="108"/>
      <c r="I19" s="36"/>
      <c r="J19" s="254">
        <f>SUM(J16:J18)</f>
        <v>13620646.591261603</v>
      </c>
      <c r="K19" s="257">
        <f>SUM(K16:K18)</f>
        <v>14138231.161729544</v>
      </c>
      <c r="L19" s="362">
        <f>+K19/J19-1</f>
        <v>0.038000000000000034</v>
      </c>
    </row>
    <row r="20" spans="1:12" ht="15">
      <c r="A20" s="1"/>
      <c r="B20" s="1"/>
      <c r="C20" s="23"/>
      <c r="D20" s="23"/>
      <c r="E20" s="23"/>
      <c r="F20" s="187"/>
      <c r="G20" s="236"/>
      <c r="H20" s="36"/>
      <c r="I20" s="36"/>
      <c r="J20" s="208"/>
      <c r="K20" s="536"/>
      <c r="L20" s="189"/>
    </row>
    <row r="21" spans="1:12" ht="15.75" thickBot="1">
      <c r="A21" s="1"/>
      <c r="B21" s="1"/>
      <c r="C21" s="23"/>
      <c r="D21" s="23"/>
      <c r="E21" s="23"/>
      <c r="F21" s="227"/>
      <c r="G21" s="270"/>
      <c r="H21" s="197"/>
      <c r="I21" s="197"/>
      <c r="J21" s="223"/>
      <c r="K21" s="220"/>
      <c r="L21" s="198"/>
    </row>
    <row r="22" spans="1:12" ht="15.75" thickTop="1">
      <c r="A22" s="1"/>
      <c r="B22" s="1"/>
      <c r="C22" s="23"/>
      <c r="D22" s="23"/>
      <c r="E22" s="23"/>
      <c r="F22" s="230" t="s">
        <v>691</v>
      </c>
      <c r="G22" s="446"/>
      <c r="H22" s="446"/>
      <c r="I22" s="446"/>
      <c r="J22" s="446"/>
      <c r="K22" s="446"/>
      <c r="L22" s="538"/>
    </row>
    <row r="23" spans="1:12" ht="15.75" thickBot="1">
      <c r="A23" s="1"/>
      <c r="B23" s="1"/>
      <c r="C23" s="23"/>
      <c r="D23" s="23"/>
      <c r="E23" s="23"/>
      <c r="F23" s="326"/>
      <c r="G23" s="327"/>
      <c r="H23" s="327"/>
      <c r="I23" s="327"/>
      <c r="J23" s="327"/>
      <c r="K23" s="327"/>
      <c r="L23" s="328"/>
    </row>
    <row r="24" spans="1:5" ht="15.75" thickTop="1">
      <c r="A24" s="1"/>
      <c r="B24" s="1"/>
      <c r="C24" s="23"/>
      <c r="D24" s="23"/>
      <c r="E24" s="23"/>
    </row>
    <row r="25" spans="1:5" ht="15">
      <c r="A25" s="1"/>
      <c r="B25" s="1"/>
      <c r="C25" s="23"/>
      <c r="D25" s="23"/>
      <c r="E25" s="23"/>
    </row>
    <row r="26" spans="1:5" ht="15">
      <c r="A26" s="1"/>
      <c r="B26" s="1"/>
      <c r="C26" s="23"/>
      <c r="D26" s="23"/>
      <c r="E26" s="23"/>
    </row>
    <row r="28" spans="1:5" ht="15">
      <c r="A28" s="1"/>
      <c r="B28" s="1"/>
      <c r="C28" s="566"/>
      <c r="D28" s="566"/>
      <c r="E28" s="566"/>
    </row>
    <row r="29" spans="1:5" ht="15">
      <c r="A29" s="1"/>
      <c r="B29" s="1"/>
      <c r="C29" s="566"/>
      <c r="D29" s="566"/>
      <c r="E29" s="566"/>
    </row>
    <row r="30" spans="1:5" ht="15">
      <c r="A30" s="1"/>
      <c r="B30" s="1"/>
      <c r="C30" s="566"/>
      <c r="D30" s="566"/>
      <c r="E30" s="566"/>
    </row>
    <row r="31" spans="1:5" ht="15">
      <c r="A31" s="1"/>
      <c r="B31" s="1"/>
      <c r="C31" s="566"/>
      <c r="D31" s="566"/>
      <c r="E31" s="566"/>
    </row>
  </sheetData>
  <mergeCells count="7">
    <mergeCell ref="B13:D13"/>
    <mergeCell ref="B12:D12"/>
    <mergeCell ref="F8:L8"/>
    <mergeCell ref="F9:L9"/>
    <mergeCell ref="H10:I10"/>
    <mergeCell ref="J10:K10"/>
    <mergeCell ref="L10:L12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N38"/>
  <sheetViews>
    <sheetView zoomScale="75" zoomScaleNormal="75" workbookViewId="0" topLeftCell="C1">
      <selection activeCell="G27" sqref="G27"/>
    </sheetView>
  </sheetViews>
  <sheetFormatPr defaultColWidth="11.00390625" defaultRowHeight="12.75"/>
  <cols>
    <col min="1" max="1" width="4.140625" style="1" customWidth="1"/>
    <col min="2" max="2" width="38.28125" style="1" customWidth="1"/>
    <col min="3" max="3" width="11.00390625" style="1" customWidth="1"/>
    <col min="4" max="4" width="14.421875" style="1" customWidth="1"/>
    <col min="5" max="5" width="11.00390625" style="1" customWidth="1"/>
    <col min="6" max="6" width="11.57421875" style="1" customWidth="1"/>
    <col min="7" max="7" width="23.8515625" style="1" customWidth="1"/>
    <col min="8" max="13" width="15.00390625" style="1" customWidth="1"/>
    <col min="14" max="14" width="5.28125" style="1" customWidth="1"/>
    <col min="15" max="16384" width="11.00390625" style="1" customWidth="1"/>
  </cols>
  <sheetData>
    <row r="1" spans="1:6" ht="15">
      <c r="A1" s="2"/>
      <c r="F1" s="2"/>
    </row>
    <row r="2" spans="1:10" ht="15">
      <c r="A2" s="2"/>
      <c r="B2" s="1" t="s">
        <v>72</v>
      </c>
      <c r="F2" s="2"/>
      <c r="I2" s="20"/>
      <c r="J2" s="20"/>
    </row>
    <row r="3" spans="1:13" ht="15">
      <c r="A3" s="2"/>
      <c r="B3" s="4" t="s">
        <v>67</v>
      </c>
      <c r="C3" s="41" t="s">
        <v>67</v>
      </c>
      <c r="D3" s="4" t="s">
        <v>67</v>
      </c>
      <c r="E3" s="4" t="s">
        <v>67</v>
      </c>
      <c r="F3" s="2"/>
      <c r="I3" s="20"/>
      <c r="J3" s="20"/>
      <c r="M3" s="1" t="str">
        <f>WN</f>
        <v>February 2009</v>
      </c>
    </row>
    <row r="4" spans="1:6" ht="15.75" thickBot="1">
      <c r="A4" s="2"/>
      <c r="F4" s="2"/>
    </row>
    <row r="5" spans="1:13" ht="16.5" thickTop="1">
      <c r="A5" s="2"/>
      <c r="B5" s="1" t="s">
        <v>631</v>
      </c>
      <c r="F5" s="2"/>
      <c r="G5" s="780" t="s">
        <v>204</v>
      </c>
      <c r="H5" s="781"/>
      <c r="I5" s="781"/>
      <c r="J5" s="781"/>
      <c r="K5" s="781"/>
      <c r="L5" s="781"/>
      <c r="M5" s="782"/>
    </row>
    <row r="6" spans="1:13" ht="15.75" thickBot="1">
      <c r="A6" s="2"/>
      <c r="B6" s="1" t="s">
        <v>457</v>
      </c>
      <c r="F6" s="2"/>
      <c r="G6" s="783" t="str">
        <f>"Fiscal Year 2008 "</f>
        <v>Fiscal Year 2008 </v>
      </c>
      <c r="H6" s="784"/>
      <c r="I6" s="784"/>
      <c r="J6" s="784"/>
      <c r="K6" s="784"/>
      <c r="L6" s="784"/>
      <c r="M6" s="785"/>
    </row>
    <row r="7" spans="1:13" ht="15.75" thickTop="1">
      <c r="A7" s="2"/>
      <c r="F7" s="2"/>
      <c r="G7" s="184"/>
      <c r="H7" s="575" t="s">
        <v>423</v>
      </c>
      <c r="I7" s="786" t="s">
        <v>743</v>
      </c>
      <c r="J7" s="770"/>
      <c r="K7" s="786" t="s">
        <v>528</v>
      </c>
      <c r="L7" s="787"/>
      <c r="M7" s="804" t="s">
        <v>744</v>
      </c>
    </row>
    <row r="8" spans="1:13" ht="15">
      <c r="A8" s="2"/>
      <c r="B8" s="1" t="s">
        <v>601</v>
      </c>
      <c r="F8" s="2"/>
      <c r="G8" s="187"/>
      <c r="H8" s="207"/>
      <c r="I8" s="72"/>
      <c r="J8" s="72"/>
      <c r="K8" s="207"/>
      <c r="L8" s="215"/>
      <c r="M8" s="805"/>
    </row>
    <row r="9" spans="1:13" ht="15.75" thickBot="1">
      <c r="A9" s="2"/>
      <c r="D9" s="1" t="s">
        <v>459</v>
      </c>
      <c r="F9" s="2"/>
      <c r="G9" s="227"/>
      <c r="H9" s="293" t="str">
        <f>"FY "&amp;FY&amp;" 1/"</f>
        <v>FY  1/</v>
      </c>
      <c r="I9" s="295" t="s">
        <v>206</v>
      </c>
      <c r="J9" s="295" t="s">
        <v>683</v>
      </c>
      <c r="K9" s="296" t="s">
        <v>640</v>
      </c>
      <c r="L9" s="294" t="s">
        <v>683</v>
      </c>
      <c r="M9" s="806"/>
    </row>
    <row r="10" spans="1:13" ht="15.75" thickTop="1">
      <c r="A10" s="2"/>
      <c r="B10" s="1" t="str">
        <f>"FY "&amp;FY</f>
        <v>FY </v>
      </c>
      <c r="F10" s="2"/>
      <c r="G10" s="187"/>
      <c r="H10" s="468" t="s">
        <v>78</v>
      </c>
      <c r="I10" s="470" t="s">
        <v>79</v>
      </c>
      <c r="J10" s="470" t="s">
        <v>80</v>
      </c>
      <c r="K10" s="471" t="s">
        <v>81</v>
      </c>
      <c r="L10" s="469" t="s">
        <v>82</v>
      </c>
      <c r="M10" s="472" t="s">
        <v>83</v>
      </c>
    </row>
    <row r="11" spans="1:13" ht="15">
      <c r="A11" s="2"/>
      <c r="B11" s="1" t="s">
        <v>76</v>
      </c>
      <c r="D11" s="129">
        <v>14692.24</v>
      </c>
      <c r="F11" s="2"/>
      <c r="G11" s="187"/>
      <c r="H11" s="236"/>
      <c r="I11" s="36"/>
      <c r="J11" s="36"/>
      <c r="K11" s="208"/>
      <c r="L11" s="216"/>
      <c r="M11" s="189"/>
    </row>
    <row r="12" spans="1:13" ht="15">
      <c r="A12" s="2"/>
      <c r="B12" s="4" t="s">
        <v>77</v>
      </c>
      <c r="C12" s="4" t="s">
        <v>77</v>
      </c>
      <c r="D12" s="4" t="s">
        <v>77</v>
      </c>
      <c r="E12" s="4" t="s">
        <v>77</v>
      </c>
      <c r="F12" s="2"/>
      <c r="G12" s="195" t="s">
        <v>339</v>
      </c>
      <c r="H12" s="237">
        <f>D21/I12</f>
        <v>9.198619826086958</v>
      </c>
      <c r="I12" s="453">
        <f>+Rates!F263</f>
        <v>115</v>
      </c>
      <c r="J12" s="453">
        <f>+Rates!G263</f>
        <v>120</v>
      </c>
      <c r="K12" s="253">
        <f>+I12*H12</f>
        <v>1057.84128</v>
      </c>
      <c r="L12" s="259">
        <f>+J12*H12</f>
        <v>1103.8343791304349</v>
      </c>
      <c r="M12" s="474">
        <f>(J12-I12)/I12</f>
        <v>0.043478260869565216</v>
      </c>
    </row>
    <row r="13" spans="1:14" ht="15">
      <c r="A13" s="2"/>
      <c r="D13" s="39"/>
      <c r="F13" s="2"/>
      <c r="G13" s="187"/>
      <c r="H13" s="237"/>
      <c r="I13" s="453"/>
      <c r="J13" s="453"/>
      <c r="K13" s="209"/>
      <c r="L13" s="438"/>
      <c r="M13" s="405"/>
      <c r="N13" s="10"/>
    </row>
    <row r="14" spans="1:13" ht="15.75" thickBot="1">
      <c r="A14" s="2"/>
      <c r="B14" s="1" t="s">
        <v>461</v>
      </c>
      <c r="F14" s="2"/>
      <c r="G14" s="177"/>
      <c r="H14" s="238"/>
      <c r="I14" s="459"/>
      <c r="J14" s="459"/>
      <c r="K14" s="231"/>
      <c r="L14" s="460"/>
      <c r="M14" s="461"/>
    </row>
    <row r="15" spans="1:13" ht="15.75" thickTop="1">
      <c r="A15" s="2"/>
      <c r="F15" s="2"/>
      <c r="G15" s="230" t="s">
        <v>636</v>
      </c>
      <c r="H15" s="199"/>
      <c r="I15" s="199"/>
      <c r="J15" s="199"/>
      <c r="K15" s="199"/>
      <c r="L15" s="199"/>
      <c r="M15" s="200"/>
    </row>
    <row r="16" spans="1:13" ht="15">
      <c r="A16" s="2"/>
      <c r="B16" s="1" t="s">
        <v>462</v>
      </c>
      <c r="D16" s="7">
        <v>0.07200000000000001</v>
      </c>
      <c r="F16" s="2"/>
      <c r="G16" s="308" t="s">
        <v>741</v>
      </c>
      <c r="H16" s="36"/>
      <c r="I16" s="36"/>
      <c r="J16" s="36"/>
      <c r="K16" s="36"/>
      <c r="L16" s="36"/>
      <c r="M16" s="189"/>
    </row>
    <row r="17" spans="1:14" ht="15">
      <c r="A17" s="2"/>
      <c r="B17" s="4" t="s">
        <v>77</v>
      </c>
      <c r="C17" s="4" t="s">
        <v>77</v>
      </c>
      <c r="D17" s="4" t="s">
        <v>77</v>
      </c>
      <c r="E17" s="4" t="s">
        <v>77</v>
      </c>
      <c r="F17" s="2"/>
      <c r="G17" s="187" t="s">
        <v>742</v>
      </c>
      <c r="H17" s="36"/>
      <c r="I17" s="36"/>
      <c r="J17" s="36"/>
      <c r="K17" s="36"/>
      <c r="L17" s="36"/>
      <c r="M17" s="189"/>
      <c r="N17" s="30"/>
    </row>
    <row r="18" spans="1:13" ht="15">
      <c r="A18" s="2"/>
      <c r="F18" s="2"/>
      <c r="G18" s="187"/>
      <c r="H18" s="36"/>
      <c r="I18" s="36"/>
      <c r="J18" s="36"/>
      <c r="K18" s="36"/>
      <c r="L18" s="36"/>
      <c r="M18" s="189"/>
    </row>
    <row r="19" spans="1:13" ht="15.75" thickBot="1">
      <c r="A19" s="2"/>
      <c r="B19" s="1" t="s">
        <v>634</v>
      </c>
      <c r="F19" s="2"/>
      <c r="G19" s="227"/>
      <c r="H19" s="197"/>
      <c r="I19" s="197"/>
      <c r="J19" s="197"/>
      <c r="K19" s="197"/>
      <c r="L19" s="197"/>
      <c r="M19" s="198"/>
    </row>
    <row r="20" spans="1:6" ht="15.75" thickTop="1">
      <c r="A20" s="2"/>
      <c r="F20" s="2"/>
    </row>
    <row r="21" spans="1:7" ht="15">
      <c r="A21" s="2"/>
      <c r="B21" s="1" t="s">
        <v>635</v>
      </c>
      <c r="D21" s="28">
        <f>D11*D16</f>
        <v>1057.84128</v>
      </c>
      <c r="F21" s="2"/>
      <c r="G21" s="43"/>
    </row>
    <row r="22" spans="1:6" ht="15">
      <c r="A22" s="2"/>
      <c r="F22" s="2"/>
    </row>
    <row r="23" spans="1:6" ht="15">
      <c r="A23" s="2"/>
      <c r="F23" s="2"/>
    </row>
    <row r="24" spans="1:6" ht="15">
      <c r="A24" s="2"/>
      <c r="F24" s="2"/>
    </row>
    <row r="25" spans="1:6" ht="15">
      <c r="A25" s="2"/>
      <c r="F25" s="2"/>
    </row>
    <row r="26" spans="1:6" ht="15">
      <c r="A26" s="2"/>
      <c r="F26" s="2"/>
    </row>
    <row r="27" spans="1:6" ht="15">
      <c r="A27" s="2"/>
      <c r="F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</sheetData>
  <mergeCells count="5">
    <mergeCell ref="G5:M5"/>
    <mergeCell ref="G6:M6"/>
    <mergeCell ref="I7:J7"/>
    <mergeCell ref="K7:L7"/>
    <mergeCell ref="M7:M9"/>
  </mergeCells>
  <printOptions horizontalCentered="1"/>
  <pageMargins left="0.25" right="0.25" top="0.5" bottom="0.5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4"/>
  <sheetViews>
    <sheetView workbookViewId="0" topLeftCell="A1">
      <pane xSplit="1" ySplit="1" topLeftCell="B20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24" sqref="B224:C224"/>
    </sheetView>
  </sheetViews>
  <sheetFormatPr defaultColWidth="9.140625" defaultRowHeight="12.75"/>
  <cols>
    <col min="1" max="1" width="49.00390625" style="0" bestFit="1" customWidth="1"/>
    <col min="2" max="3" width="15.28125" style="0" customWidth="1"/>
    <col min="4" max="4" width="12.57421875" style="0" customWidth="1"/>
    <col min="5" max="5" width="14.421875" style="0" customWidth="1"/>
  </cols>
  <sheetData>
    <row r="1" spans="1:5" ht="26.25" thickTop="1">
      <c r="A1" s="643"/>
      <c r="B1" s="644" t="s">
        <v>42</v>
      </c>
      <c r="C1" s="645" t="s">
        <v>35</v>
      </c>
      <c r="D1" s="645" t="s">
        <v>523</v>
      </c>
      <c r="E1" s="646" t="s">
        <v>2</v>
      </c>
    </row>
    <row r="2" spans="1:5" ht="12.75">
      <c r="A2" s="616"/>
      <c r="B2" s="133"/>
      <c r="C2" s="133"/>
      <c r="D2" s="133"/>
      <c r="E2" s="617"/>
    </row>
    <row r="3" spans="1:5" s="18" customFormat="1" ht="12.75">
      <c r="A3" s="618" t="s">
        <v>66</v>
      </c>
      <c r="B3" s="619">
        <f>+'Address Change Election Boards'!J12</f>
        <v>19142.794202151505</v>
      </c>
      <c r="C3" s="619">
        <f>+'Address Change Election Boards'!K12</f>
        <v>20302.963547736443</v>
      </c>
      <c r="D3" s="620">
        <f>IF(C3&lt;&gt;"",C3/B3-1,"")</f>
        <v>0.06060606060606055</v>
      </c>
      <c r="E3" s="621">
        <f>+C3/$C$226</f>
        <v>6.1553255812852296E-06</v>
      </c>
    </row>
    <row r="4" spans="1:5" ht="12.75">
      <c r="A4" s="622"/>
      <c r="B4" s="609"/>
      <c r="C4" s="609"/>
      <c r="D4" s="620">
        <f aca="true" t="shared" si="0" ref="D4:D70">IF(C4&lt;&gt;"",C4/B4-1,"")</f>
      </c>
      <c r="E4" s="623"/>
    </row>
    <row r="5" spans="1:5" s="109" customFormat="1" ht="12.75">
      <c r="A5" s="607" t="s">
        <v>681</v>
      </c>
      <c r="B5" s="624"/>
      <c r="C5" s="624"/>
      <c r="D5" s="620">
        <f t="shared" si="0"/>
      </c>
      <c r="E5" s="625"/>
    </row>
    <row r="6" spans="1:5" s="109" customFormat="1" ht="12.75">
      <c r="A6" s="607" t="s">
        <v>36</v>
      </c>
      <c r="B6" s="624">
        <f>+'Address Correction'!R61</f>
        <v>23086727</v>
      </c>
      <c r="C6" s="624">
        <f>+'Address Correction'!S61</f>
        <v>23086727</v>
      </c>
      <c r="D6" s="620">
        <f t="shared" si="0"/>
        <v>0</v>
      </c>
      <c r="E6" s="621"/>
    </row>
    <row r="7" spans="1:5" s="109" customFormat="1" ht="12.75">
      <c r="A7" s="607" t="s">
        <v>667</v>
      </c>
      <c r="B7" s="624"/>
      <c r="C7" s="624"/>
      <c r="D7" s="620">
        <f t="shared" si="0"/>
      </c>
      <c r="E7" s="625"/>
    </row>
    <row r="8" spans="1:5" s="109" customFormat="1" ht="12.75">
      <c r="A8" s="607" t="s">
        <v>510</v>
      </c>
      <c r="B8" s="624">
        <f>+'Address Correction'!R16</f>
        <v>4033424.191935484</v>
      </c>
      <c r="C8" s="624">
        <f>+'Address Correction'!S16</f>
        <v>5041780.239919355</v>
      </c>
      <c r="D8" s="620">
        <f t="shared" si="0"/>
        <v>0.25</v>
      </c>
      <c r="E8" s="621"/>
    </row>
    <row r="9" spans="1:5" s="109" customFormat="1" ht="12.75">
      <c r="A9" s="607" t="s">
        <v>511</v>
      </c>
      <c r="B9" s="624">
        <f>+'Address Correction'!R62-'Address Correction'!R16</f>
        <v>25805323.639893733</v>
      </c>
      <c r="C9" s="624">
        <f>+'Address Correction'!S62-'Address Correction'!S16</f>
        <v>26837536.58548948</v>
      </c>
      <c r="D9" s="620">
        <f t="shared" si="0"/>
        <v>0.040000000000000036</v>
      </c>
      <c r="E9" s="621"/>
    </row>
    <row r="10" spans="1:5" s="109" customFormat="1" ht="12.75">
      <c r="A10" s="607" t="s">
        <v>37</v>
      </c>
      <c r="B10" s="624"/>
      <c r="C10" s="624"/>
      <c r="D10" s="620">
        <f t="shared" si="0"/>
      </c>
      <c r="E10" s="625"/>
    </row>
    <row r="11" spans="1:5" s="109" customFormat="1" ht="12.75">
      <c r="A11" s="607" t="s">
        <v>510</v>
      </c>
      <c r="B11" s="624">
        <f>+'Address Correction'!R19+'Address Correction'!R18</f>
        <v>67509.3462</v>
      </c>
      <c r="C11" s="624">
        <f>+'Address Correction'!S19+'Address Correction'!S18</f>
        <v>436235.66854</v>
      </c>
      <c r="D11" s="620">
        <f t="shared" si="0"/>
        <v>5.461855922106382</v>
      </c>
      <c r="E11" s="621"/>
    </row>
    <row r="12" spans="1:5" s="109" customFormat="1" ht="12.75">
      <c r="A12" s="607" t="s">
        <v>512</v>
      </c>
      <c r="B12" s="624">
        <f>+'Address Correction'!R36+'Address Correction'!R37</f>
        <v>695338.9219199999</v>
      </c>
      <c r="C12" s="624">
        <f>+'Address Correction'!S36+'Address Correction'!S37</f>
        <v>1059694.7815999999</v>
      </c>
      <c r="D12" s="620">
        <f t="shared" si="0"/>
        <v>0.5239975042299154</v>
      </c>
      <c r="E12" s="621"/>
    </row>
    <row r="13" spans="1:5" s="109" customFormat="1" ht="12.75">
      <c r="A13" s="607" t="s">
        <v>710</v>
      </c>
      <c r="B13" s="624">
        <f>+'Address Correction'!R64</f>
        <v>17341547.98506387</v>
      </c>
      <c r="C13" s="624">
        <f>+'Address Correction'!S64</f>
        <v>0</v>
      </c>
      <c r="D13" s="710" t="s">
        <v>131</v>
      </c>
      <c r="E13" s="621"/>
    </row>
    <row r="14" spans="1:5" s="570" customFormat="1" ht="12.75">
      <c r="A14" s="608" t="s">
        <v>38</v>
      </c>
      <c r="B14" s="626">
        <f>SUM(B6:B12)</f>
        <v>53688323.09994922</v>
      </c>
      <c r="C14" s="626">
        <f>SUM(C6:C12)</f>
        <v>56461974.27554884</v>
      </c>
      <c r="D14" s="620">
        <f t="shared" si="0"/>
        <v>0.0516620936443859</v>
      </c>
      <c r="E14" s="621">
        <f>+C14/$C$226</f>
        <v>0.017117788435713436</v>
      </c>
    </row>
    <row r="15" spans="1:5" s="109" customFormat="1" ht="12.75">
      <c r="A15" s="607"/>
      <c r="B15" s="612"/>
      <c r="C15" s="612"/>
      <c r="D15" s="620">
        <f t="shared" si="0"/>
      </c>
      <c r="E15" s="625"/>
    </row>
    <row r="16" spans="1:5" ht="12.75">
      <c r="A16" s="622" t="s">
        <v>650</v>
      </c>
      <c r="B16" s="609"/>
      <c r="C16" s="609"/>
      <c r="D16" s="620">
        <f t="shared" si="0"/>
      </c>
      <c r="E16" s="623"/>
    </row>
    <row r="17" spans="1:5" ht="12.75">
      <c r="A17" s="622" t="s">
        <v>43</v>
      </c>
      <c r="B17" s="627">
        <f>+'Bulk Parcel Return Service'!L14</f>
        <v>4469838.75</v>
      </c>
      <c r="C17" s="627">
        <f>+'Bulk Parcel Return Service'!M14</f>
        <v>4966487.5</v>
      </c>
      <c r="D17" s="620">
        <f t="shared" si="0"/>
        <v>0.11111111111111116</v>
      </c>
      <c r="E17" s="623"/>
    </row>
    <row r="18" spans="1:5" ht="12.75">
      <c r="A18" s="622" t="s">
        <v>44</v>
      </c>
      <c r="B18" s="627">
        <f>+'Bulk Parcel Acctg Fee'!L12</f>
        <v>43686.73877751631</v>
      </c>
      <c r="C18" s="627">
        <f>+'Bulk Parcel Acctg Fee'!M12</f>
        <v>45233.17200857883</v>
      </c>
      <c r="D18" s="620">
        <f t="shared" si="0"/>
        <v>0.03539823008849563</v>
      </c>
      <c r="E18" s="623"/>
    </row>
    <row r="19" spans="1:5" ht="12.75">
      <c r="A19" s="622" t="s">
        <v>196</v>
      </c>
      <c r="B19" s="627">
        <f>+'Bulk Parcel Return Permits'!K15</f>
        <v>533554.0563301208</v>
      </c>
      <c r="C19" s="627">
        <f>+'Bulk Parcel Return Permits'!L15</f>
        <v>548375.0023392908</v>
      </c>
      <c r="D19" s="620">
        <f t="shared" si="0"/>
        <v>0.0277777777777779</v>
      </c>
      <c r="E19" s="623"/>
    </row>
    <row r="20" spans="1:5" s="18" customFormat="1" ht="12.75">
      <c r="A20" s="618" t="s">
        <v>11</v>
      </c>
      <c r="B20" s="628">
        <f>SUM(B17:B19)</f>
        <v>5047079.5451076375</v>
      </c>
      <c r="C20" s="628">
        <f>SUM(C17:C19)</f>
        <v>5560095.674347869</v>
      </c>
      <c r="D20" s="620">
        <f t="shared" si="0"/>
        <v>0.10164613508767095</v>
      </c>
      <c r="E20" s="621">
        <f>+C20/$C$226</f>
        <v>0.0016856750522276543</v>
      </c>
    </row>
    <row r="21" spans="1:5" ht="12.75">
      <c r="A21" s="622"/>
      <c r="B21" s="609"/>
      <c r="C21" s="609"/>
      <c r="D21" s="620">
        <f t="shared" si="0"/>
      </c>
      <c r="E21" s="623"/>
    </row>
    <row r="22" spans="1:5" s="109" customFormat="1" ht="12.75">
      <c r="A22" s="607" t="s">
        <v>29</v>
      </c>
      <c r="B22" s="612"/>
      <c r="C22" s="612"/>
      <c r="D22" s="620">
        <f t="shared" si="0"/>
      </c>
      <c r="E22" s="625"/>
    </row>
    <row r="23" spans="1:5" s="109" customFormat="1" ht="12.75">
      <c r="A23" s="607" t="s">
        <v>34</v>
      </c>
      <c r="B23" s="624"/>
      <c r="C23" s="624"/>
      <c r="D23" s="620">
        <f t="shared" si="0"/>
      </c>
      <c r="E23" s="625"/>
    </row>
    <row r="24" spans="1:5" s="109" customFormat="1" ht="12.75">
      <c r="A24" s="607" t="s">
        <v>179</v>
      </c>
      <c r="B24" s="624">
        <f>+'Business Reply Mail'!M16</f>
        <v>41096370.24</v>
      </c>
      <c r="C24" s="624">
        <f>+'Business Reply Mail'!N16</f>
        <v>42237936.08</v>
      </c>
      <c r="D24" s="620">
        <f t="shared" si="0"/>
        <v>0.02777777777777768</v>
      </c>
      <c r="E24" s="625"/>
    </row>
    <row r="25" spans="1:5" s="109" customFormat="1" ht="12.75">
      <c r="A25" s="607" t="s">
        <v>180</v>
      </c>
      <c r="B25" s="624">
        <f>+'Business Reply Mail'!M17</f>
        <v>486972</v>
      </c>
      <c r="C25" s="624">
        <f>+'Business Reply Mail'!N17</f>
        <v>500499</v>
      </c>
      <c r="D25" s="620">
        <f t="shared" si="0"/>
        <v>0.02777777777777768</v>
      </c>
      <c r="E25" s="625"/>
    </row>
    <row r="26" spans="1:5" s="109" customFormat="1" ht="12.75">
      <c r="A26" s="607" t="s">
        <v>181</v>
      </c>
      <c r="B26" s="624"/>
      <c r="C26" s="624"/>
      <c r="D26" s="620">
        <f t="shared" si="0"/>
      </c>
      <c r="E26" s="625"/>
    </row>
    <row r="27" spans="1:5" s="109" customFormat="1" ht="12.75">
      <c r="A27" s="607" t="s">
        <v>179</v>
      </c>
      <c r="B27" s="624">
        <f>+'Business Reply Mail'!M19</f>
        <v>30421622.16</v>
      </c>
      <c r="C27" s="624">
        <f>+'Business Reply Mail'!N19</f>
        <v>31562432.991</v>
      </c>
      <c r="D27" s="620">
        <f t="shared" si="0"/>
        <v>0.03750000000000009</v>
      </c>
      <c r="E27" s="625"/>
    </row>
    <row r="28" spans="1:5" s="109" customFormat="1" ht="12.75">
      <c r="A28" s="607" t="s">
        <v>183</v>
      </c>
      <c r="B28" s="624">
        <f>SUM(B24:B27)</f>
        <v>72004964.4</v>
      </c>
      <c r="C28" s="624">
        <f>SUM(C24:C27)</f>
        <v>74300868.071</v>
      </c>
      <c r="D28" s="620">
        <f t="shared" si="0"/>
        <v>0.03188535249105673</v>
      </c>
      <c r="E28" s="625"/>
    </row>
    <row r="29" spans="1:5" s="109" customFormat="1" ht="12.75">
      <c r="A29" s="607"/>
      <c r="B29" s="624"/>
      <c r="C29" s="624"/>
      <c r="D29" s="620">
        <f t="shared" si="0"/>
      </c>
      <c r="E29" s="625"/>
    </row>
    <row r="30" spans="1:5" s="109" customFormat="1" ht="12.75">
      <c r="A30" s="607" t="s">
        <v>184</v>
      </c>
      <c r="B30" s="624"/>
      <c r="C30" s="624"/>
      <c r="D30" s="620">
        <f t="shared" si="0"/>
      </c>
      <c r="E30" s="625"/>
    </row>
    <row r="31" spans="1:5" s="109" customFormat="1" ht="12.75">
      <c r="A31" s="607" t="s">
        <v>653</v>
      </c>
      <c r="B31" s="624"/>
      <c r="C31" s="624"/>
      <c r="D31" s="620">
        <f t="shared" si="0"/>
      </c>
      <c r="E31" s="625"/>
    </row>
    <row r="32" spans="1:5" s="109" customFormat="1" ht="12.75">
      <c r="A32" s="607" t="s">
        <v>179</v>
      </c>
      <c r="B32" s="624">
        <f>+'Business Reply Mail'!M24</f>
        <v>7591127.65</v>
      </c>
      <c r="C32" s="624">
        <f>+'Business Reply Mail'!N24</f>
        <v>7894772.756</v>
      </c>
      <c r="D32" s="620">
        <f t="shared" si="0"/>
        <v>0.040000000000000036</v>
      </c>
      <c r="E32" s="625"/>
    </row>
    <row r="33" spans="1:5" s="109" customFormat="1" ht="12.75">
      <c r="A33" s="607" t="s">
        <v>403</v>
      </c>
      <c r="B33" s="624">
        <f>+'Business Reply Mail'!M25</f>
        <v>151466.95</v>
      </c>
      <c r="C33" s="624">
        <f>+'Business Reply Mail'!N25</f>
        <v>157525.628</v>
      </c>
      <c r="D33" s="620">
        <f t="shared" si="0"/>
        <v>0.039999999999999813</v>
      </c>
      <c r="E33" s="625"/>
    </row>
    <row r="34" spans="1:5" s="109" customFormat="1" ht="12.75">
      <c r="A34" s="607" t="s">
        <v>187</v>
      </c>
      <c r="B34" s="624"/>
      <c r="C34" s="624"/>
      <c r="D34" s="620">
        <f t="shared" si="0"/>
      </c>
      <c r="E34" s="625"/>
    </row>
    <row r="35" spans="1:5" s="109" customFormat="1" ht="12.75">
      <c r="A35" s="607" t="s">
        <v>179</v>
      </c>
      <c r="B35" s="624">
        <f>+'Business Reply Mail'!M27</f>
        <v>966484.848</v>
      </c>
      <c r="C35" s="624">
        <f>+'Business Reply Mail'!N27</f>
        <v>1127565.656</v>
      </c>
      <c r="D35" s="620">
        <f t="shared" si="0"/>
        <v>0.16666666666666652</v>
      </c>
      <c r="E35" s="625"/>
    </row>
    <row r="36" spans="1:5" s="109" customFormat="1" ht="12.75">
      <c r="A36" s="607" t="s">
        <v>189</v>
      </c>
      <c r="B36" s="624">
        <f>SUM(B32:B35)</f>
        <v>8709079.448</v>
      </c>
      <c r="C36" s="624">
        <f>SUM(C32:C35)</f>
        <v>9179864.04</v>
      </c>
      <c r="D36" s="620">
        <f t="shared" si="0"/>
        <v>0.05405675706725943</v>
      </c>
      <c r="E36" s="625"/>
    </row>
    <row r="37" spans="1:5" s="109" customFormat="1" ht="12.75">
      <c r="A37" s="607"/>
      <c r="B37" s="624"/>
      <c r="C37" s="624"/>
      <c r="D37" s="620">
        <f t="shared" si="0"/>
      </c>
      <c r="E37" s="625"/>
    </row>
    <row r="38" spans="1:5" s="109" customFormat="1" ht="12.75">
      <c r="A38" s="607" t="s">
        <v>190</v>
      </c>
      <c r="B38" s="624"/>
      <c r="C38" s="624"/>
      <c r="D38" s="620">
        <f t="shared" si="0"/>
      </c>
      <c r="E38" s="625"/>
    </row>
    <row r="39" spans="1:5" s="109" customFormat="1" ht="12.75">
      <c r="A39" s="607" t="s">
        <v>191</v>
      </c>
      <c r="B39" s="624">
        <f>+'Business Reply Mail'!M31</f>
        <v>22621.14</v>
      </c>
      <c r="C39" s="624">
        <f>+'Business Reply Mail'!N31</f>
        <v>24506.235</v>
      </c>
      <c r="D39" s="620">
        <f t="shared" si="0"/>
        <v>0.08333333333333348</v>
      </c>
      <c r="E39" s="625"/>
    </row>
    <row r="40" spans="1:5" s="109" customFormat="1" ht="12.75">
      <c r="A40" s="607" t="s">
        <v>192</v>
      </c>
      <c r="B40" s="624">
        <f>+'Business Reply Mail'!M32</f>
        <v>517.788</v>
      </c>
      <c r="C40" s="624">
        <f>+'Business Reply Mail'!N32</f>
        <v>560.937</v>
      </c>
      <c r="D40" s="620">
        <f t="shared" si="0"/>
        <v>0.08333333333333326</v>
      </c>
      <c r="E40" s="625"/>
    </row>
    <row r="41" spans="1:5" s="109" customFormat="1" ht="12.75">
      <c r="A41" s="607" t="s">
        <v>193</v>
      </c>
      <c r="B41" s="624">
        <f>SUM(B39:B40)</f>
        <v>23138.928</v>
      </c>
      <c r="C41" s="624">
        <f>SUM(C39:C40)</f>
        <v>25067.172000000002</v>
      </c>
      <c r="D41" s="620">
        <f t="shared" si="0"/>
        <v>0.08333333333333348</v>
      </c>
      <c r="E41" s="625"/>
    </row>
    <row r="42" spans="1:5" s="109" customFormat="1" ht="12.75">
      <c r="A42" s="607"/>
      <c r="B42" s="624"/>
      <c r="C42" s="624"/>
      <c r="D42" s="620">
        <f t="shared" si="0"/>
      </c>
      <c r="E42" s="625"/>
    </row>
    <row r="43" spans="1:5" s="109" customFormat="1" ht="12.75">
      <c r="A43" s="607" t="s">
        <v>194</v>
      </c>
      <c r="B43" s="624">
        <f>+B41+B36+B28</f>
        <v>80737182.77600001</v>
      </c>
      <c r="C43" s="624">
        <f>+C41+C36+C28</f>
        <v>83505799.28299999</v>
      </c>
      <c r="D43" s="620">
        <f t="shared" si="0"/>
        <v>0.03429171556160604</v>
      </c>
      <c r="E43" s="625"/>
    </row>
    <row r="44" spans="1:5" s="109" customFormat="1" ht="12.75">
      <c r="A44" s="607"/>
      <c r="B44" s="624"/>
      <c r="C44" s="624"/>
      <c r="D44" s="620">
        <f t="shared" si="0"/>
      </c>
      <c r="E44" s="625"/>
    </row>
    <row r="45" spans="1:5" s="109" customFormat="1" ht="12.75">
      <c r="A45" s="607" t="s">
        <v>513</v>
      </c>
      <c r="B45" s="624"/>
      <c r="C45" s="624"/>
      <c r="D45" s="620">
        <f t="shared" si="0"/>
      </c>
      <c r="E45" s="625"/>
    </row>
    <row r="46" spans="1:5" s="109" customFormat="1" ht="12.75">
      <c r="A46" s="607" t="s">
        <v>196</v>
      </c>
      <c r="B46" s="624">
        <f>+'Business Reply Mail'!M43</f>
        <v>21421867.796465304</v>
      </c>
      <c r="C46" s="624">
        <f>+'Business Reply Mail'!N43</f>
        <v>22016919.679700453</v>
      </c>
      <c r="D46" s="620">
        <f t="shared" si="0"/>
        <v>0.0277777777777779</v>
      </c>
      <c r="E46" s="625"/>
    </row>
    <row r="47" spans="1:5" s="109" customFormat="1" ht="12.75">
      <c r="A47" s="607" t="s">
        <v>197</v>
      </c>
      <c r="B47" s="624">
        <f>+'Business Reply Mail'!M44</f>
        <v>35404896.41375773</v>
      </c>
      <c r="C47" s="624">
        <f>+'Business Reply Mail'!N44</f>
        <v>36658167.08327128</v>
      </c>
      <c r="D47" s="620">
        <f t="shared" si="0"/>
        <v>0.03539823008849563</v>
      </c>
      <c r="E47" s="625"/>
    </row>
    <row r="48" spans="1:5" s="109" customFormat="1" ht="12.75">
      <c r="A48" s="607" t="s">
        <v>198</v>
      </c>
      <c r="B48" s="624">
        <f>+'Business Reply Mail'!M45</f>
        <v>2299382.493150685</v>
      </c>
      <c r="C48" s="624">
        <f>+'Business Reply Mail'!N45</f>
        <v>2386151.6438356163</v>
      </c>
      <c r="D48" s="620">
        <f t="shared" si="0"/>
        <v>0.037735849056603765</v>
      </c>
      <c r="E48" s="625"/>
    </row>
    <row r="49" spans="1:5" s="109" customFormat="1" ht="12.75">
      <c r="A49" s="607" t="s">
        <v>199</v>
      </c>
      <c r="B49" s="624">
        <f>+'Business Reply Mail'!M46</f>
        <v>29338.412469487568</v>
      </c>
      <c r="C49" s="624">
        <f>+'Business Reply Mail'!N46</f>
        <v>30442.546272102692</v>
      </c>
      <c r="D49" s="620">
        <f t="shared" si="0"/>
        <v>0.037634408602150504</v>
      </c>
      <c r="E49" s="625"/>
    </row>
    <row r="50" spans="1:5" s="109" customFormat="1" ht="12.75">
      <c r="A50" s="607" t="s">
        <v>514</v>
      </c>
      <c r="B50" s="624">
        <f>SUM(B46:B49)</f>
        <v>59155485.1158432</v>
      </c>
      <c r="C50" s="624">
        <f>SUM(C46:C49)</f>
        <v>61091680.95307945</v>
      </c>
      <c r="D50" s="620">
        <f t="shared" si="0"/>
        <v>0.03273062224820955</v>
      </c>
      <c r="E50" s="625"/>
    </row>
    <row r="51" spans="1:5" s="109" customFormat="1" ht="12.75">
      <c r="A51" s="607"/>
      <c r="B51" s="624"/>
      <c r="C51" s="624"/>
      <c r="D51" s="620">
        <f t="shared" si="0"/>
      </c>
      <c r="E51" s="625"/>
    </row>
    <row r="52" spans="1:5" s="570" customFormat="1" ht="12.75">
      <c r="A52" s="608" t="s">
        <v>183</v>
      </c>
      <c r="B52" s="626">
        <f>+B50+B43</f>
        <v>139892667.8918432</v>
      </c>
      <c r="C52" s="626">
        <f>+C50+C43</f>
        <v>144597480.23607945</v>
      </c>
      <c r="D52" s="620">
        <f t="shared" si="0"/>
        <v>0.03363158638073682</v>
      </c>
      <c r="E52" s="621">
        <f>+C52/$C$226</f>
        <v>0.043838160226897294</v>
      </c>
    </row>
    <row r="53" spans="1:5" ht="12.75">
      <c r="A53" s="622"/>
      <c r="B53" s="609"/>
      <c r="C53" s="609"/>
      <c r="D53" s="620">
        <f t="shared" si="0"/>
      </c>
      <c r="E53" s="623"/>
    </row>
    <row r="54" spans="1:5" s="109" customFormat="1" ht="12.75">
      <c r="A54" s="607" t="s">
        <v>652</v>
      </c>
      <c r="B54" s="624"/>
      <c r="C54" s="624"/>
      <c r="D54" s="620">
        <f t="shared" si="0"/>
      </c>
      <c r="E54" s="625"/>
    </row>
    <row r="55" spans="1:5" s="109" customFormat="1" ht="12.75">
      <c r="A55" s="607" t="s">
        <v>254</v>
      </c>
      <c r="B55" s="624">
        <f>+'Certificates of Mailing'!J45</f>
        <v>4093629.1000000006</v>
      </c>
      <c r="C55" s="624">
        <f>+'Certificates of Mailing'!K45</f>
        <v>4279703.149999999</v>
      </c>
      <c r="D55" s="620">
        <f t="shared" si="0"/>
        <v>0.04545454545454519</v>
      </c>
      <c r="E55" s="625"/>
    </row>
    <row r="56" spans="1:5" s="109" customFormat="1" ht="12.75">
      <c r="A56" s="607" t="s">
        <v>654</v>
      </c>
      <c r="B56" s="624">
        <f>+'Certificates of Mailing'!J46</f>
        <v>2160674.8</v>
      </c>
      <c r="C56" s="624">
        <f>+'Certificates of Mailing'!K46</f>
        <v>2268708.54</v>
      </c>
      <c r="D56" s="620">
        <f t="shared" si="0"/>
        <v>0.050000000000000044</v>
      </c>
      <c r="E56" s="625"/>
    </row>
    <row r="57" spans="1:5" s="109" customFormat="1" ht="12.75">
      <c r="A57" s="607" t="s">
        <v>255</v>
      </c>
      <c r="B57" s="624">
        <f>+'Certificates of Mailing'!J47</f>
        <v>6428316</v>
      </c>
      <c r="C57" s="624">
        <f>+'Certificates of Mailing'!K47</f>
        <v>6964009</v>
      </c>
      <c r="D57" s="620">
        <f t="shared" si="0"/>
        <v>0.08333333333333326</v>
      </c>
      <c r="E57" s="625"/>
    </row>
    <row r="58" spans="1:5" s="109" customFormat="1" ht="12.75">
      <c r="A58" s="607" t="s">
        <v>256</v>
      </c>
      <c r="B58" s="624">
        <f>+'Certificates of Mailing'!J48</f>
        <v>0</v>
      </c>
      <c r="C58" s="624">
        <f>+'Certificates of Mailing'!K48</f>
        <v>0</v>
      </c>
      <c r="D58" s="620">
        <v>0</v>
      </c>
      <c r="E58" s="625"/>
    </row>
    <row r="59" spans="1:5" s="570" customFormat="1" ht="12.75">
      <c r="A59" s="608" t="s">
        <v>10</v>
      </c>
      <c r="B59" s="626">
        <f>SUM(B55:B58)</f>
        <v>12682619.9</v>
      </c>
      <c r="C59" s="626">
        <f>SUM(C55:C58)</f>
        <v>13512420.69</v>
      </c>
      <c r="D59" s="620">
        <f t="shared" si="0"/>
        <v>0.06542818412463802</v>
      </c>
      <c r="E59" s="621">
        <f>+C59/$C$226</f>
        <v>0.00409661124311666</v>
      </c>
    </row>
    <row r="60" spans="1:5" s="109" customFormat="1" ht="12.75">
      <c r="A60" s="607"/>
      <c r="B60" s="624"/>
      <c r="C60" s="624"/>
      <c r="D60" s="620">
        <f t="shared" si="0"/>
      </c>
      <c r="E60" s="625"/>
    </row>
    <row r="61" spans="1:5" ht="12.75">
      <c r="A61" s="622"/>
      <c r="B61" s="609"/>
      <c r="C61" s="609"/>
      <c r="D61" s="620">
        <f t="shared" si="0"/>
      </c>
      <c r="E61" s="623"/>
    </row>
    <row r="62" spans="1:5" s="18" customFormat="1" ht="12.75">
      <c r="A62" s="618" t="s">
        <v>30</v>
      </c>
      <c r="B62" s="628">
        <f>+'Certified Mail'!K15</f>
        <v>726076175.4000001</v>
      </c>
      <c r="C62" s="628">
        <f>+'Certified Mail'!L15</f>
        <v>752967885.5999999</v>
      </c>
      <c r="D62" s="620">
        <f t="shared" si="0"/>
        <v>0.03703703703703676</v>
      </c>
      <c r="E62" s="621">
        <f>+C62/$C$226</f>
        <v>0.22828009700271834</v>
      </c>
    </row>
    <row r="63" spans="1:5" ht="12.75">
      <c r="A63" s="622"/>
      <c r="B63" s="609"/>
      <c r="C63" s="609"/>
      <c r="D63" s="620">
        <f t="shared" si="0"/>
      </c>
      <c r="E63" s="623"/>
    </row>
    <row r="64" spans="1:5" ht="12.75">
      <c r="A64" s="725" t="s">
        <v>751</v>
      </c>
      <c r="B64" s="628">
        <f>+'COA Credit Card Authentication'!J15</f>
        <v>7982263</v>
      </c>
      <c r="C64" s="628">
        <f>+'COA Credit Card Authentication'!K15</f>
        <v>7982263</v>
      </c>
      <c r="D64" s="620">
        <f>IF(C64&lt;&gt;"",C64/B64-1,"")</f>
        <v>0</v>
      </c>
      <c r="E64" s="621">
        <f>+C64/$C$226</f>
        <v>0.002420012601851143</v>
      </c>
    </row>
    <row r="65" spans="1:5" ht="12.75">
      <c r="A65" s="622"/>
      <c r="B65" s="609"/>
      <c r="C65" s="609"/>
      <c r="D65" s="620"/>
      <c r="E65" s="623"/>
    </row>
    <row r="66" spans="1:5" s="570" customFormat="1" ht="12.75">
      <c r="A66" s="608" t="s">
        <v>45</v>
      </c>
      <c r="B66" s="626">
        <f>+COD!N42</f>
        <v>8239283.849999999</v>
      </c>
      <c r="C66" s="626">
        <f>+COD!O42</f>
        <v>8714220.43480765</v>
      </c>
      <c r="D66" s="620">
        <f t="shared" si="0"/>
        <v>0.05764294487895971</v>
      </c>
      <c r="E66" s="621">
        <f>+C66/$C$226</f>
        <v>0.0026419228817120234</v>
      </c>
    </row>
    <row r="67" spans="1:5" ht="12.75">
      <c r="A67" s="622"/>
      <c r="B67" s="609"/>
      <c r="C67" s="609"/>
      <c r="D67" s="620">
        <f t="shared" si="0"/>
      </c>
      <c r="E67" s="623"/>
    </row>
    <row r="68" spans="1:5" ht="12.75">
      <c r="A68" s="622" t="s">
        <v>175</v>
      </c>
      <c r="B68" s="609"/>
      <c r="C68" s="609"/>
      <c r="D68" s="620">
        <f t="shared" si="0"/>
      </c>
      <c r="E68" s="623"/>
    </row>
    <row r="69" spans="1:5" ht="12.75">
      <c r="A69" s="622" t="s">
        <v>47</v>
      </c>
      <c r="B69" s="627">
        <f>+Confirm!N36</f>
        <v>1979000</v>
      </c>
      <c r="C69" s="627">
        <f>+Confirm!O36</f>
        <v>5647000</v>
      </c>
      <c r="D69" s="620">
        <f t="shared" si="0"/>
        <v>1.8534613441131884</v>
      </c>
      <c r="E69" s="623"/>
    </row>
    <row r="70" spans="1:5" ht="12.75">
      <c r="A70" s="622" t="s">
        <v>674</v>
      </c>
      <c r="B70" s="627">
        <f>+Confirm!N37</f>
        <v>16000</v>
      </c>
      <c r="C70" s="627">
        <f>+Confirm!O37</f>
        <v>16000</v>
      </c>
      <c r="D70" s="620">
        <f t="shared" si="0"/>
        <v>0</v>
      </c>
      <c r="E70" s="623"/>
    </row>
    <row r="71" spans="1:5" ht="12.75">
      <c r="A71" s="622" t="s">
        <v>46</v>
      </c>
      <c r="B71" s="627">
        <f>+Confirm!N38</f>
        <v>463100</v>
      </c>
      <c r="C71" s="627">
        <f>+Confirm!O38</f>
        <v>463100</v>
      </c>
      <c r="D71" s="620">
        <f aca="true" t="shared" si="1" ref="D71:D133">IF(C71&lt;&gt;"",C71/B71-1,"")</f>
        <v>0</v>
      </c>
      <c r="E71" s="623"/>
    </row>
    <row r="72" spans="1:5" s="18" customFormat="1" ht="12.75">
      <c r="A72" s="618" t="s">
        <v>12</v>
      </c>
      <c r="B72" s="628">
        <f>SUM(B69:B71)</f>
        <v>2458100</v>
      </c>
      <c r="C72" s="628">
        <f>SUM(C69:C71)</f>
        <v>6126100</v>
      </c>
      <c r="D72" s="620">
        <f t="shared" si="1"/>
        <v>1.4922094300475979</v>
      </c>
      <c r="E72" s="621">
        <f>+C72/$C$226</f>
        <v>0.0018572727057728224</v>
      </c>
    </row>
    <row r="73" spans="1:5" ht="12.75">
      <c r="A73" s="622"/>
      <c r="B73" s="609"/>
      <c r="C73" s="609"/>
      <c r="D73" s="620">
        <f t="shared" si="1"/>
      </c>
      <c r="E73" s="623"/>
    </row>
    <row r="74" spans="1:5" s="18" customFormat="1" ht="12.75">
      <c r="A74" s="618" t="s">
        <v>455</v>
      </c>
      <c r="B74" s="628">
        <f>+'Correction of Mailing Lists'!M15</f>
        <v>13634.398720000001</v>
      </c>
      <c r="C74" s="628">
        <f>+'Correction of Mailing Lists'!N15</f>
        <v>14035.410447058823</v>
      </c>
      <c r="D74" s="620">
        <f t="shared" si="1"/>
        <v>0.02941176470588225</v>
      </c>
      <c r="E74" s="621">
        <f>+C74/$C$226</f>
        <v>4.2551680086255655E-06</v>
      </c>
    </row>
    <row r="75" spans="1:5" ht="12.75">
      <c r="A75" s="622"/>
      <c r="B75" s="609"/>
      <c r="C75" s="609"/>
      <c r="D75" s="620">
        <f t="shared" si="1"/>
      </c>
      <c r="E75" s="623"/>
    </row>
    <row r="76" spans="1:5" s="109" customFormat="1" ht="12.75">
      <c r="A76" s="607" t="s">
        <v>31</v>
      </c>
      <c r="B76" s="612"/>
      <c r="C76" s="612"/>
      <c r="D76" s="620">
        <f t="shared" si="1"/>
      </c>
      <c r="E76" s="625"/>
    </row>
    <row r="77" spans="1:5" s="109" customFormat="1" ht="12.75">
      <c r="A77" s="607" t="s">
        <v>163</v>
      </c>
      <c r="B77" s="624"/>
      <c r="C77" s="624"/>
      <c r="D77" s="620">
        <f t="shared" si="1"/>
      </c>
      <c r="E77" s="625"/>
    </row>
    <row r="78" spans="1:5" s="109" customFormat="1" ht="12.75">
      <c r="A78" s="607" t="s">
        <v>164</v>
      </c>
      <c r="B78" s="624">
        <f>+'Delivery Confirmation'!K14</f>
        <v>14648141.25</v>
      </c>
      <c r="C78" s="624">
        <f>+'Delivery Confirmation'!L14</f>
        <v>15624684</v>
      </c>
      <c r="D78" s="620">
        <f t="shared" si="1"/>
        <v>0.06666666666666665</v>
      </c>
      <c r="E78" s="625"/>
    </row>
    <row r="79" spans="1:5" s="109" customFormat="1" ht="12.75">
      <c r="A79" s="607" t="s">
        <v>165</v>
      </c>
      <c r="B79" s="624">
        <f>+'Delivery Confirmation'!K15</f>
        <v>5868055.9799999995</v>
      </c>
      <c r="C79" s="624">
        <f>+'Delivery Confirmation'!L15</f>
        <v>6194059.09</v>
      </c>
      <c r="D79" s="620">
        <f t="shared" si="1"/>
        <v>0.05555555555555558</v>
      </c>
      <c r="E79" s="625"/>
    </row>
    <row r="80" spans="1:5" s="109" customFormat="1" ht="12.75">
      <c r="A80" s="607" t="s">
        <v>166</v>
      </c>
      <c r="B80" s="624">
        <f>SUM(B78:B79)</f>
        <v>20516197.23</v>
      </c>
      <c r="C80" s="624">
        <f>SUM(C78:C79)</f>
        <v>21818743.09</v>
      </c>
      <c r="D80" s="620">
        <f t="shared" si="1"/>
        <v>0.06348865949169857</v>
      </c>
      <c r="E80" s="625"/>
    </row>
    <row r="81" spans="1:5" s="109" customFormat="1" ht="12.75">
      <c r="A81" s="607"/>
      <c r="B81" s="624"/>
      <c r="C81" s="624"/>
      <c r="D81" s="620">
        <f t="shared" si="1"/>
      </c>
      <c r="E81" s="625"/>
    </row>
    <row r="82" spans="1:5" s="109" customFormat="1" ht="12.75">
      <c r="A82" s="607" t="s">
        <v>7</v>
      </c>
      <c r="B82" s="624"/>
      <c r="C82" s="624"/>
      <c r="D82" s="620">
        <f t="shared" si="1"/>
      </c>
      <c r="E82" s="625"/>
    </row>
    <row r="83" spans="1:5" s="109" customFormat="1" ht="12.75">
      <c r="A83" s="607" t="s">
        <v>670</v>
      </c>
      <c r="B83" s="624">
        <f>+'Delivery Confirmation'!K19</f>
        <v>51283687.65</v>
      </c>
      <c r="C83" s="624">
        <f>+'Delivery Confirmation'!L19</f>
        <v>55228586.699999996</v>
      </c>
      <c r="D83" s="620">
        <f t="shared" si="1"/>
        <v>0.07692307692307687</v>
      </c>
      <c r="E83" s="625"/>
    </row>
    <row r="84" spans="1:5" s="109" customFormat="1" ht="12.75">
      <c r="A84" s="607" t="s">
        <v>669</v>
      </c>
      <c r="B84" s="624">
        <f>+'Delivery Confirmation'!K20</f>
        <v>0</v>
      </c>
      <c r="C84" s="624">
        <f>+'Delivery Confirmation'!L20</f>
        <v>0</v>
      </c>
      <c r="D84" s="620">
        <v>0</v>
      </c>
      <c r="E84" s="625"/>
    </row>
    <row r="85" spans="1:5" s="109" customFormat="1" ht="12.75">
      <c r="A85" s="607" t="s">
        <v>167</v>
      </c>
      <c r="B85" s="624">
        <f>SUM(B83:B84)</f>
        <v>51283687.65</v>
      </c>
      <c r="C85" s="624">
        <f>SUM(C83:C84)</f>
        <v>55228586.699999996</v>
      </c>
      <c r="D85" s="620">
        <f t="shared" si="1"/>
        <v>0.07692307692307687</v>
      </c>
      <c r="E85" s="625"/>
    </row>
    <row r="86" spans="1:5" s="109" customFormat="1" ht="12.75">
      <c r="A86" s="607"/>
      <c r="B86" s="624"/>
      <c r="C86" s="624"/>
      <c r="D86" s="620">
        <f t="shared" si="1"/>
      </c>
      <c r="E86" s="625"/>
    </row>
    <row r="87" spans="1:5" s="109" customFormat="1" ht="12.75">
      <c r="A87" s="607" t="s">
        <v>168</v>
      </c>
      <c r="B87" s="624">
        <f>+'Delivery Confirmation'!K23</f>
        <v>17233100.64</v>
      </c>
      <c r="C87" s="624">
        <f>+'Delivery Confirmation'!L23</f>
        <v>18190495.12</v>
      </c>
      <c r="D87" s="620">
        <f t="shared" si="1"/>
        <v>0.05555555555555558</v>
      </c>
      <c r="E87" s="625"/>
    </row>
    <row r="88" spans="1:5" s="109" customFormat="1" ht="12.75">
      <c r="A88" s="607"/>
      <c r="B88" s="624"/>
      <c r="C88" s="624"/>
      <c r="D88" s="620">
        <f t="shared" si="1"/>
      </c>
      <c r="E88" s="625"/>
    </row>
    <row r="89" spans="1:5" s="109" customFormat="1" ht="12.75">
      <c r="A89" s="607" t="s">
        <v>109</v>
      </c>
      <c r="B89" s="624"/>
      <c r="C89" s="624"/>
      <c r="D89" s="620">
        <f t="shared" si="1"/>
      </c>
      <c r="E89" s="625"/>
    </row>
    <row r="90" spans="1:5" s="109" customFormat="1" ht="12.75">
      <c r="A90" s="607" t="s">
        <v>169</v>
      </c>
      <c r="B90" s="624">
        <f>+'Delivery Confirmation'!K26</f>
        <v>0</v>
      </c>
      <c r="C90" s="624">
        <f>+'Delivery Confirmation'!L26</f>
        <v>0</v>
      </c>
      <c r="D90" s="620">
        <v>0</v>
      </c>
      <c r="E90" s="625"/>
    </row>
    <row r="91" spans="1:5" s="109" customFormat="1" ht="12.75">
      <c r="A91" s="607" t="s">
        <v>170</v>
      </c>
      <c r="B91" s="624">
        <f>+'Delivery Confirmation'!K27</f>
        <v>11817370.5</v>
      </c>
      <c r="C91" s="624">
        <f>+'Delivery Confirmation'!L27</f>
        <v>12605195.200000001</v>
      </c>
      <c r="D91" s="620">
        <f t="shared" si="1"/>
        <v>0.06666666666666665</v>
      </c>
      <c r="E91" s="625"/>
    </row>
    <row r="92" spans="1:5" s="109" customFormat="1" ht="12.75">
      <c r="A92" s="607" t="s">
        <v>171</v>
      </c>
      <c r="B92" s="624">
        <f>+'Delivery Confirmation'!K28</f>
        <v>46077058.62</v>
      </c>
      <c r="C92" s="624">
        <f>+'Delivery Confirmation'!L28</f>
        <v>48636895.21</v>
      </c>
      <c r="D92" s="620">
        <f t="shared" si="1"/>
        <v>0.05555555555555558</v>
      </c>
      <c r="E92" s="625"/>
    </row>
    <row r="93" spans="1:5" s="109" customFormat="1" ht="12.75">
      <c r="A93" s="607" t="s">
        <v>213</v>
      </c>
      <c r="B93" s="624">
        <f>SUM(B90:B92)</f>
        <v>57894429.12</v>
      </c>
      <c r="C93" s="624">
        <f>SUM(C90:C92)</f>
        <v>61242090.410000004</v>
      </c>
      <c r="D93" s="620">
        <f t="shared" si="1"/>
        <v>0.05782354780735788</v>
      </c>
      <c r="E93" s="625"/>
    </row>
    <row r="94" spans="1:5" s="109" customFormat="1" ht="12.75">
      <c r="A94" s="607"/>
      <c r="B94" s="624"/>
      <c r="C94" s="624"/>
      <c r="D94" s="620">
        <f t="shared" si="1"/>
      </c>
      <c r="E94" s="625"/>
    </row>
    <row r="95" spans="1:5" s="570" customFormat="1" ht="12.75">
      <c r="A95" s="608" t="s">
        <v>13</v>
      </c>
      <c r="B95" s="626">
        <f>+B93+B85+B80+B87</f>
        <v>146927414.64</v>
      </c>
      <c r="C95" s="626">
        <f>+C93+C85+C80+C87</f>
        <v>156479915.32</v>
      </c>
      <c r="D95" s="620">
        <f t="shared" si="1"/>
        <v>0.06501510084694173</v>
      </c>
      <c r="E95" s="621">
        <f>+C95/$C$226</f>
        <v>0.047440602622464294</v>
      </c>
    </row>
    <row r="96" spans="1:5" ht="12.75">
      <c r="A96" s="622"/>
      <c r="B96" s="609"/>
      <c r="C96" s="609"/>
      <c r="D96" s="620">
        <f t="shared" si="1"/>
      </c>
      <c r="E96" s="623"/>
    </row>
    <row r="97" spans="1:5" s="18" customFormat="1" ht="12.75">
      <c r="A97" s="618" t="s">
        <v>49</v>
      </c>
      <c r="B97" s="628">
        <f>+'First Class Presort Permits'!J15</f>
        <v>8634074.071519457</v>
      </c>
      <c r="C97" s="628">
        <f>+'First Class Presort Permits'!K15</f>
        <v>8873909.462394997</v>
      </c>
      <c r="D97" s="620">
        <f t="shared" si="1"/>
        <v>0.0277777777777779</v>
      </c>
      <c r="E97" s="621">
        <f>+C97/$C$226</f>
        <v>0.0026903364029326015</v>
      </c>
    </row>
    <row r="98" spans="1:5" ht="12.75">
      <c r="A98" s="622"/>
      <c r="B98" s="609"/>
      <c r="C98" s="609"/>
      <c r="D98" s="620">
        <f t="shared" si="1"/>
      </c>
      <c r="E98" s="623"/>
    </row>
    <row r="99" spans="1:5" ht="12.75">
      <c r="A99" s="622" t="s">
        <v>32</v>
      </c>
      <c r="B99" s="609"/>
      <c r="C99" s="609"/>
      <c r="D99" s="620">
        <f t="shared" si="1"/>
      </c>
      <c r="E99" s="623"/>
    </row>
    <row r="100" spans="1:5" ht="12.75">
      <c r="A100" s="622" t="s">
        <v>438</v>
      </c>
      <c r="B100" s="609"/>
      <c r="C100" s="609"/>
      <c r="D100" s="620">
        <f t="shared" si="1"/>
      </c>
      <c r="E100" s="623"/>
    </row>
    <row r="101" spans="1:5" ht="12.75">
      <c r="A101" s="622" t="s">
        <v>50</v>
      </c>
      <c r="B101" s="627">
        <f>+Insurance!R14</f>
        <v>34752170.1</v>
      </c>
      <c r="C101" s="627">
        <f>+Insurance!S14</f>
        <v>35774292.75</v>
      </c>
      <c r="D101" s="620">
        <f t="shared" si="1"/>
        <v>0.02941176470588225</v>
      </c>
      <c r="E101" s="623"/>
    </row>
    <row r="102" spans="1:5" ht="12.75">
      <c r="A102" s="622" t="s">
        <v>51</v>
      </c>
      <c r="B102" s="627">
        <f>+Insurance!R79-Insurance!R14</f>
        <v>113077740.8334744</v>
      </c>
      <c r="C102" s="627">
        <f>+Insurance!S79-Insurance!S14</f>
        <v>117719222.43651217</v>
      </c>
      <c r="D102" s="620">
        <f t="shared" si="1"/>
        <v>0.041046819372462684</v>
      </c>
      <c r="E102" s="623"/>
    </row>
    <row r="103" spans="1:5" s="43" customFormat="1" ht="12.75">
      <c r="A103" s="622" t="s">
        <v>494</v>
      </c>
      <c r="B103" s="627">
        <f>SUM(B101:B102)</f>
        <v>147829910.9334744</v>
      </c>
      <c r="C103" s="627">
        <f>SUM(C101:C102)</f>
        <v>153493515.18651217</v>
      </c>
      <c r="D103" s="620">
        <f t="shared" si="1"/>
        <v>0.03831162595766213</v>
      </c>
      <c r="E103" s="623"/>
    </row>
    <row r="104" spans="1:5" ht="12.75">
      <c r="A104" s="622"/>
      <c r="B104" s="609"/>
      <c r="C104" s="609"/>
      <c r="D104" s="620">
        <f t="shared" si="1"/>
      </c>
      <c r="E104" s="623"/>
    </row>
    <row r="105" spans="1:5" ht="12.75">
      <c r="A105" s="622" t="s">
        <v>52</v>
      </c>
      <c r="B105" s="627">
        <f>+'Express Mail Insurance'!L24</f>
        <v>1833492.5999999999</v>
      </c>
      <c r="C105" s="627">
        <f>+'Express Mail Insurance'!M24</f>
        <v>1885476.9000000001</v>
      </c>
      <c r="D105" s="620">
        <f t="shared" si="1"/>
        <v>0.02835260965874653</v>
      </c>
      <c r="E105" s="623"/>
    </row>
    <row r="106" spans="1:5" ht="12.75">
      <c r="A106" s="622"/>
      <c r="B106" s="609"/>
      <c r="C106" s="609"/>
      <c r="D106" s="620">
        <f t="shared" si="1"/>
      </c>
      <c r="E106" s="623"/>
    </row>
    <row r="107" spans="1:5" s="18" customFormat="1" ht="12.75">
      <c r="A107" s="618" t="s">
        <v>336</v>
      </c>
      <c r="B107" s="628">
        <f>+B105+B103</f>
        <v>149663403.5334744</v>
      </c>
      <c r="C107" s="628">
        <f>+C105+C103</f>
        <v>155378992.08651218</v>
      </c>
      <c r="D107" s="620">
        <f t="shared" si="1"/>
        <v>0.03818962029524742</v>
      </c>
      <c r="E107" s="621">
        <f>+C107/$C$226</f>
        <v>0.047106831598042874</v>
      </c>
    </row>
    <row r="108" spans="1:5" ht="12.75">
      <c r="A108" s="622"/>
      <c r="B108" s="609"/>
      <c r="C108" s="609"/>
      <c r="D108" s="620">
        <f t="shared" si="1"/>
      </c>
      <c r="E108" s="623"/>
    </row>
    <row r="109" spans="1:5" s="18" customFormat="1" ht="12.75">
      <c r="A109" s="618" t="s">
        <v>53</v>
      </c>
      <c r="B109" s="628">
        <f>+'Media Mail Presort Per'!J14</f>
        <v>162517.9030265596</v>
      </c>
      <c r="C109" s="628">
        <f>+'Media Mail Presort Per'!K14</f>
        <v>167032.2892217418</v>
      </c>
      <c r="D109" s="620">
        <f t="shared" si="1"/>
        <v>0.0277777777777779</v>
      </c>
      <c r="E109" s="621">
        <f>+C109/$C$226</f>
        <v>5.063980538259138E-05</v>
      </c>
    </row>
    <row r="110" spans="1:5" ht="12.75">
      <c r="A110" s="622"/>
      <c r="B110" s="609"/>
      <c r="C110" s="609"/>
      <c r="D110" s="620">
        <f t="shared" si="1"/>
      </c>
      <c r="E110" s="623"/>
    </row>
    <row r="111" spans="1:5" ht="12.75">
      <c r="A111" s="622" t="s">
        <v>281</v>
      </c>
      <c r="B111" s="609"/>
      <c r="C111" s="609"/>
      <c r="D111" s="620">
        <f t="shared" si="1"/>
      </c>
      <c r="E111" s="623"/>
    </row>
    <row r="112" spans="1:5" ht="12.75">
      <c r="A112" s="622" t="s">
        <v>54</v>
      </c>
      <c r="B112" s="627">
        <f>+'Merchandise Return'!J19</f>
        <v>0</v>
      </c>
      <c r="C112" s="627">
        <f>+'Merchandise Return'!K19</f>
        <v>0</v>
      </c>
      <c r="D112" s="620">
        <v>0</v>
      </c>
      <c r="E112" s="623"/>
    </row>
    <row r="113" spans="1:5" ht="12.75">
      <c r="A113" s="622" t="s">
        <v>44</v>
      </c>
      <c r="B113" s="627">
        <f>+'Merchandise Return Acctg Fee'!S19</f>
        <v>821310.6890173065</v>
      </c>
      <c r="C113" s="627">
        <f>+'Merchandise Return Acctg Fee'!T19</f>
        <v>850383.6337612821</v>
      </c>
      <c r="D113" s="620">
        <f t="shared" si="1"/>
        <v>0.03539823008849563</v>
      </c>
      <c r="E113" s="623"/>
    </row>
    <row r="114" spans="1:5" ht="12.75">
      <c r="A114" s="622" t="s">
        <v>196</v>
      </c>
      <c r="B114" s="627">
        <f>+'Merchandise Return Permits'!T19</f>
        <v>245452.8474366893</v>
      </c>
      <c r="C114" s="627">
        <f>+'Merchandise Return Permits'!U19</f>
        <v>252270.98208770846</v>
      </c>
      <c r="D114" s="620">
        <f t="shared" si="1"/>
        <v>0.0277777777777779</v>
      </c>
      <c r="E114" s="623"/>
    </row>
    <row r="115" spans="1:5" s="18" customFormat="1" ht="12.75">
      <c r="A115" s="618" t="s">
        <v>14</v>
      </c>
      <c r="B115" s="628">
        <f>SUM(B112:B114)</f>
        <v>1066763.5364539959</v>
      </c>
      <c r="C115" s="628">
        <f>SUM(C112:C114)</f>
        <v>1102654.6158489906</v>
      </c>
      <c r="D115" s="620">
        <f t="shared" si="1"/>
        <v>0.03364483146311836</v>
      </c>
      <c r="E115" s="621">
        <f>+C115/$C$226</f>
        <v>0.000334295934103385</v>
      </c>
    </row>
    <row r="116" spans="1:5" ht="12.75">
      <c r="A116" s="622"/>
      <c r="B116" s="609"/>
      <c r="C116" s="609"/>
      <c r="D116" s="620">
        <f t="shared" si="1"/>
      </c>
      <c r="E116" s="623"/>
    </row>
    <row r="117" spans="1:5" ht="12.75">
      <c r="A117" s="622" t="s">
        <v>657</v>
      </c>
      <c r="B117" s="609"/>
      <c r="C117" s="609"/>
      <c r="D117" s="620">
        <f t="shared" si="1"/>
      </c>
      <c r="E117" s="623"/>
    </row>
    <row r="118" spans="1:5" ht="12.75">
      <c r="A118" s="622" t="s">
        <v>55</v>
      </c>
      <c r="B118" s="627">
        <f>+'Money Orders'!K19</f>
        <v>164620623.06611782</v>
      </c>
      <c r="C118" s="627">
        <f>+'Money Orders'!L19</f>
        <v>171104693.21210474</v>
      </c>
      <c r="D118" s="620">
        <f t="shared" si="1"/>
        <v>0.03938795774927106</v>
      </c>
      <c r="E118" s="623"/>
    </row>
    <row r="119" spans="1:5" ht="12.75">
      <c r="A119" s="622" t="s">
        <v>56</v>
      </c>
      <c r="B119" s="627">
        <f>+'Money Orders'!K21</f>
        <v>1324138.4000000001</v>
      </c>
      <c r="C119" s="627">
        <f>+'Money Orders'!L21</f>
        <v>1375066.8</v>
      </c>
      <c r="D119" s="620">
        <f t="shared" si="1"/>
        <v>0.038461538461538325</v>
      </c>
      <c r="E119" s="623"/>
    </row>
    <row r="120" spans="1:7" s="18" customFormat="1" ht="12.75">
      <c r="A120" s="618" t="s">
        <v>15</v>
      </c>
      <c r="B120" s="628">
        <f>SUM(B118:B119)</f>
        <v>165944761.46611783</v>
      </c>
      <c r="C120" s="628">
        <f>SUM(C118:C119)</f>
        <v>172479760.01210475</v>
      </c>
      <c r="D120" s="620">
        <f t="shared" si="1"/>
        <v>0.03938056548607127</v>
      </c>
      <c r="E120" s="621">
        <f>+C120/$C$226</f>
        <v>0.05229133552647343</v>
      </c>
      <c r="G120" s="572"/>
    </row>
    <row r="121" spans="1:5" ht="12.75">
      <c r="A121" s="622"/>
      <c r="B121" s="609"/>
      <c r="C121" s="630"/>
      <c r="D121" s="620">
        <f t="shared" si="1"/>
      </c>
      <c r="E121" s="623"/>
    </row>
    <row r="122" spans="1:5" s="18" customFormat="1" ht="12.75">
      <c r="A122" s="618" t="s">
        <v>23</v>
      </c>
      <c r="B122" s="628">
        <f>+PAL!K21</f>
        <v>484073.6</v>
      </c>
      <c r="C122" s="628">
        <f>+PAL!L21</f>
        <v>514409.60000000003</v>
      </c>
      <c r="D122" s="620">
        <f t="shared" si="1"/>
        <v>0.06266815624731459</v>
      </c>
      <c r="E122" s="621">
        <f>+C122/$C$226</f>
        <v>0.0001559554871235395</v>
      </c>
    </row>
    <row r="123" spans="1:5" ht="12.75">
      <c r="A123" s="622"/>
      <c r="B123" s="609"/>
      <c r="C123" s="609"/>
      <c r="D123" s="620">
        <f t="shared" si="1"/>
      </c>
      <c r="E123" s="623"/>
    </row>
    <row r="124" spans="1:5" s="18" customFormat="1" ht="12.75">
      <c r="A124" s="618" t="s">
        <v>57</v>
      </c>
      <c r="B124" s="628">
        <f>+'Parcel Select Permits'!K12</f>
        <v>114455.81840642371</v>
      </c>
      <c r="C124" s="628">
        <f>+'Parcel Select Permits'!L12</f>
        <v>117635.14669549104</v>
      </c>
      <c r="D124" s="620">
        <f t="shared" si="1"/>
        <v>0.0277777777777779</v>
      </c>
      <c r="E124" s="621">
        <f>+C124/$C$226</f>
        <v>3.566388847670092E-05</v>
      </c>
    </row>
    <row r="125" spans="1:5" ht="12.75">
      <c r="A125" s="622"/>
      <c r="B125" s="609"/>
      <c r="C125" s="609"/>
      <c r="D125" s="620">
        <f t="shared" si="1"/>
      </c>
      <c r="E125" s="623"/>
    </row>
    <row r="126" spans="1:5" s="18" customFormat="1" ht="12.75">
      <c r="A126" s="618" t="s">
        <v>58</v>
      </c>
      <c r="B126" s="629"/>
      <c r="C126" s="629"/>
      <c r="D126" s="620">
        <f t="shared" si="1"/>
      </c>
      <c r="E126" s="631"/>
    </row>
    <row r="127" spans="1:5" ht="12.75">
      <c r="A127" s="632" t="s">
        <v>662</v>
      </c>
      <c r="B127" s="627">
        <f>+'Per Mailing App'!K13</f>
        <v>399330</v>
      </c>
      <c r="C127" s="627">
        <f>+'Per Mailing App'!L13</f>
        <v>422820</v>
      </c>
      <c r="D127" s="620">
        <f t="shared" si="1"/>
        <v>0.05882352941176472</v>
      </c>
      <c r="E127" s="623"/>
    </row>
    <row r="128" spans="1:5" ht="12.75">
      <c r="A128" s="622" t="s">
        <v>663</v>
      </c>
      <c r="B128" s="627">
        <f>+'Per Mailing App'!K15</f>
        <v>208080</v>
      </c>
      <c r="C128" s="627">
        <f>+'Per Mailing App'!L15</f>
        <v>225420</v>
      </c>
      <c r="D128" s="620">
        <f t="shared" si="1"/>
        <v>0.08333333333333326</v>
      </c>
      <c r="E128" s="623"/>
    </row>
    <row r="129" spans="1:5" ht="12.75">
      <c r="A129" s="622" t="s">
        <v>664</v>
      </c>
      <c r="B129" s="627">
        <f>+'Per Mailing App'!K17</f>
        <v>202960</v>
      </c>
      <c r="C129" s="627">
        <f>+'Per Mailing App'!L17</f>
        <v>215645</v>
      </c>
      <c r="D129" s="620">
        <f t="shared" si="1"/>
        <v>0.0625</v>
      </c>
      <c r="E129" s="623"/>
    </row>
    <row r="130" spans="1:5" ht="12.75">
      <c r="A130" s="622" t="s">
        <v>41</v>
      </c>
      <c r="B130" s="627">
        <f>+'Per Mailing App'!K19</f>
        <v>50</v>
      </c>
      <c r="C130" s="627">
        <f>+'Per Mailing App'!L19</f>
        <v>55</v>
      </c>
      <c r="D130" s="620">
        <v>0</v>
      </c>
      <c r="E130" s="623"/>
    </row>
    <row r="131" spans="1:5" s="18" customFormat="1" ht="12.75">
      <c r="A131" s="608" t="s">
        <v>16</v>
      </c>
      <c r="B131" s="628">
        <f>SUM(B127:B130)</f>
        <v>810420</v>
      </c>
      <c r="C131" s="628">
        <f>SUM(C127:C130)</f>
        <v>863940</v>
      </c>
      <c r="D131" s="620">
        <f t="shared" si="1"/>
        <v>0.06603983119863766</v>
      </c>
      <c r="E131" s="621">
        <f>+C131/$C$226</f>
        <v>0.00026192392899648586</v>
      </c>
    </row>
    <row r="132" spans="1:5" ht="12.75">
      <c r="A132" s="622"/>
      <c r="B132" s="609"/>
      <c r="C132" s="609"/>
      <c r="D132" s="620">
        <f t="shared" si="1"/>
      </c>
      <c r="E132" s="623"/>
    </row>
    <row r="133" spans="1:5" s="18" customFormat="1" ht="12.75">
      <c r="A133" s="608" t="s">
        <v>308</v>
      </c>
      <c r="B133" s="628">
        <f>+'Permit Imprint Per'!K13</f>
        <v>6508980</v>
      </c>
      <c r="C133" s="628">
        <f>+'Permit Imprint Per'!L13</f>
        <v>6689785</v>
      </c>
      <c r="D133" s="620">
        <f t="shared" si="1"/>
        <v>0.02777777777777768</v>
      </c>
      <c r="E133" s="621">
        <f>+C133/$C$226</f>
        <v>0.002028167200664116</v>
      </c>
    </row>
    <row r="134" spans="1:5" s="18" customFormat="1" ht="12.75">
      <c r="A134" s="608"/>
      <c r="B134" s="628"/>
      <c r="C134" s="628"/>
      <c r="D134" s="620"/>
      <c r="E134" s="621"/>
    </row>
    <row r="135" spans="1:5" s="18" customFormat="1" ht="12.75">
      <c r="A135" s="715" t="s">
        <v>0</v>
      </c>
      <c r="B135" s="670">
        <f>SUM('P.O. Boxes'!C57:G64)</f>
        <v>820256677.1007107</v>
      </c>
      <c r="C135" s="670">
        <f>SUM('P.O. Boxes'!C72:G79)</f>
        <v>851431002.777671</v>
      </c>
      <c r="D135" s="719">
        <f aca="true" t="shared" si="2" ref="D135:D140">IF(C135&lt;&gt;"",C135/B135-1,"")</f>
        <v>0.03800557380056868</v>
      </c>
      <c r="E135" s="621"/>
    </row>
    <row r="136" spans="1:5" s="18" customFormat="1" ht="12.75">
      <c r="A136" s="541" t="s">
        <v>364</v>
      </c>
      <c r="B136" s="671">
        <f>+'P.O. Boxes'!C65</f>
        <v>1470788</v>
      </c>
      <c r="C136" s="671">
        <f>+'P.O. Boxes'!C80</f>
        <v>1470788</v>
      </c>
      <c r="D136" s="719">
        <f t="shared" si="2"/>
        <v>0</v>
      </c>
      <c r="E136" s="621"/>
    </row>
    <row r="137" spans="1:5" s="18" customFormat="1" ht="12.75">
      <c r="A137" s="541" t="s">
        <v>688</v>
      </c>
      <c r="B137" s="671">
        <f>+'P.O. Boxes'!C66</f>
        <v>465510</v>
      </c>
      <c r="C137" s="671">
        <f>+'P.O. Boxes'!C81</f>
        <v>465510</v>
      </c>
      <c r="D137" s="719">
        <f t="shared" si="2"/>
        <v>0</v>
      </c>
      <c r="E137" s="621"/>
    </row>
    <row r="138" spans="1:5" ht="12.75">
      <c r="A138" s="541" t="s">
        <v>689</v>
      </c>
      <c r="B138" s="671">
        <f>+'P.O. Boxes'!C67</f>
        <v>616560</v>
      </c>
      <c r="C138" s="671">
        <f>+'P.O. Boxes'!C82</f>
        <v>616560</v>
      </c>
      <c r="D138" s="719">
        <f t="shared" si="2"/>
        <v>0</v>
      </c>
      <c r="E138" s="623"/>
    </row>
    <row r="139" spans="1:5" ht="12.75">
      <c r="A139" s="541" t="s">
        <v>682</v>
      </c>
      <c r="B139" s="671">
        <f>SUM('P.O. Boxes'!H57:H64)</f>
        <v>96828669.64335822</v>
      </c>
      <c r="C139" s="671">
        <f>SUM('P.O. Boxes'!H72:H79)</f>
        <v>101257229.23445798</v>
      </c>
      <c r="D139" s="719">
        <f t="shared" si="2"/>
        <v>0.04573603672766713</v>
      </c>
      <c r="E139" s="623"/>
    </row>
    <row r="140" spans="1:5" ht="12.75">
      <c r="A140" s="541" t="s">
        <v>713</v>
      </c>
      <c r="B140" s="671">
        <f>SUM('P.O. Boxes'!I57:I64)</f>
        <v>3522619.3135864343</v>
      </c>
      <c r="C140" s="671">
        <f>SUM('P.O. Boxes'!I72:I79)</f>
        <v>3612942.885729676</v>
      </c>
      <c r="D140" s="719">
        <f t="shared" si="2"/>
        <v>0.02564102564102555</v>
      </c>
      <c r="E140" s="623"/>
    </row>
    <row r="141" spans="1:5" s="109" customFormat="1" ht="12.75">
      <c r="A141" s="608" t="s">
        <v>0</v>
      </c>
      <c r="B141" s="626">
        <f>SUM(B135:B140)</f>
        <v>923160824.0576555</v>
      </c>
      <c r="C141" s="626">
        <f>SUM(C135:C140)</f>
        <v>958854032.8978586</v>
      </c>
      <c r="D141" s="719">
        <f>+C141/B141-1</f>
        <v>0.038664128622050375</v>
      </c>
      <c r="E141" s="621">
        <f>+C141/$C$226</f>
        <v>0.29069937221419645</v>
      </c>
    </row>
    <row r="142" spans="1:5" ht="12.75">
      <c r="A142" s="622"/>
      <c r="B142" s="609"/>
      <c r="C142" s="609"/>
      <c r="D142" s="620">
        <f aca="true" t="shared" si="3" ref="D142:D205">IF(C142&lt;&gt;"",C142/B142-1,"")</f>
      </c>
      <c r="E142" s="623"/>
    </row>
    <row r="143" spans="1:5" ht="12.75">
      <c r="A143" s="622" t="s">
        <v>59</v>
      </c>
      <c r="B143" s="609"/>
      <c r="C143" s="609"/>
      <c r="D143" s="620">
        <f t="shared" si="3"/>
      </c>
      <c r="E143" s="623"/>
    </row>
    <row r="144" spans="1:5" ht="12.75">
      <c r="A144" s="622" t="s">
        <v>44</v>
      </c>
      <c r="B144" s="627">
        <f>+'Parcel Return Serv Accting Fee'!K14</f>
        <v>565</v>
      </c>
      <c r="C144" s="627">
        <f>+'Parcel Return Serv Accting Fee'!L14</f>
        <v>585</v>
      </c>
      <c r="D144" s="620">
        <f t="shared" si="3"/>
        <v>0.03539823008849563</v>
      </c>
      <c r="E144" s="623"/>
    </row>
    <row r="145" spans="1:5" ht="12.75">
      <c r="A145" s="622" t="s">
        <v>196</v>
      </c>
      <c r="B145" s="627">
        <f>+'Parcel Return Service Permits'!K14</f>
        <v>180</v>
      </c>
      <c r="C145" s="627">
        <f>+'Parcel Return Service Permits'!L14</f>
        <v>185</v>
      </c>
      <c r="D145" s="620">
        <f t="shared" si="3"/>
        <v>0.02777777777777768</v>
      </c>
      <c r="E145" s="623"/>
    </row>
    <row r="146" spans="1:5" s="18" customFormat="1" ht="12.75">
      <c r="A146" s="618" t="s">
        <v>17</v>
      </c>
      <c r="B146" s="628">
        <f>SUM(B144:B145)</f>
        <v>745</v>
      </c>
      <c r="C146" s="628">
        <f>SUM(C144:C145)</f>
        <v>770</v>
      </c>
      <c r="D146" s="620">
        <f t="shared" si="3"/>
        <v>0.033557046979865834</v>
      </c>
      <c r="E146" s="621">
        <f>+C146/$C$226</f>
        <v>2.3344378698439027E-07</v>
      </c>
    </row>
    <row r="147" spans="1:5" ht="12.75">
      <c r="A147" s="622"/>
      <c r="B147" s="609"/>
      <c r="C147" s="609"/>
      <c r="D147" s="620">
        <f t="shared" si="3"/>
      </c>
      <c r="E147" s="623"/>
    </row>
    <row r="148" spans="1:5" s="18" customFormat="1" ht="12.75">
      <c r="A148" s="618" t="s">
        <v>716</v>
      </c>
      <c r="B148" s="628">
        <f>+'Premium Stamped Cards'!I12</f>
        <v>158518.5</v>
      </c>
      <c r="C148" s="628">
        <f>+'Premium Stamped Cards'!J12</f>
        <v>164389.55555555556</v>
      </c>
      <c r="D148" s="620">
        <f>IF(C148&lt;&gt;"",C148/B148-1,"")</f>
        <v>0.03703703703703698</v>
      </c>
      <c r="E148" s="621">
        <f>+C148/$C$226</f>
        <v>4.9838597908532085E-05</v>
      </c>
    </row>
    <row r="149" spans="1:5" s="18" customFormat="1" ht="12.75">
      <c r="A149" s="618"/>
      <c r="B149" s="628"/>
      <c r="C149" s="628"/>
      <c r="D149" s="620">
        <f>IF(C149&lt;&gt;"",C149/B149-1,"")</f>
      </c>
      <c r="E149" s="621"/>
    </row>
    <row r="150" spans="1:5" s="18" customFormat="1" ht="12.75">
      <c r="A150" s="618" t="s">
        <v>720</v>
      </c>
      <c r="B150" s="628">
        <f>+'Premium Stamped Stationery'!I12</f>
        <v>16301.2</v>
      </c>
      <c r="C150" s="628">
        <f>+'Premium Stamped Stationery'!J12</f>
        <v>17077.44761904762</v>
      </c>
      <c r="D150" s="620">
        <f>IF(C150&lt;&gt;"",C150/B150-1,"")</f>
        <v>0.04761904761904767</v>
      </c>
      <c r="E150" s="621">
        <f>+C150/$C$226</f>
        <v>5.177433823659786E-06</v>
      </c>
    </row>
    <row r="151" spans="1:5" ht="12.75">
      <c r="A151" s="622"/>
      <c r="B151" s="609"/>
      <c r="C151" s="609"/>
      <c r="D151" s="620">
        <f t="shared" si="3"/>
      </c>
      <c r="E151" s="623"/>
    </row>
    <row r="152" spans="1:5" s="18" customFormat="1" ht="12.75">
      <c r="A152" s="618" t="s">
        <v>666</v>
      </c>
      <c r="B152" s="628">
        <f>+'Registered Mail'!P49</f>
        <v>57299893.5</v>
      </c>
      <c r="C152" s="628">
        <f>+'Registered Mail'!Q49</f>
        <v>62280565.10638564</v>
      </c>
      <c r="D152" s="620">
        <f t="shared" si="3"/>
        <v>0.08692287720195568</v>
      </c>
      <c r="E152" s="621">
        <f>+C152/$C$226</f>
        <v>0.018881832433717584</v>
      </c>
    </row>
    <row r="153" spans="1:5" ht="12.75">
      <c r="A153" s="622"/>
      <c r="B153" s="609"/>
      <c r="C153" s="609"/>
      <c r="D153" s="620">
        <f t="shared" si="3"/>
      </c>
      <c r="E153" s="623"/>
    </row>
    <row r="154" spans="1:5" s="18" customFormat="1" ht="12.75">
      <c r="A154" s="618" t="s">
        <v>452</v>
      </c>
      <c r="B154" s="628">
        <f>+'Restricted Delivery'!K13</f>
        <v>9590376</v>
      </c>
      <c r="C154" s="628">
        <f>+'Restricted Delivery'!L13</f>
        <v>10036440</v>
      </c>
      <c r="D154" s="620">
        <f t="shared" si="3"/>
        <v>0.04651162790697683</v>
      </c>
      <c r="E154" s="621">
        <f>+C154/$C$226</f>
        <v>0.003042785144729369</v>
      </c>
    </row>
    <row r="155" spans="1:5" ht="12.75">
      <c r="A155" s="622"/>
      <c r="B155" s="609"/>
      <c r="C155" s="609"/>
      <c r="D155" s="620">
        <f t="shared" si="3"/>
      </c>
      <c r="E155" s="623"/>
    </row>
    <row r="156" spans="1:5" s="109" customFormat="1" ht="12.75">
      <c r="A156" s="607" t="s">
        <v>61</v>
      </c>
      <c r="B156" s="612"/>
      <c r="C156" s="612"/>
      <c r="D156" s="620">
        <f t="shared" si="3"/>
      </c>
      <c r="E156" s="625"/>
    </row>
    <row r="157" spans="1:5" s="109" customFormat="1" ht="12.75">
      <c r="A157" s="607" t="s">
        <v>515</v>
      </c>
      <c r="B157" s="624">
        <f>+'Return Receipts'!J14+'Return Receipts'!J21+'Return Receipts'!J28+'Return Receipts'!J35</f>
        <v>412513492.6</v>
      </c>
      <c r="C157" s="624">
        <f>+'Return Receipts'!K14+'Return Receipts'!K21+'Return Receipts'!K28+'Return Receipts'!K35</f>
        <v>431264105.8999999</v>
      </c>
      <c r="D157" s="620">
        <f t="shared" si="3"/>
        <v>0.04545454545454519</v>
      </c>
      <c r="E157" s="625"/>
    </row>
    <row r="158" spans="1:5" s="109" customFormat="1" ht="12.75">
      <c r="A158" s="607" t="s">
        <v>516</v>
      </c>
      <c r="B158" s="624">
        <f>+'Return Receipts'!J15+'Return Receipts'!J22+'Return Receipts'!J29+'Return Receipts'!J36</f>
        <v>8834941</v>
      </c>
      <c r="C158" s="624">
        <f>+'Return Receipts'!K15+'Return Receipts'!K22+'Return Receipts'!K29+'Return Receipts'!K36</f>
        <v>9718435.1</v>
      </c>
      <c r="D158" s="620">
        <f t="shared" si="3"/>
        <v>0.09999999999999987</v>
      </c>
      <c r="E158" s="625"/>
    </row>
    <row r="159" spans="1:5" s="109" customFormat="1" ht="12.75">
      <c r="A159" s="607" t="s">
        <v>441</v>
      </c>
      <c r="B159" s="624">
        <f>+'Return Receipts'!J16+'Return Receipts'!J23+'Return Receipts'!J30+'Return Receipts'!J37</f>
        <v>141233042.09999996</v>
      </c>
      <c r="C159" s="624">
        <f>+'Return Receipts'!K16+'Return Receipts'!K23+'Return Receipts'!K30+'Return Receipts'!K37</f>
        <v>149349883.59999996</v>
      </c>
      <c r="D159" s="620">
        <f t="shared" si="3"/>
        <v>0.05747126436781613</v>
      </c>
      <c r="E159" s="625"/>
    </row>
    <row r="160" spans="1:5" s="109" customFormat="1" ht="12.75">
      <c r="A160" s="607" t="s">
        <v>668</v>
      </c>
      <c r="B160" s="624">
        <f>+'Return Receipts'!J41</f>
        <v>5244523.2</v>
      </c>
      <c r="C160" s="624">
        <f>+'Return Receipts'!K41</f>
        <v>5535885.6</v>
      </c>
      <c r="D160" s="620">
        <f t="shared" si="3"/>
        <v>0.05555555555555536</v>
      </c>
      <c r="E160" s="625"/>
    </row>
    <row r="161" spans="1:5" s="570" customFormat="1" ht="12.75">
      <c r="A161" s="608" t="s">
        <v>18</v>
      </c>
      <c r="B161" s="626">
        <f>SUM(B157:B160)</f>
        <v>567825998.9000001</v>
      </c>
      <c r="C161" s="626">
        <f>SUM(C157:C160)</f>
        <v>595868310.1999999</v>
      </c>
      <c r="D161" s="620">
        <f t="shared" si="3"/>
        <v>0.04938539509343309</v>
      </c>
      <c r="E161" s="621">
        <f>+C161/$C$226</f>
        <v>0.1806516297104901</v>
      </c>
    </row>
    <row r="162" spans="1:5" ht="12.75">
      <c r="A162" s="622"/>
      <c r="B162" s="609"/>
      <c r="C162" s="609"/>
      <c r="D162" s="620">
        <f t="shared" si="3"/>
      </c>
      <c r="E162" s="623"/>
    </row>
    <row r="163" spans="1:5" s="18" customFormat="1" ht="12.75">
      <c r="A163" s="618" t="s">
        <v>244</v>
      </c>
      <c r="B163" s="628">
        <f>+'Scheduled Pickup'!J12</f>
        <v>5281812.75</v>
      </c>
      <c r="C163" s="628">
        <f>+'Scheduled Pickup'!K12</f>
        <v>5478761.7</v>
      </c>
      <c r="D163" s="620">
        <f>+'Scheduled Pickup'!L12</f>
        <v>0.03728813559322039</v>
      </c>
      <c r="E163" s="621">
        <f>+C163/$C$226</f>
        <v>0.00166101672627667</v>
      </c>
    </row>
    <row r="164" spans="1:5" ht="12.75">
      <c r="A164" s="622"/>
      <c r="B164" s="609"/>
      <c r="C164" s="609"/>
      <c r="D164" s="620"/>
      <c r="E164" s="623"/>
    </row>
    <row r="165" spans="1:5" s="18" customFormat="1" ht="12.75">
      <c r="A165" s="618" t="s">
        <v>60</v>
      </c>
      <c r="B165" s="628">
        <f>+'Shipper-Paid Forwarding'!J13</f>
        <v>7345</v>
      </c>
      <c r="C165" s="628">
        <f>+'Shipper-Paid Forwarding'!K13</f>
        <v>7605</v>
      </c>
      <c r="D165" s="620">
        <f t="shared" si="3"/>
        <v>0.03539823008849563</v>
      </c>
      <c r="E165" s="621">
        <f>+C165/$C$226</f>
        <v>2.305636363657517E-06</v>
      </c>
    </row>
    <row r="166" spans="1:5" ht="12.75">
      <c r="A166" s="622"/>
      <c r="B166" s="609"/>
      <c r="C166" s="609"/>
      <c r="D166" s="620">
        <f t="shared" si="3"/>
      </c>
      <c r="E166" s="623"/>
    </row>
    <row r="167" spans="1:5" s="109" customFormat="1" ht="12.75">
      <c r="A167" s="607" t="s">
        <v>62</v>
      </c>
      <c r="B167" s="612"/>
      <c r="C167" s="612"/>
      <c r="D167" s="620">
        <f t="shared" si="3"/>
      </c>
      <c r="E167" s="625"/>
    </row>
    <row r="168" spans="1:5" s="109" customFormat="1" ht="12.75">
      <c r="A168" s="607" t="s">
        <v>163</v>
      </c>
      <c r="B168" s="612"/>
      <c r="C168" s="612"/>
      <c r="D168" s="620">
        <f t="shared" si="3"/>
      </c>
      <c r="E168" s="625"/>
    </row>
    <row r="169" spans="1:5" s="109" customFormat="1" ht="12.75">
      <c r="A169" s="607" t="s">
        <v>223</v>
      </c>
      <c r="B169" s="624">
        <f>+'Signature Confirmation'!L13</f>
        <v>5443385.4</v>
      </c>
      <c r="C169" s="624">
        <f>+'Signature Confirmation'!M13</f>
        <v>5897000.85</v>
      </c>
      <c r="D169" s="620">
        <f t="shared" si="3"/>
        <v>0.08333333333333326</v>
      </c>
      <c r="E169" s="621"/>
    </row>
    <row r="170" spans="1:5" s="109" customFormat="1" ht="12.75">
      <c r="A170" s="607" t="s">
        <v>124</v>
      </c>
      <c r="B170" s="624">
        <f>+'Signature Confirmation'!L14</f>
        <v>2649257.6</v>
      </c>
      <c r="C170" s="624">
        <f>+'Signature Confirmation'!M14</f>
        <v>2829888.8000000003</v>
      </c>
      <c r="D170" s="620">
        <f t="shared" si="3"/>
        <v>0.06818181818181834</v>
      </c>
      <c r="E170" s="625"/>
    </row>
    <row r="171" spans="1:5" s="109" customFormat="1" ht="12.75">
      <c r="A171" s="607" t="s">
        <v>105</v>
      </c>
      <c r="B171" s="624">
        <f>SUM(B169:B170)</f>
        <v>8092643</v>
      </c>
      <c r="C171" s="624">
        <f>SUM(C169:C170)</f>
        <v>8726889.65</v>
      </c>
      <c r="D171" s="620">
        <f t="shared" si="3"/>
        <v>0.07837323974380195</v>
      </c>
      <c r="E171" s="625"/>
    </row>
    <row r="172" spans="1:5" s="109" customFormat="1" ht="12.75">
      <c r="A172" s="607"/>
      <c r="B172" s="624"/>
      <c r="C172" s="624"/>
      <c r="D172" s="620">
        <f t="shared" si="3"/>
      </c>
      <c r="E172" s="625"/>
    </row>
    <row r="173" spans="1:5" s="109" customFormat="1" ht="12.75">
      <c r="A173" s="607" t="s">
        <v>7</v>
      </c>
      <c r="B173" s="624"/>
      <c r="C173" s="624"/>
      <c r="D173" s="620">
        <f t="shared" si="3"/>
      </c>
      <c r="E173" s="625"/>
    </row>
    <row r="174" spans="1:5" s="109" customFormat="1" ht="12.75">
      <c r="A174" s="607" t="s">
        <v>223</v>
      </c>
      <c r="B174" s="624">
        <f>+'Signature Confirmation'!L18</f>
        <v>9659383.200000001</v>
      </c>
      <c r="C174" s="624">
        <f>+'Signature Confirmation'!M18</f>
        <v>10464331.799999999</v>
      </c>
      <c r="D174" s="620">
        <f t="shared" si="3"/>
        <v>0.08333333333333304</v>
      </c>
      <c r="E174" s="625"/>
    </row>
    <row r="175" spans="1:5" s="109" customFormat="1" ht="12.75">
      <c r="A175" s="607" t="s">
        <v>124</v>
      </c>
      <c r="B175" s="624">
        <f>+'Signature Confirmation'!L19</f>
        <v>9826753.200000001</v>
      </c>
      <c r="C175" s="624">
        <f>+'Signature Confirmation'!M19</f>
        <v>10496759.1</v>
      </c>
      <c r="D175" s="620">
        <f t="shared" si="3"/>
        <v>0.06818181818181812</v>
      </c>
      <c r="E175" s="625"/>
    </row>
    <row r="176" spans="1:5" s="109" customFormat="1" ht="12.75">
      <c r="A176" s="607" t="s">
        <v>105</v>
      </c>
      <c r="B176" s="624">
        <f>SUM(B174:B175)</f>
        <v>19486136.400000002</v>
      </c>
      <c r="C176" s="624">
        <f>SUM(C174:C175)</f>
        <v>20961090.9</v>
      </c>
      <c r="D176" s="620">
        <f t="shared" si="3"/>
        <v>0.07569250618609003</v>
      </c>
      <c r="E176" s="625"/>
    </row>
    <row r="177" spans="1:5" s="109" customFormat="1" ht="12.75">
      <c r="A177" s="607"/>
      <c r="B177" s="624"/>
      <c r="C177" s="624"/>
      <c r="D177" s="620">
        <f t="shared" si="3"/>
      </c>
      <c r="E177" s="625"/>
    </row>
    <row r="178" spans="1:5" s="109" customFormat="1" ht="12.75">
      <c r="A178" s="607" t="s">
        <v>109</v>
      </c>
      <c r="B178" s="624"/>
      <c r="C178" s="624"/>
      <c r="D178" s="620">
        <f t="shared" si="3"/>
      </c>
      <c r="E178" s="625"/>
    </row>
    <row r="179" spans="1:5" s="109" customFormat="1" ht="12.75">
      <c r="A179" s="607" t="s">
        <v>223</v>
      </c>
      <c r="B179" s="624">
        <f>+'Signature Confirmation'!L23</f>
        <v>903821.4</v>
      </c>
      <c r="C179" s="624">
        <f>+'Signature Confirmation'!M23</f>
        <v>979139.85</v>
      </c>
      <c r="D179" s="620">
        <f t="shared" si="3"/>
        <v>0.08333333333333326</v>
      </c>
      <c r="E179" s="625"/>
    </row>
    <row r="180" spans="1:5" s="109" customFormat="1" ht="12.75">
      <c r="A180" s="607" t="s">
        <v>124</v>
      </c>
      <c r="B180" s="624">
        <f>+'Signature Confirmation'!L24</f>
        <v>828729.0000000001</v>
      </c>
      <c r="C180" s="624">
        <f>+'Signature Confirmation'!M24</f>
        <v>885233.25</v>
      </c>
      <c r="D180" s="620">
        <f t="shared" si="3"/>
        <v>0.06818181818181812</v>
      </c>
      <c r="E180" s="625"/>
    </row>
    <row r="181" spans="1:5" s="109" customFormat="1" ht="12.75">
      <c r="A181" s="607" t="s">
        <v>105</v>
      </c>
      <c r="B181" s="624">
        <f>SUM(B179:B180)</f>
        <v>1732550.4000000001</v>
      </c>
      <c r="C181" s="624">
        <f>SUM(C179:C180)</f>
        <v>1864373.1</v>
      </c>
      <c r="D181" s="620">
        <f t="shared" si="3"/>
        <v>0.0760859251194077</v>
      </c>
      <c r="E181" s="625"/>
    </row>
    <row r="182" spans="1:5" s="109" customFormat="1" ht="12.75">
      <c r="A182" s="607"/>
      <c r="B182" s="624"/>
      <c r="C182" s="624"/>
      <c r="D182" s="620">
        <f t="shared" si="3"/>
      </c>
      <c r="E182" s="625"/>
    </row>
    <row r="183" spans="1:5" s="570" customFormat="1" ht="12.75">
      <c r="A183" s="608" t="s">
        <v>517</v>
      </c>
      <c r="B183" s="626">
        <f>+B181+B176+B171</f>
        <v>29311329.8</v>
      </c>
      <c r="C183" s="626">
        <f>+C181+C176+C171</f>
        <v>31552353.65</v>
      </c>
      <c r="D183" s="620">
        <f t="shared" si="3"/>
        <v>0.07645589146897036</v>
      </c>
      <c r="E183" s="621">
        <f>+C183/$C$226</f>
        <v>0.009565845356268504</v>
      </c>
    </row>
    <row r="184" spans="1:5" ht="12.75">
      <c r="A184" s="622"/>
      <c r="B184" s="609"/>
      <c r="C184" s="609"/>
      <c r="D184" s="620">
        <f t="shared" si="3"/>
      </c>
      <c r="E184" s="623"/>
    </row>
    <row r="185" spans="1:5" s="18" customFormat="1" ht="12.75">
      <c r="A185" s="618" t="s">
        <v>671</v>
      </c>
      <c r="B185" s="628">
        <f>+'Special Handling'!J45</f>
        <v>11983915.399999999</v>
      </c>
      <c r="C185" s="628">
        <f>+'Special Handling'!K45</f>
        <v>12491319</v>
      </c>
      <c r="D185" s="620">
        <f t="shared" si="3"/>
        <v>0.04234038568062659</v>
      </c>
      <c r="E185" s="621">
        <f>+C185/$C$226</f>
        <v>0.0037870400153117755</v>
      </c>
    </row>
    <row r="186" spans="1:5" ht="12.75">
      <c r="A186" s="622"/>
      <c r="B186" s="609"/>
      <c r="C186" s="609"/>
      <c r="D186" s="620">
        <f t="shared" si="3"/>
      </c>
      <c r="E186" s="623"/>
    </row>
    <row r="187" spans="1:5" s="18" customFormat="1" ht="12.75">
      <c r="A187" s="618" t="s">
        <v>63</v>
      </c>
      <c r="B187" s="628">
        <f>+'Stamped Cards'!I13</f>
        <v>1481235</v>
      </c>
      <c r="C187" s="628">
        <f>+'Stamped Cards'!J13</f>
        <v>1481235</v>
      </c>
      <c r="D187" s="620">
        <f t="shared" si="3"/>
        <v>0</v>
      </c>
      <c r="E187" s="621">
        <f>+C187/$C$226</f>
        <v>0.0004490715685893809</v>
      </c>
    </row>
    <row r="188" spans="1:5" ht="12.75">
      <c r="A188" s="622"/>
      <c r="B188" s="609"/>
      <c r="C188" s="609"/>
      <c r="D188" s="620">
        <f t="shared" si="3"/>
      </c>
      <c r="E188" s="623"/>
    </row>
    <row r="189" spans="1:5" s="109" customFormat="1" ht="12.75">
      <c r="A189" s="607" t="s">
        <v>64</v>
      </c>
      <c r="B189" s="624"/>
      <c r="C189" s="624"/>
      <c r="D189" s="620">
        <f t="shared" si="3"/>
      </c>
      <c r="E189" s="625"/>
    </row>
    <row r="190" spans="1:5" s="109" customFormat="1" ht="12.75">
      <c r="A190" s="610" t="s">
        <v>150</v>
      </c>
      <c r="B190" s="624"/>
      <c r="C190" s="624"/>
      <c r="D190" s="620">
        <f t="shared" si="3"/>
      </c>
      <c r="E190" s="625"/>
    </row>
    <row r="191" spans="1:5" s="109" customFormat="1" ht="12.75">
      <c r="A191" s="611" t="s">
        <v>151</v>
      </c>
      <c r="B191" s="624">
        <f>+'Stamped Envelopes'!K13</f>
        <v>616770.45</v>
      </c>
      <c r="C191" s="624">
        <f>+'Stamped Envelopes'!L13</f>
        <v>685300.5</v>
      </c>
      <c r="D191" s="620">
        <f t="shared" si="3"/>
        <v>0.11111111111111116</v>
      </c>
      <c r="E191" s="625"/>
    </row>
    <row r="192" spans="1:5" s="109" customFormat="1" ht="12.75">
      <c r="A192" s="611" t="s">
        <v>152</v>
      </c>
      <c r="B192" s="624">
        <f>+'Stamped Envelopes'!K14</f>
        <v>4796754.39</v>
      </c>
      <c r="C192" s="624">
        <f>+'Stamped Envelopes'!L14</f>
        <v>5329727.100000001</v>
      </c>
      <c r="D192" s="620">
        <f t="shared" si="3"/>
        <v>0.11111111111111138</v>
      </c>
      <c r="E192" s="625"/>
    </row>
    <row r="193" spans="1:5" s="109" customFormat="1" ht="12.75">
      <c r="A193" s="611"/>
      <c r="B193" s="624"/>
      <c r="C193" s="624"/>
      <c r="D193" s="620">
        <f t="shared" si="3"/>
      </c>
      <c r="E193" s="625"/>
    </row>
    <row r="194" spans="1:5" s="109" customFormat="1" ht="12.75">
      <c r="A194" s="611" t="s">
        <v>389</v>
      </c>
      <c r="B194" s="624">
        <f>+'Stamped Envelopes'!K16</f>
        <v>552149.151</v>
      </c>
      <c r="C194" s="624">
        <f>+'Stamped Envelopes'!L16</f>
        <v>574383.345</v>
      </c>
      <c r="D194" s="620">
        <f t="shared" si="3"/>
        <v>0.04026845637583887</v>
      </c>
      <c r="E194" s="625"/>
    </row>
    <row r="195" spans="1:5" s="109" customFormat="1" ht="12.75">
      <c r="A195" s="611" t="s">
        <v>390</v>
      </c>
      <c r="B195" s="624">
        <f>+'Stamped Envelopes'!K17</f>
        <v>4888380.9831</v>
      </c>
      <c r="C195" s="624">
        <f>+'Stamped Envelopes'!L17</f>
        <v>5119101.0295</v>
      </c>
      <c r="D195" s="620">
        <f t="shared" si="3"/>
        <v>0.0471976401179941</v>
      </c>
      <c r="E195" s="625"/>
    </row>
    <row r="196" spans="1:5" s="109" customFormat="1" ht="12.75">
      <c r="A196" s="611"/>
      <c r="B196" s="624"/>
      <c r="C196" s="624"/>
      <c r="D196" s="620">
        <f t="shared" si="3"/>
      </c>
      <c r="E196" s="625"/>
    </row>
    <row r="197" spans="1:5" s="109" customFormat="1" ht="12.75">
      <c r="A197" s="611" t="s">
        <v>385</v>
      </c>
      <c r="B197" s="624">
        <f>SUM(B191:B195)</f>
        <v>10854054.9741</v>
      </c>
      <c r="C197" s="624">
        <f>SUM(C191:C195)</f>
        <v>11708511.9745</v>
      </c>
      <c r="D197" s="620">
        <f t="shared" si="3"/>
        <v>0.07872237633206303</v>
      </c>
      <c r="E197" s="625"/>
    </row>
    <row r="198" spans="1:5" s="109" customFormat="1" ht="12.75">
      <c r="A198" s="607"/>
      <c r="B198" s="624"/>
      <c r="C198" s="624"/>
      <c r="D198" s="620">
        <f t="shared" si="3"/>
      </c>
      <c r="E198" s="625"/>
    </row>
    <row r="199" spans="1:5" s="109" customFormat="1" ht="12.75">
      <c r="A199" s="607" t="s">
        <v>160</v>
      </c>
      <c r="B199" s="624"/>
      <c r="C199" s="624"/>
      <c r="D199" s="620">
        <f t="shared" si="3"/>
      </c>
      <c r="E199" s="625"/>
    </row>
    <row r="200" spans="1:5" s="109" customFormat="1" ht="12.75">
      <c r="A200" s="611" t="s">
        <v>391</v>
      </c>
      <c r="B200" s="624">
        <f>+'Stamped Envelopes'!K22</f>
        <v>66930</v>
      </c>
      <c r="C200" s="624">
        <f>+'Stamped Envelopes'!L22</f>
        <v>69840</v>
      </c>
      <c r="D200" s="620">
        <f t="shared" si="3"/>
        <v>0.04347826086956519</v>
      </c>
      <c r="E200" s="625"/>
    </row>
    <row r="201" spans="1:5" s="109" customFormat="1" ht="12.75">
      <c r="A201" s="611" t="s">
        <v>392</v>
      </c>
      <c r="B201" s="624">
        <f>+'Stamped Envelopes'!K23</f>
        <v>0</v>
      </c>
      <c r="C201" s="624">
        <f>+'Stamped Envelopes'!L23</f>
        <v>0</v>
      </c>
      <c r="D201" s="620">
        <v>0</v>
      </c>
      <c r="E201" s="625"/>
    </row>
    <row r="202" spans="1:5" s="109" customFormat="1" ht="12.75">
      <c r="A202" s="611"/>
      <c r="B202" s="624"/>
      <c r="C202" s="624"/>
      <c r="D202" s="620">
        <f t="shared" si="3"/>
      </c>
      <c r="E202" s="625"/>
    </row>
    <row r="203" spans="1:5" s="109" customFormat="1" ht="12.75">
      <c r="A203" s="611" t="s">
        <v>389</v>
      </c>
      <c r="B203" s="624">
        <f>+'Stamped Envelopes'!K25</f>
        <v>172568</v>
      </c>
      <c r="C203" s="624">
        <f>+'Stamped Envelopes'!L25</f>
        <v>188256</v>
      </c>
      <c r="D203" s="620">
        <f t="shared" si="3"/>
        <v>0.09090909090909083</v>
      </c>
      <c r="E203" s="625"/>
    </row>
    <row r="204" spans="1:5" s="109" customFormat="1" ht="12.75">
      <c r="A204" s="611" t="s">
        <v>390</v>
      </c>
      <c r="B204" s="624">
        <f>+'Stamped Envelopes'!K26</f>
        <v>5795967.5</v>
      </c>
      <c r="C204" s="624">
        <f>+'Stamped Envelopes'!L26</f>
        <v>6259644.9</v>
      </c>
      <c r="D204" s="620">
        <f t="shared" si="3"/>
        <v>0.08000000000000007</v>
      </c>
      <c r="E204" s="625"/>
    </row>
    <row r="205" spans="1:5" s="109" customFormat="1" ht="12.75">
      <c r="A205" s="607"/>
      <c r="B205" s="624"/>
      <c r="C205" s="624"/>
      <c r="D205" s="620">
        <f t="shared" si="3"/>
      </c>
      <c r="E205" s="625"/>
    </row>
    <row r="206" spans="1:5" s="109" customFormat="1" ht="12.75">
      <c r="A206" s="607" t="s">
        <v>386</v>
      </c>
      <c r="B206" s="624">
        <f>SUM(B200:B204)</f>
        <v>6035465.5</v>
      </c>
      <c r="C206" s="624">
        <f>SUM(C200:C204)</f>
        <v>6517740.9</v>
      </c>
      <c r="D206" s="620">
        <f aca="true" t="shared" si="4" ref="D206:D220">IF(C206&lt;&gt;"",C206/B206-1,"")</f>
        <v>0.07990691024577967</v>
      </c>
      <c r="E206" s="625"/>
    </row>
    <row r="207" spans="1:5" s="109" customFormat="1" ht="12.75">
      <c r="A207" s="607"/>
      <c r="B207" s="624"/>
      <c r="C207" s="624"/>
      <c r="D207" s="620">
        <f t="shared" si="4"/>
      </c>
      <c r="E207" s="625"/>
    </row>
    <row r="208" spans="1:5" s="570" customFormat="1" ht="12.75">
      <c r="A208" s="608" t="s">
        <v>518</v>
      </c>
      <c r="B208" s="626">
        <f>+B206+B197</f>
        <v>16889520.4741</v>
      </c>
      <c r="C208" s="626">
        <f>+C206+C197</f>
        <v>18226252.8745</v>
      </c>
      <c r="D208" s="620">
        <f t="shared" si="4"/>
        <v>0.07914566920060695</v>
      </c>
      <c r="E208" s="621">
        <f>+C208/$C$226</f>
        <v>0.005525721420205726</v>
      </c>
    </row>
    <row r="209" spans="1:5" s="109" customFormat="1" ht="12.75">
      <c r="A209" s="607"/>
      <c r="B209" s="624"/>
      <c r="C209" s="633"/>
      <c r="D209" s="620">
        <f t="shared" si="4"/>
      </c>
      <c r="E209" s="625"/>
    </row>
    <row r="210" spans="1:5" ht="12.75">
      <c r="A210" s="622"/>
      <c r="B210" s="609"/>
      <c r="C210" s="609"/>
      <c r="D210" s="620">
        <f t="shared" si="4"/>
      </c>
      <c r="E210" s="623"/>
    </row>
    <row r="211" spans="1:5" ht="12.75">
      <c r="A211" s="622" t="s">
        <v>201</v>
      </c>
      <c r="B211" s="609"/>
      <c r="C211" s="609"/>
      <c r="D211" s="620">
        <f t="shared" si="4"/>
      </c>
      <c r="E211" s="623"/>
    </row>
    <row r="212" spans="1:5" ht="12.75">
      <c r="A212" s="634" t="s">
        <v>438</v>
      </c>
      <c r="B212" s="627">
        <f>+'Std Bulk Permit'!I13</f>
        <v>44456404.84750026</v>
      </c>
      <c r="C212" s="627">
        <f>+'Std Bulk Permit'!J13</f>
        <v>45691304.98215304</v>
      </c>
      <c r="D212" s="620">
        <f t="shared" si="4"/>
        <v>0.0277777777777779</v>
      </c>
      <c r="E212" s="623"/>
    </row>
    <row r="213" spans="1:5" ht="12.75">
      <c r="A213" s="634" t="s">
        <v>40</v>
      </c>
      <c r="B213" s="627">
        <f>+'Std Bulk Permit'!I15</f>
        <v>22849075.15249974</v>
      </c>
      <c r="C213" s="627">
        <f>+'Std Bulk Permit'!J15</f>
        <v>23483771.68451362</v>
      </c>
      <c r="D213" s="620">
        <f t="shared" si="4"/>
        <v>0.0277777777777779</v>
      </c>
      <c r="E213" s="623"/>
    </row>
    <row r="214" spans="1:5" s="18" customFormat="1" ht="12.75">
      <c r="A214" s="635" t="s">
        <v>19</v>
      </c>
      <c r="B214" s="628">
        <f>SUM(B212:B213)</f>
        <v>67305480</v>
      </c>
      <c r="C214" s="628">
        <f>SUM(C212:C213)</f>
        <v>69175076.66666666</v>
      </c>
      <c r="D214" s="620">
        <f t="shared" si="4"/>
        <v>0.02777777777777768</v>
      </c>
      <c r="E214" s="621">
        <f>+C214/$C$226</f>
        <v>0.020972067353249607</v>
      </c>
    </row>
    <row r="215" spans="1:5" ht="12.75">
      <c r="A215" s="622"/>
      <c r="B215" s="609"/>
      <c r="C215" s="609"/>
      <c r="D215" s="620">
        <f t="shared" si="4"/>
      </c>
      <c r="E215" s="623"/>
    </row>
    <row r="216" spans="1:5" ht="12.75">
      <c r="A216" s="622" t="s">
        <v>396</v>
      </c>
      <c r="B216" s="609"/>
      <c r="C216" s="609"/>
      <c r="D216" s="620">
        <f t="shared" si="4"/>
      </c>
      <c r="E216" s="623"/>
    </row>
    <row r="217" spans="1:5" ht="12.75">
      <c r="A217" s="622" t="s">
        <v>394</v>
      </c>
      <c r="B217" s="630">
        <f>+'Std Weighted Fee'!J16</f>
        <v>8630843.346129412</v>
      </c>
      <c r="C217" s="630">
        <f>+'Std Weighted Fee'!K16</f>
        <v>8958815.39328233</v>
      </c>
      <c r="D217" s="620">
        <f t="shared" si="4"/>
        <v>0.038000000000000034</v>
      </c>
      <c r="E217" s="623"/>
    </row>
    <row r="218" spans="1:5" ht="12.75">
      <c r="A218" s="622" t="s">
        <v>395</v>
      </c>
      <c r="B218" s="630">
        <f>+'Std Weighted Fee'!J17</f>
        <v>4989803.245132191</v>
      </c>
      <c r="C218" s="630">
        <f>+'Std Weighted Fee'!K17</f>
        <v>5179415.768447215</v>
      </c>
      <c r="D218" s="620">
        <f t="shared" si="4"/>
        <v>0.038000000000000034</v>
      </c>
      <c r="E218" s="623"/>
    </row>
    <row r="219" spans="1:5" s="18" customFormat="1" ht="12.75">
      <c r="A219" s="608" t="s">
        <v>20</v>
      </c>
      <c r="B219" s="628">
        <f>SUM(B217:B218)</f>
        <v>13620646.591261603</v>
      </c>
      <c r="C219" s="628">
        <f>SUM(C217:C218)</f>
        <v>14138231.161729544</v>
      </c>
      <c r="D219" s="620">
        <f t="shared" si="4"/>
        <v>0.038000000000000034</v>
      </c>
      <c r="E219" s="621">
        <f>+C219/$C$226</f>
        <v>0.004286340550201118</v>
      </c>
    </row>
    <row r="220" spans="1:5" ht="12.75">
      <c r="A220" s="622"/>
      <c r="B220" s="609"/>
      <c r="C220" s="609"/>
      <c r="D220" s="620">
        <f t="shared" si="4"/>
      </c>
      <c r="E220" s="623"/>
    </row>
    <row r="221" spans="1:5" s="18" customFormat="1" ht="12.75">
      <c r="A221" s="618" t="s">
        <v>204</v>
      </c>
      <c r="B221" s="628">
        <f>+'Zip Coding'!K12</f>
        <v>1057.84128</v>
      </c>
      <c r="C221" s="628">
        <f>+'Zip Coding'!L12</f>
        <v>1103.8343791304349</v>
      </c>
      <c r="D221" s="620">
        <f>IF(C221&lt;&gt;"",C221/B221-1,"")</f>
        <v>0.04347826086956519</v>
      </c>
      <c r="E221" s="702">
        <f>+C221/$C$226</f>
        <v>3.3465360736074276E-07</v>
      </c>
    </row>
    <row r="222" spans="1:5" ht="12.75">
      <c r="A222" s="622"/>
      <c r="B222" s="609"/>
      <c r="C222" s="609"/>
      <c r="D222" s="609"/>
      <c r="E222" s="623"/>
    </row>
    <row r="223" spans="1:5" ht="12.75">
      <c r="A223" s="703"/>
      <c r="B223" s="706"/>
      <c r="C223" s="706"/>
      <c r="D223" s="704"/>
      <c r="E223" s="705"/>
    </row>
    <row r="224" spans="1:5" ht="12.75">
      <c r="A224" s="608" t="s">
        <v>1</v>
      </c>
      <c r="B224" s="638">
        <v>18847930</v>
      </c>
      <c r="C224" s="638">
        <v>20040273</v>
      </c>
      <c r="D224" s="615">
        <f>+C224/B224-1</f>
        <v>0.06326121754484437</v>
      </c>
      <c r="E224" s="621">
        <f>+C224/$C$226</f>
        <v>0.006075684703014322</v>
      </c>
    </row>
    <row r="225" spans="1:5" ht="12.75">
      <c r="A225" s="622"/>
      <c r="B225" s="609"/>
      <c r="C225" s="609"/>
      <c r="D225" s="609"/>
      <c r="E225" s="623"/>
    </row>
    <row r="226" spans="1:5" ht="13.5" thickBot="1">
      <c r="A226" s="639" t="s">
        <v>519</v>
      </c>
      <c r="B226" s="640">
        <f>+B221+B219+B214+B208+B187+B185+B165+B161+B154+B152+B146+B133+B124+B122+B120+B115+B109+B107+B97+B95+B74+B72+B66+B62+B59+B52+B20+B14+B183+B3+B131+B224+B141+B163+B148+B150+B64</f>
        <v>3159199084.463118</v>
      </c>
      <c r="C226" s="640">
        <f>+C221+C219+C214+C208+C187+C185+C165+C161+C154+C152+C146+C133+C124+C122+C120+C115+C109+C107+C97+C95+C74+C72+C66+C62+C59+C52+C20+C14+C183+C3+C131+C224+C141+C163+C148+C150+C64</f>
        <v>3298438608.9122505</v>
      </c>
      <c r="D226" s="641">
        <f>+'Cap Calc Page'!D39</f>
        <v>0.03837444269369228</v>
      </c>
      <c r="E226" s="642">
        <f>+C226/$C$226</f>
        <v>1</v>
      </c>
    </row>
    <row r="227" ht="13.5" thickTop="1"/>
    <row r="228" ht="12.75">
      <c r="C228" s="655"/>
    </row>
    <row r="229" spans="3:4" ht="12.75">
      <c r="C229" s="650"/>
      <c r="D229" s="137"/>
    </row>
    <row r="231" ht="12.75">
      <c r="D231" s="137"/>
    </row>
    <row r="232" ht="12.75">
      <c r="D232" s="137"/>
    </row>
    <row r="233" ht="12.75">
      <c r="D233" s="651"/>
    </row>
    <row r="234" ht="12.75">
      <c r="D234" s="137"/>
    </row>
  </sheetData>
  <printOptions/>
  <pageMargins left="0.75" right="0.75" top="1" bottom="1" header="0.5" footer="0.5"/>
  <pageSetup fitToHeight="5" horizontalDpi="600" verticalDpi="600" orientation="portrait" scale="96" r:id="rId1"/>
  <rowBreaks count="4" manualBreakCount="4">
    <brk id="52" max="4" man="1"/>
    <brk id="97" max="4" man="1"/>
    <brk id="150" max="4" man="1"/>
    <brk id="19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pane xSplit="1" ySplit="1" topLeftCell="B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3" sqref="C33"/>
    </sheetView>
  </sheetViews>
  <sheetFormatPr defaultColWidth="9.140625" defaultRowHeight="12.75"/>
  <cols>
    <col min="1" max="1" width="49.00390625" style="0" bestFit="1" customWidth="1"/>
    <col min="2" max="2" width="19.28125" style="0" bestFit="1" customWidth="1"/>
    <col min="3" max="3" width="18.140625" style="0" bestFit="1" customWidth="1"/>
    <col min="4" max="4" width="12.00390625" style="0" bestFit="1" customWidth="1"/>
    <col min="5" max="5" width="14.28125" style="0" bestFit="1" customWidth="1"/>
    <col min="7" max="7" width="15.00390625" style="0" bestFit="1" customWidth="1"/>
    <col min="8" max="8" width="10.7109375" style="0" bestFit="1" customWidth="1"/>
  </cols>
  <sheetData>
    <row r="1" spans="1:5" ht="26.25" thickTop="1">
      <c r="A1" s="643"/>
      <c r="B1" s="644" t="s">
        <v>42</v>
      </c>
      <c r="C1" s="645" t="s">
        <v>35</v>
      </c>
      <c r="D1" s="645" t="s">
        <v>523</v>
      </c>
      <c r="E1" s="646" t="s">
        <v>2</v>
      </c>
    </row>
    <row r="2" spans="1:5" s="18" customFormat="1" ht="12.75">
      <c r="A2" s="618" t="s">
        <v>66</v>
      </c>
      <c r="B2" s="619">
        <f>+'Address Change Election Boards'!J12</f>
        <v>19142.794202151505</v>
      </c>
      <c r="C2" s="619">
        <f>+'Address Change Election Boards'!K12</f>
        <v>20302.963547736443</v>
      </c>
      <c r="D2" s="620">
        <f>IF(C2&lt;&gt;"",C2/B2-1,"")</f>
        <v>0.06060606060606055</v>
      </c>
      <c r="E2" s="621">
        <f aca="true" t="shared" si="0" ref="E2:E35">+C2/$C$39</f>
        <v>6.155325581285231E-06</v>
      </c>
    </row>
    <row r="3" spans="1:5" s="570" customFormat="1" ht="12.75">
      <c r="A3" s="608" t="s">
        <v>711</v>
      </c>
      <c r="B3" s="626">
        <f>+'Address Correction'!R65</f>
        <v>71029871.08501309</v>
      </c>
      <c r="C3" s="626">
        <f>+'Address Correction'!S65</f>
        <v>56461974.27554884</v>
      </c>
      <c r="D3" s="620">
        <f aca="true" t="shared" si="1" ref="D3:D9">IF(C3&lt;&gt;"",C3/B3-1,"")</f>
        <v>-0.20509535758594388</v>
      </c>
      <c r="E3" s="621">
        <f t="shared" si="0"/>
        <v>0.017117788435713443</v>
      </c>
    </row>
    <row r="4" spans="1:5" s="18" customFormat="1" ht="12.75">
      <c r="A4" s="618" t="s">
        <v>650</v>
      </c>
      <c r="B4" s="628">
        <f>+'Bulk Parcel Return Service'!L14+'Bulk Parcel Acctg Fee'!L12+'Bulk Parcel Return Permits'!K15</f>
        <v>5047079.5451076375</v>
      </c>
      <c r="C4" s="628">
        <f>+'Bulk Parcel Return Service'!M14+'Bulk Parcel Acctg Fee'!M12+'Bulk Parcel Return Permits'!L15</f>
        <v>5560095.674347869</v>
      </c>
      <c r="D4" s="620">
        <f t="shared" si="1"/>
        <v>0.10164613508767095</v>
      </c>
      <c r="E4" s="621">
        <f t="shared" si="0"/>
        <v>0.0016856750522276547</v>
      </c>
    </row>
    <row r="5" spans="1:5" s="570" customFormat="1" ht="12.75">
      <c r="A5" s="608" t="s">
        <v>29</v>
      </c>
      <c r="B5" s="626">
        <f>+'Business Reply Mail'!M50</f>
        <v>139892667.8918432</v>
      </c>
      <c r="C5" s="626">
        <f>+'Business Reply Mail'!N50</f>
        <v>144597480.23607945</v>
      </c>
      <c r="D5" s="620">
        <f t="shared" si="1"/>
        <v>0.03363158638073682</v>
      </c>
      <c r="E5" s="621">
        <f t="shared" si="0"/>
        <v>0.04383816022689731</v>
      </c>
    </row>
    <row r="6" spans="1:5" s="570" customFormat="1" ht="12.75">
      <c r="A6" s="608" t="s">
        <v>694</v>
      </c>
      <c r="B6" s="626">
        <f>+'Certificates of Mailing'!J49</f>
        <v>12682619.9</v>
      </c>
      <c r="C6" s="626">
        <f>+'Certificates of Mailing'!K49</f>
        <v>13512420.69</v>
      </c>
      <c r="D6" s="620">
        <f t="shared" si="1"/>
        <v>0.06542818412463802</v>
      </c>
      <c r="E6" s="621">
        <f t="shared" si="0"/>
        <v>0.0040966112431166605</v>
      </c>
    </row>
    <row r="7" spans="1:5" s="18" customFormat="1" ht="12.75">
      <c r="A7" s="618" t="s">
        <v>30</v>
      </c>
      <c r="B7" s="628">
        <f>+'Certified Mail'!K15</f>
        <v>726076175.4000001</v>
      </c>
      <c r="C7" s="628">
        <f>+'Certified Mail'!L15</f>
        <v>752967885.5999999</v>
      </c>
      <c r="D7" s="620">
        <f t="shared" si="1"/>
        <v>0.03703703703703676</v>
      </c>
      <c r="E7" s="621">
        <f t="shared" si="0"/>
        <v>0.22828009700271842</v>
      </c>
    </row>
    <row r="8" spans="1:5" s="18" customFormat="1" ht="12.75">
      <c r="A8" s="618" t="s">
        <v>751</v>
      </c>
      <c r="B8" s="628">
        <f>+'COA Credit Card Authentication'!J15</f>
        <v>7982263</v>
      </c>
      <c r="C8" s="628">
        <f>+'COA Credit Card Authentication'!K15</f>
        <v>7982263</v>
      </c>
      <c r="D8" s="620">
        <f>IF(C8&lt;&gt;"",C8/B8-1,"")</f>
        <v>0</v>
      </c>
      <c r="E8" s="621">
        <f>+C8/$C$39</f>
        <v>0.0024200126018511436</v>
      </c>
    </row>
    <row r="9" spans="1:5" s="570" customFormat="1" ht="12.75">
      <c r="A9" s="608" t="s">
        <v>45</v>
      </c>
      <c r="B9" s="626">
        <f>+COD!N42</f>
        <v>8239283.849999999</v>
      </c>
      <c r="C9" s="626">
        <f>+COD!O42</f>
        <v>8714220.43480765</v>
      </c>
      <c r="D9" s="620">
        <f t="shared" si="1"/>
        <v>0.05764294487895971</v>
      </c>
      <c r="E9" s="621">
        <f t="shared" si="0"/>
        <v>0.0026419228817120242</v>
      </c>
    </row>
    <row r="10" spans="1:5" s="18" customFormat="1" ht="12.75">
      <c r="A10" s="618" t="s">
        <v>175</v>
      </c>
      <c r="B10" s="628">
        <f>+Confirm!N40</f>
        <v>2458100</v>
      </c>
      <c r="C10" s="628">
        <f>+Confirm!O40</f>
        <v>6126100</v>
      </c>
      <c r="D10" s="620">
        <f aca="true" t="shared" si="2" ref="D10:D21">IF(C10&lt;&gt;"",C10/B10-1,"")</f>
        <v>1.4922094300475979</v>
      </c>
      <c r="E10" s="621">
        <f t="shared" si="0"/>
        <v>0.0018572727057728229</v>
      </c>
    </row>
    <row r="11" spans="1:5" s="18" customFormat="1" ht="12.75">
      <c r="A11" s="618" t="s">
        <v>455</v>
      </c>
      <c r="B11" s="628">
        <f>+'Correction of Mailing Lists'!M15</f>
        <v>13634.398720000001</v>
      </c>
      <c r="C11" s="628">
        <f>+'Correction of Mailing Lists'!N15</f>
        <v>14035.410447058823</v>
      </c>
      <c r="D11" s="620">
        <f t="shared" si="2"/>
        <v>0.02941176470588225</v>
      </c>
      <c r="E11" s="621">
        <f t="shared" si="0"/>
        <v>4.255168008625567E-06</v>
      </c>
    </row>
    <row r="12" spans="1:5" s="570" customFormat="1" ht="12.75">
      <c r="A12" s="608" t="s">
        <v>31</v>
      </c>
      <c r="B12" s="626">
        <f>+'Delivery Confirmation'!K31</f>
        <v>146927414.64</v>
      </c>
      <c r="C12" s="626">
        <f>+'Delivery Confirmation'!L31</f>
        <v>156479915.32</v>
      </c>
      <c r="D12" s="620">
        <f t="shared" si="2"/>
        <v>0.06501510084694173</v>
      </c>
      <c r="E12" s="621">
        <f t="shared" si="0"/>
        <v>0.04744060262246431</v>
      </c>
    </row>
    <row r="13" spans="1:5" s="18" customFormat="1" ht="12.75">
      <c r="A13" s="618" t="s">
        <v>266</v>
      </c>
      <c r="B13" s="628">
        <f>+'First Class Presort Permits'!J15</f>
        <v>8634074.071519457</v>
      </c>
      <c r="C13" s="628">
        <f>+'First Class Presort Permits'!K15</f>
        <v>8873909.462394997</v>
      </c>
      <c r="D13" s="620">
        <f t="shared" si="2"/>
        <v>0.0277777777777779</v>
      </c>
      <c r="E13" s="621">
        <f t="shared" si="0"/>
        <v>0.002690336402932602</v>
      </c>
    </row>
    <row r="14" spans="1:5" s="18" customFormat="1" ht="12.75">
      <c r="A14" s="618" t="s">
        <v>32</v>
      </c>
      <c r="B14" s="628">
        <f>+Insurance!R83</f>
        <v>149663403.5334744</v>
      </c>
      <c r="C14" s="628">
        <f>+Insurance!S83</f>
        <v>155378992.08651218</v>
      </c>
      <c r="D14" s="620">
        <f t="shared" si="2"/>
        <v>0.03818962029524742</v>
      </c>
      <c r="E14" s="621">
        <f t="shared" si="0"/>
        <v>0.04710683159804289</v>
      </c>
    </row>
    <row r="15" spans="1:5" s="18" customFormat="1" ht="12.75">
      <c r="A15" s="618" t="s">
        <v>53</v>
      </c>
      <c r="B15" s="628">
        <f>+'Media Mail Presort Per'!J14</f>
        <v>162517.9030265596</v>
      </c>
      <c r="C15" s="628">
        <f>+'Media Mail Presort Per'!K14</f>
        <v>167032.2892217418</v>
      </c>
      <c r="D15" s="620">
        <f t="shared" si="2"/>
        <v>0.0277777777777779</v>
      </c>
      <c r="E15" s="621">
        <f t="shared" si="0"/>
        <v>5.0639805382591395E-05</v>
      </c>
    </row>
    <row r="16" spans="1:5" s="18" customFormat="1" ht="12.75">
      <c r="A16" s="618" t="s">
        <v>281</v>
      </c>
      <c r="B16" s="628">
        <f>+'Merchandise Return'!J19+'Merchandise Return Acctg Fee'!S19+'Merchandise Return Permits'!T19</f>
        <v>1066763.5364539959</v>
      </c>
      <c r="C16" s="628">
        <f>+'Merchandise Return'!K19+'Merchandise Return Acctg Fee'!T19+'Merchandise Return Permits'!U19</f>
        <v>1102654.6158489906</v>
      </c>
      <c r="D16" s="620">
        <f t="shared" si="2"/>
        <v>0.03364483146311836</v>
      </c>
      <c r="E16" s="621">
        <f t="shared" si="0"/>
        <v>0.0003342959341033851</v>
      </c>
    </row>
    <row r="17" spans="1:7" s="18" customFormat="1" ht="12.75">
      <c r="A17" s="618" t="s">
        <v>657</v>
      </c>
      <c r="B17" s="628">
        <f>+'Money Orders'!K19+'Money Orders'!K21</f>
        <v>165944761.46611783</v>
      </c>
      <c r="C17" s="628">
        <f>+'Money Orders'!L19+'Money Orders'!L21</f>
        <v>172479760.01210475</v>
      </c>
      <c r="D17" s="620">
        <f t="shared" si="2"/>
        <v>0.03938056548607127</v>
      </c>
      <c r="E17" s="621">
        <f t="shared" si="0"/>
        <v>0.05229133552647344</v>
      </c>
      <c r="G17" s="572"/>
    </row>
    <row r="18" spans="1:5" s="18" customFormat="1" ht="12.75">
      <c r="A18" s="618" t="s">
        <v>23</v>
      </c>
      <c r="B18" s="628">
        <f>+PAL!K21</f>
        <v>484073.6</v>
      </c>
      <c r="C18" s="628">
        <f>+PAL!L21</f>
        <v>514409.60000000003</v>
      </c>
      <c r="D18" s="620">
        <f t="shared" si="2"/>
        <v>0.06266815624731459</v>
      </c>
      <c r="E18" s="621">
        <f t="shared" si="0"/>
        <v>0.00015595548712353955</v>
      </c>
    </row>
    <row r="19" spans="1:5" s="18" customFormat="1" ht="12.75">
      <c r="A19" s="618" t="s">
        <v>57</v>
      </c>
      <c r="B19" s="628">
        <f>+'Parcel Select Permits'!K12</f>
        <v>114455.81840642371</v>
      </c>
      <c r="C19" s="628">
        <f>+'Parcel Select Permits'!L12</f>
        <v>117635.14669549104</v>
      </c>
      <c r="D19" s="620">
        <f t="shared" si="2"/>
        <v>0.0277777777777779</v>
      </c>
      <c r="E19" s="621">
        <f t="shared" si="0"/>
        <v>3.566388847670094E-05</v>
      </c>
    </row>
    <row r="20" spans="1:5" s="18" customFormat="1" ht="12.75">
      <c r="A20" s="608" t="s">
        <v>708</v>
      </c>
      <c r="B20" s="628">
        <f>+'Per Mailing App'!K21</f>
        <v>810420</v>
      </c>
      <c r="C20" s="628">
        <f>+'Per Mailing App'!L21</f>
        <v>863940</v>
      </c>
      <c r="D20" s="620">
        <f t="shared" si="2"/>
        <v>0.06603983119863766</v>
      </c>
      <c r="E20" s="621">
        <f t="shared" si="0"/>
        <v>0.00026192392899648597</v>
      </c>
    </row>
    <row r="21" spans="1:5" s="18" customFormat="1" ht="12.75">
      <c r="A21" s="608" t="s">
        <v>308</v>
      </c>
      <c r="B21" s="628">
        <f>+'Permit Imprint Per'!K13</f>
        <v>6508980</v>
      </c>
      <c r="C21" s="628">
        <f>+'Permit Imprint Per'!L13</f>
        <v>6689785</v>
      </c>
      <c r="D21" s="620">
        <f t="shared" si="2"/>
        <v>0.02777777777777768</v>
      </c>
      <c r="E21" s="621">
        <f t="shared" si="0"/>
        <v>0.0020281672006641164</v>
      </c>
    </row>
    <row r="22" spans="1:5" s="109" customFormat="1" ht="12.75">
      <c r="A22" s="608" t="s">
        <v>695</v>
      </c>
      <c r="B22" s="626">
        <f>+'P.O. Boxes'!C68</f>
        <v>923160824.0576551</v>
      </c>
      <c r="C22" s="626">
        <f>+'P.O. Boxes'!C83</f>
        <v>958854032.8978589</v>
      </c>
      <c r="D22" s="615">
        <f>+C22/B22-1</f>
        <v>0.03866412862205104</v>
      </c>
      <c r="E22" s="621">
        <f t="shared" si="0"/>
        <v>0.2906993722141966</v>
      </c>
    </row>
    <row r="23" spans="1:5" s="18" customFormat="1" ht="12.75">
      <c r="A23" s="618" t="s">
        <v>59</v>
      </c>
      <c r="B23" s="628">
        <f>+'Parcel Return Service Permits'!K14+'Parcel Return Serv Accting Fee'!K14</f>
        <v>745</v>
      </c>
      <c r="C23" s="628">
        <f>+'Parcel Return Service Permits'!L14+'Parcel Return Serv Accting Fee'!L14</f>
        <v>770</v>
      </c>
      <c r="D23" s="620">
        <f aca="true" t="shared" si="3" ref="D23:D33">IF(C23&lt;&gt;"",C23/B23-1,"")</f>
        <v>0.033557046979865834</v>
      </c>
      <c r="E23" s="621">
        <f t="shared" si="0"/>
        <v>2.3344378698439035E-07</v>
      </c>
    </row>
    <row r="24" spans="1:5" s="18" customFormat="1" ht="12.75">
      <c r="A24" s="618" t="s">
        <v>716</v>
      </c>
      <c r="B24" s="628">
        <f>+'Premium Stamped Cards'!I12</f>
        <v>158518.5</v>
      </c>
      <c r="C24" s="628">
        <f>+'Premium Stamped Cards'!J12</f>
        <v>164389.55555555556</v>
      </c>
      <c r="D24" s="620">
        <f>IF(C24&lt;&gt;"",C24/B24-1,"")</f>
        <v>0.03703703703703698</v>
      </c>
      <c r="E24" s="621">
        <f t="shared" si="0"/>
        <v>4.98385979085321E-05</v>
      </c>
    </row>
    <row r="25" spans="1:5" s="18" customFormat="1" ht="12.75">
      <c r="A25" s="618" t="s">
        <v>717</v>
      </c>
      <c r="B25" s="628">
        <f>+'Premium Stamped Stationery'!I12</f>
        <v>16301.2</v>
      </c>
      <c r="C25" s="628">
        <f>+'Premium Stamped Stationery'!J12</f>
        <v>17077.44761904762</v>
      </c>
      <c r="D25" s="620">
        <f>IF(C25&lt;&gt;"",C25/B25-1,"")</f>
        <v>0.04761904761904767</v>
      </c>
      <c r="E25" s="621">
        <f t="shared" si="0"/>
        <v>5.177433823659788E-06</v>
      </c>
    </row>
    <row r="26" spans="1:5" s="18" customFormat="1" ht="12.75">
      <c r="A26" s="618" t="s">
        <v>666</v>
      </c>
      <c r="B26" s="628">
        <f>+'Registered Mail'!P49</f>
        <v>57299893.5</v>
      </c>
      <c r="C26" s="628">
        <f>+'Registered Mail'!Q49</f>
        <v>62280565.10638564</v>
      </c>
      <c r="D26" s="620">
        <f t="shared" si="3"/>
        <v>0.08692287720195568</v>
      </c>
      <c r="E26" s="621">
        <f t="shared" si="0"/>
        <v>0.01888183243371759</v>
      </c>
    </row>
    <row r="27" spans="1:5" s="18" customFormat="1" ht="12.75">
      <c r="A27" s="618" t="s">
        <v>452</v>
      </c>
      <c r="B27" s="628">
        <f>+'Restricted Delivery'!K13</f>
        <v>9590376</v>
      </c>
      <c r="C27" s="628">
        <f>+'Restricted Delivery'!L13</f>
        <v>10036440</v>
      </c>
      <c r="D27" s="620">
        <f t="shared" si="3"/>
        <v>0.04651162790697683</v>
      </c>
      <c r="E27" s="621">
        <f t="shared" si="0"/>
        <v>0.0030427851447293697</v>
      </c>
    </row>
    <row r="28" spans="1:5" s="570" customFormat="1" ht="12.75">
      <c r="A28" s="608" t="s">
        <v>61</v>
      </c>
      <c r="B28" s="626">
        <f>+'Return Receipts'!J43</f>
        <v>567825998.9</v>
      </c>
      <c r="C28" s="626">
        <f>+'Return Receipts'!K43</f>
        <v>595868310.2</v>
      </c>
      <c r="D28" s="620">
        <f t="shared" si="3"/>
        <v>0.04938539509343354</v>
      </c>
      <c r="E28" s="621">
        <f t="shared" si="0"/>
        <v>0.18065162971049017</v>
      </c>
    </row>
    <row r="29" spans="1:5" s="18" customFormat="1" ht="12.75">
      <c r="A29" s="618" t="s">
        <v>244</v>
      </c>
      <c r="B29" s="628">
        <f>+'Scheduled Pickup'!J12</f>
        <v>5281812.75</v>
      </c>
      <c r="C29" s="628">
        <f>+'Scheduled Pickup'!K12</f>
        <v>5478761.7</v>
      </c>
      <c r="D29" s="620">
        <f>+'Scheduled Pickup'!L12</f>
        <v>0.03728813559322039</v>
      </c>
      <c r="E29" s="621">
        <f t="shared" si="0"/>
        <v>0.0016610167262766705</v>
      </c>
    </row>
    <row r="30" spans="1:5" s="18" customFormat="1" ht="12.75">
      <c r="A30" s="618" t="s">
        <v>60</v>
      </c>
      <c r="B30" s="628">
        <f>+'Shipper-Paid Forwarding'!J13</f>
        <v>7345</v>
      </c>
      <c r="C30" s="628">
        <f>+'Shipper-Paid Forwarding'!K13</f>
        <v>7605</v>
      </c>
      <c r="D30" s="620">
        <f t="shared" si="3"/>
        <v>0.03539823008849563</v>
      </c>
      <c r="E30" s="621">
        <f t="shared" si="0"/>
        <v>2.3056363636575177E-06</v>
      </c>
    </row>
    <row r="31" spans="1:5" s="570" customFormat="1" ht="12.75">
      <c r="A31" s="608" t="s">
        <v>696</v>
      </c>
      <c r="B31" s="626">
        <f>+'Signature Confirmation'!L31</f>
        <v>29311329.8</v>
      </c>
      <c r="C31" s="626">
        <f>+'Signature Confirmation'!M31</f>
        <v>31552353.65</v>
      </c>
      <c r="D31" s="620">
        <f t="shared" si="3"/>
        <v>0.07645589146897036</v>
      </c>
      <c r="E31" s="621">
        <f t="shared" si="0"/>
        <v>0.009565845356268508</v>
      </c>
    </row>
    <row r="32" spans="1:5" s="18" customFormat="1" ht="12.75">
      <c r="A32" s="618" t="s">
        <v>671</v>
      </c>
      <c r="B32" s="628">
        <f>+'Special Handling'!J45</f>
        <v>11983915.399999999</v>
      </c>
      <c r="C32" s="628">
        <f>+'Special Handling'!K45</f>
        <v>12491319</v>
      </c>
      <c r="D32" s="620">
        <f t="shared" si="3"/>
        <v>0.04234038568062659</v>
      </c>
      <c r="E32" s="621">
        <f t="shared" si="0"/>
        <v>0.0037870400153117764</v>
      </c>
    </row>
    <row r="33" spans="1:5" s="18" customFormat="1" ht="12.75">
      <c r="A33" s="618" t="s">
        <v>63</v>
      </c>
      <c r="B33" s="628">
        <f>+'Stamped Cards'!I13</f>
        <v>1481235</v>
      </c>
      <c r="C33" s="628">
        <f>+'Stamped Cards'!J13</f>
        <v>1481235</v>
      </c>
      <c r="D33" s="620">
        <f t="shared" si="3"/>
        <v>0</v>
      </c>
      <c r="E33" s="621">
        <f t="shared" si="0"/>
        <v>0.0004490715685893811</v>
      </c>
    </row>
    <row r="34" spans="1:5" s="570" customFormat="1" ht="12.75">
      <c r="A34" s="608" t="s">
        <v>64</v>
      </c>
      <c r="B34" s="626">
        <f>+'Stamped Envelopes'!K30</f>
        <v>16889520.4741</v>
      </c>
      <c r="C34" s="626">
        <f>+'Stamped Envelopes'!L30</f>
        <v>18226252.8745</v>
      </c>
      <c r="D34" s="620">
        <f>IF(C34&lt;&gt;"",C34/B34-1,"")</f>
        <v>0.07914566920060695</v>
      </c>
      <c r="E34" s="621">
        <f t="shared" si="0"/>
        <v>0.005525721420205727</v>
      </c>
    </row>
    <row r="35" spans="1:5" s="18" customFormat="1" ht="12.75">
      <c r="A35" s="635" t="s">
        <v>697</v>
      </c>
      <c r="B35" s="628">
        <f>+'Std Bulk Permit'!I17</f>
        <v>67305480</v>
      </c>
      <c r="C35" s="628">
        <f>+'Std Bulk Permit'!J17</f>
        <v>69175076.66666666</v>
      </c>
      <c r="D35" s="620">
        <f>IF(C35&lt;&gt;"",C35/B35-1,"")</f>
        <v>0.02777777777777768</v>
      </c>
      <c r="E35" s="621">
        <f t="shared" si="0"/>
        <v>0.020972067353249614</v>
      </c>
    </row>
    <row r="36" spans="1:5" s="18" customFormat="1" ht="12.75">
      <c r="A36" s="608" t="s">
        <v>698</v>
      </c>
      <c r="B36" s="628">
        <f>+'Std Weighted Fee'!J19</f>
        <v>13620646.591261603</v>
      </c>
      <c r="C36" s="628">
        <f>+'Std Weighted Fee'!K19</f>
        <v>14138231.161729544</v>
      </c>
      <c r="D36" s="620">
        <f>IF(C36&lt;&gt;"",C36/B36-1,"")</f>
        <v>0.038000000000000034</v>
      </c>
      <c r="E36" s="621">
        <f>+C36/$C$39</f>
        <v>0.004286340550201119</v>
      </c>
    </row>
    <row r="37" spans="1:5" s="18" customFormat="1" ht="12.75">
      <c r="A37" s="636" t="s">
        <v>204</v>
      </c>
      <c r="B37" s="613">
        <f>+'Zip Coding'!K12</f>
        <v>1057.84128</v>
      </c>
      <c r="C37" s="613">
        <f>+'Zip Coding'!L12</f>
        <v>1103.8343791304349</v>
      </c>
      <c r="D37" s="614">
        <f>IF(C37&lt;&gt;"",C37/B37-1,"")</f>
        <v>0.04347826086956519</v>
      </c>
      <c r="E37" s="637">
        <f>+C37/$C$39</f>
        <v>3.3465360736074287E-07</v>
      </c>
    </row>
    <row r="38" spans="1:5" ht="13.5" thickBot="1">
      <c r="A38" s="686" t="s">
        <v>1</v>
      </c>
      <c r="B38" s="769">
        <v>18847930</v>
      </c>
      <c r="C38" s="769">
        <v>20040273</v>
      </c>
      <c r="D38" s="687">
        <f>+C38/B38-1</f>
        <v>0.06326121754484437</v>
      </c>
      <c r="E38" s="688">
        <f>+C38/$C$39</f>
        <v>0.0060756847030143234</v>
      </c>
    </row>
    <row r="39" spans="1:7" ht="13.5" thickBot="1">
      <c r="A39" s="639" t="s">
        <v>519</v>
      </c>
      <c r="B39" s="640">
        <f>SUM(B2:B38)</f>
        <v>3176540632.4481816</v>
      </c>
      <c r="C39" s="640">
        <f>SUM(C2:C38)</f>
        <v>3298438608.9122496</v>
      </c>
      <c r="D39" s="641">
        <f>+C39/B39-1</f>
        <v>0.03837444269369228</v>
      </c>
      <c r="E39" s="642">
        <f>+C39/$C$39</f>
        <v>1</v>
      </c>
      <c r="G39" s="137"/>
    </row>
    <row r="40" ht="13.5" thickTop="1"/>
    <row r="41" spans="2:5" ht="12.75">
      <c r="B41" s="655"/>
      <c r="C41" s="655"/>
      <c r="D41" s="692"/>
      <c r="E41" s="692"/>
    </row>
    <row r="42" spans="3:5" ht="12.75">
      <c r="C42" s="650"/>
      <c r="D42" s="692"/>
      <c r="E42" s="692"/>
    </row>
    <row r="43" spans="2:5" ht="12.75">
      <c r="B43" s="650"/>
      <c r="C43" s="650"/>
      <c r="D43" s="692"/>
      <c r="E43" s="692"/>
    </row>
    <row r="44" spans="4:5" ht="12.75">
      <c r="D44" s="693"/>
      <c r="E44" s="694"/>
    </row>
    <row r="45" spans="4:5" ht="12.75">
      <c r="D45" s="692"/>
      <c r="E45" s="692"/>
    </row>
    <row r="46" spans="4:5" ht="12.75">
      <c r="D46" s="692"/>
      <c r="E46" s="692"/>
    </row>
    <row r="47" spans="4:5" ht="12.75">
      <c r="D47" s="692"/>
      <c r="E47" s="692"/>
    </row>
    <row r="48" spans="2:5" ht="12.75">
      <c r="B48" s="650"/>
      <c r="C48" s="650"/>
      <c r="D48" s="692"/>
      <c r="E48" s="692"/>
    </row>
    <row r="50" spans="2:4" ht="12.75">
      <c r="B50" s="695"/>
      <c r="C50" s="695"/>
      <c r="D50" s="692"/>
    </row>
    <row r="52" spans="2:4" ht="12.75">
      <c r="B52" s="650"/>
      <c r="C52" s="650"/>
      <c r="D52" s="692"/>
    </row>
    <row r="54" ht="12.75">
      <c r="B54" s="137"/>
    </row>
    <row r="56" spans="2:4" ht="12.75">
      <c r="B56" s="137"/>
      <c r="C56" s="695"/>
      <c r="D56" s="692"/>
    </row>
    <row r="58" spans="2:4" ht="12.75">
      <c r="B58" s="695"/>
      <c r="C58" s="695"/>
      <c r="D58" s="692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V285"/>
  <sheetViews>
    <sheetView zoomScale="85" zoomScaleNormal="85" workbookViewId="0" topLeftCell="A1">
      <selection activeCell="L3" sqref="L3"/>
    </sheetView>
  </sheetViews>
  <sheetFormatPr defaultColWidth="11.00390625" defaultRowHeight="12.75"/>
  <cols>
    <col min="1" max="1" width="4.140625" style="43" customWidth="1"/>
    <col min="2" max="2" width="21.8515625" style="43" customWidth="1"/>
    <col min="3" max="3" width="14.421875" style="43" customWidth="1"/>
    <col min="4" max="4" width="5.28125" style="43" customWidth="1"/>
    <col min="5" max="5" width="4.140625" style="43" customWidth="1"/>
    <col min="6" max="6" width="27.421875" style="43" customWidth="1"/>
    <col min="7" max="7" width="15.140625" style="43" bestFit="1" customWidth="1"/>
    <col min="8" max="12" width="12.8515625" style="43" customWidth="1"/>
    <col min="13" max="13" width="2.57421875" style="43" customWidth="1"/>
    <col min="14" max="14" width="3.00390625" style="43" customWidth="1"/>
    <col min="15" max="15" width="13.28125" style="43" customWidth="1"/>
    <col min="16" max="16384" width="11.00390625" style="43" customWidth="1"/>
  </cols>
  <sheetData>
    <row r="1" spans="1:10" ht="12.75">
      <c r="A1" s="44"/>
      <c r="B1" s="43" t="s">
        <v>72</v>
      </c>
      <c r="E1" s="44"/>
      <c r="G1" s="45"/>
      <c r="H1" s="775"/>
      <c r="I1" s="775"/>
      <c r="J1" s="775"/>
    </row>
    <row r="2" spans="1:12" ht="15">
      <c r="A2" s="44"/>
      <c r="B2" s="47" t="s">
        <v>67</v>
      </c>
      <c r="C2" s="47" t="s">
        <v>67</v>
      </c>
      <c r="D2" s="91"/>
      <c r="E2" s="44"/>
      <c r="F2" s="1"/>
      <c r="G2" s="25"/>
      <c r="H2" s="776"/>
      <c r="I2" s="776"/>
      <c r="J2" s="776"/>
      <c r="K2" s="1"/>
      <c r="L2" s="1" t="str">
        <f>WN</f>
        <v>February 2009</v>
      </c>
    </row>
    <row r="3" spans="1:12" ht="15.75" thickBot="1">
      <c r="A3" s="44"/>
      <c r="D3" s="91"/>
      <c r="E3" s="44"/>
      <c r="F3" s="1"/>
      <c r="G3" s="1"/>
      <c r="H3" s="776"/>
      <c r="I3" s="776"/>
      <c r="J3" s="776"/>
      <c r="K3" s="1"/>
      <c r="L3" s="1"/>
    </row>
    <row r="4" spans="1:12" ht="16.5" thickTop="1">
      <c r="A4" s="44"/>
      <c r="D4" s="91"/>
      <c r="E4" s="44"/>
      <c r="F4" s="780" t="s">
        <v>66</v>
      </c>
      <c r="G4" s="781"/>
      <c r="H4" s="781"/>
      <c r="I4" s="781"/>
      <c r="J4" s="781"/>
      <c r="K4" s="781"/>
      <c r="L4" s="782"/>
    </row>
    <row r="5" spans="1:12" ht="15.75" thickBot="1">
      <c r="A5" s="44"/>
      <c r="D5" s="91"/>
      <c r="E5" s="44"/>
      <c r="F5" s="783" t="str">
        <f>"Fiscal Year 2008 "</f>
        <v>Fiscal Year 2008 </v>
      </c>
      <c r="G5" s="784"/>
      <c r="H5" s="784"/>
      <c r="I5" s="784"/>
      <c r="J5" s="784"/>
      <c r="K5" s="784"/>
      <c r="L5" s="785"/>
    </row>
    <row r="6" spans="1:12" ht="15.75" thickTop="1">
      <c r="A6" s="44"/>
      <c r="B6" s="43" t="s">
        <v>74</v>
      </c>
      <c r="D6" s="91"/>
      <c r="E6" s="44"/>
      <c r="F6" s="184"/>
      <c r="G6" s="575" t="str">
        <f>PROPER("TRANSACTIONS")</f>
        <v>Transactions</v>
      </c>
      <c r="H6" s="786" t="s">
        <v>208</v>
      </c>
      <c r="I6" s="770"/>
      <c r="J6" s="786" t="s">
        <v>528</v>
      </c>
      <c r="K6" s="787"/>
      <c r="L6" s="777" t="s">
        <v>207</v>
      </c>
    </row>
    <row r="7" spans="1:12" ht="15">
      <c r="A7" s="44"/>
      <c r="D7" s="91"/>
      <c r="E7" s="44"/>
      <c r="F7" s="187"/>
      <c r="G7" s="208"/>
      <c r="H7" s="36"/>
      <c r="I7" s="36"/>
      <c r="J7" s="299"/>
      <c r="K7" s="300"/>
      <c r="L7" s="778"/>
    </row>
    <row r="8" spans="1:12" ht="16.5" customHeight="1" thickBot="1">
      <c r="A8" s="44"/>
      <c r="B8" s="43" t="s">
        <v>75</v>
      </c>
      <c r="D8" s="91"/>
      <c r="E8" s="44"/>
      <c r="F8" s="227"/>
      <c r="G8" s="293"/>
      <c r="H8" s="301" t="s">
        <v>206</v>
      </c>
      <c r="I8" s="295" t="s">
        <v>683</v>
      </c>
      <c r="J8" s="302" t="s">
        <v>640</v>
      </c>
      <c r="K8" s="303" t="s">
        <v>683</v>
      </c>
      <c r="L8" s="779"/>
    </row>
    <row r="9" spans="1:12" ht="15.75" thickTop="1">
      <c r="A9" s="44"/>
      <c r="D9" s="91"/>
      <c r="E9" s="44"/>
      <c r="F9" s="187"/>
      <c r="G9" s="299"/>
      <c r="H9" s="21"/>
      <c r="I9" s="21"/>
      <c r="J9" s="299"/>
      <c r="K9" s="300"/>
      <c r="L9" s="304"/>
    </row>
    <row r="10" spans="1:22" ht="15">
      <c r="A10" s="44"/>
      <c r="B10" s="43" t="str">
        <f>"FY "&amp;FY</f>
        <v>FY </v>
      </c>
      <c r="D10" s="91"/>
      <c r="E10" s="44"/>
      <c r="F10" s="187"/>
      <c r="G10" s="207" t="s">
        <v>78</v>
      </c>
      <c r="H10" s="72" t="s">
        <v>79</v>
      </c>
      <c r="I10" s="72" t="s">
        <v>80</v>
      </c>
      <c r="J10" s="207" t="s">
        <v>81</v>
      </c>
      <c r="K10" s="215" t="s">
        <v>82</v>
      </c>
      <c r="L10" s="188" t="s">
        <v>83</v>
      </c>
      <c r="O10" s="155"/>
      <c r="P10" s="156"/>
      <c r="Q10" s="156"/>
      <c r="R10" s="156"/>
      <c r="S10" s="156"/>
      <c r="T10" s="156"/>
      <c r="U10" s="156"/>
      <c r="V10" s="156"/>
    </row>
    <row r="11" spans="1:13" ht="15">
      <c r="A11" s="44"/>
      <c r="B11" s="43" t="s">
        <v>76</v>
      </c>
      <c r="C11" s="51">
        <v>17141.31</v>
      </c>
      <c r="D11" s="91"/>
      <c r="E11" s="44"/>
      <c r="F11" s="187"/>
      <c r="G11" s="208"/>
      <c r="H11" s="36"/>
      <c r="I11" s="36"/>
      <c r="J11" s="208"/>
      <c r="K11" s="216"/>
      <c r="L11" s="189"/>
      <c r="M11" s="48"/>
    </row>
    <row r="12" spans="1:12" ht="15">
      <c r="A12" s="44"/>
      <c r="D12" s="91"/>
      <c r="E12" s="44"/>
      <c r="F12" s="187" t="s">
        <v>84</v>
      </c>
      <c r="G12" s="210">
        <f>+C11/C16</f>
        <v>58008.46727924698</v>
      </c>
      <c r="H12" s="539">
        <f>+Rates!F9</f>
        <v>0.33</v>
      </c>
      <c r="I12" s="539">
        <f>+Rates!G9</f>
        <v>0.35</v>
      </c>
      <c r="J12" s="210">
        <f>+H12*G12</f>
        <v>19142.794202151505</v>
      </c>
      <c r="K12" s="305">
        <f>+I12*G12</f>
        <v>20302.963547736443</v>
      </c>
      <c r="L12" s="203">
        <f>+K12/J12-1</f>
        <v>0.06060606060606055</v>
      </c>
    </row>
    <row r="13" spans="1:12" ht="15">
      <c r="A13" s="44"/>
      <c r="B13" s="47" t="s">
        <v>77</v>
      </c>
      <c r="C13" s="47" t="s">
        <v>77</v>
      </c>
      <c r="D13" s="91"/>
      <c r="E13" s="44"/>
      <c r="F13" s="187"/>
      <c r="G13" s="208"/>
      <c r="H13" s="36"/>
      <c r="I13" s="36"/>
      <c r="J13" s="208"/>
      <c r="K13" s="216"/>
      <c r="L13" s="189"/>
    </row>
    <row r="14" spans="1:12" ht="15.75" thickBot="1">
      <c r="A14" s="44"/>
      <c r="D14" s="91"/>
      <c r="E14" s="44"/>
      <c r="F14" s="196"/>
      <c r="G14" s="213"/>
      <c r="H14" s="197"/>
      <c r="I14" s="197"/>
      <c r="J14" s="306"/>
      <c r="K14" s="220"/>
      <c r="L14" s="198"/>
    </row>
    <row r="15" spans="1:15" ht="15.75" thickTop="1">
      <c r="A15" s="44"/>
      <c r="D15" s="91"/>
      <c r="E15" s="44"/>
      <c r="F15" s="187" t="s">
        <v>85</v>
      </c>
      <c r="G15" s="36"/>
      <c r="H15" s="36"/>
      <c r="I15" s="36"/>
      <c r="J15" s="307"/>
      <c r="K15" s="36"/>
      <c r="L15" s="189"/>
      <c r="M15" s="52"/>
      <c r="N15" s="52"/>
      <c r="O15" s="52"/>
    </row>
    <row r="16" spans="1:12" ht="15">
      <c r="A16" s="44"/>
      <c r="B16" s="43" t="s">
        <v>205</v>
      </c>
      <c r="C16" s="654">
        <f>+'Hardcoded Data'!I11</f>
        <v>0.29549668874172186</v>
      </c>
      <c r="D16" s="91"/>
      <c r="E16" s="44"/>
      <c r="F16" s="187" t="s">
        <v>86</v>
      </c>
      <c r="G16" s="36"/>
      <c r="H16" s="36"/>
      <c r="I16" s="36"/>
      <c r="J16" s="36"/>
      <c r="K16" s="36"/>
      <c r="L16" s="189"/>
    </row>
    <row r="17" spans="1:12" ht="15">
      <c r="A17" s="44"/>
      <c r="C17" s="52"/>
      <c r="D17" s="91"/>
      <c r="E17" s="44"/>
      <c r="F17" s="308" t="s">
        <v>87</v>
      </c>
      <c r="G17" s="36"/>
      <c r="H17" s="36"/>
      <c r="I17" s="36"/>
      <c r="J17" s="36"/>
      <c r="K17" s="36"/>
      <c r="L17" s="189"/>
    </row>
    <row r="18" spans="1:12" ht="15">
      <c r="A18" s="44"/>
      <c r="D18" s="91"/>
      <c r="E18" s="44"/>
      <c r="F18" s="308" t="s">
        <v>690</v>
      </c>
      <c r="G18" s="36"/>
      <c r="H18" s="36"/>
      <c r="I18" s="36"/>
      <c r="J18" s="36"/>
      <c r="K18" s="36"/>
      <c r="L18" s="189"/>
    </row>
    <row r="19" spans="1:12" ht="15.75" thickBot="1">
      <c r="A19" s="44"/>
      <c r="D19" s="91"/>
      <c r="E19" s="44"/>
      <c r="F19" s="227"/>
      <c r="G19" s="197"/>
      <c r="H19" s="197"/>
      <c r="I19" s="197"/>
      <c r="J19" s="197"/>
      <c r="K19" s="197"/>
      <c r="L19" s="198"/>
    </row>
    <row r="20" spans="1:5" ht="13.5" thickTop="1">
      <c r="A20" s="44"/>
      <c r="E20" s="44"/>
    </row>
    <row r="21" spans="1:5" ht="12.75">
      <c r="A21" s="44"/>
      <c r="E21" s="44"/>
    </row>
    <row r="22" spans="1:5" ht="12.75">
      <c r="A22" s="44"/>
      <c r="E22" s="44"/>
    </row>
    <row r="23" spans="1:5" ht="12.75">
      <c r="A23" s="44"/>
      <c r="E23" s="44"/>
    </row>
    <row r="24" spans="1:5" ht="12.75">
      <c r="A24" s="44"/>
      <c r="E24" s="44"/>
    </row>
    <row r="25" spans="1:5" ht="12.75">
      <c r="A25" s="44"/>
      <c r="E25" s="44"/>
    </row>
    <row r="26" spans="1:5" ht="12.75">
      <c r="A26" s="44"/>
      <c r="E26" s="44"/>
    </row>
    <row r="27" spans="1:5" ht="12.75">
      <c r="A27" s="44"/>
      <c r="E27" s="44"/>
    </row>
    <row r="28" spans="1:5" ht="12.75">
      <c r="A28" s="44"/>
      <c r="E28" s="44"/>
    </row>
    <row r="29" spans="1:5" ht="12.75">
      <c r="A29" s="44"/>
      <c r="E29" s="44"/>
    </row>
    <row r="30" spans="1:5" ht="12.75">
      <c r="A30" s="44"/>
      <c r="E30" s="44"/>
    </row>
    <row r="31" spans="1:5" ht="12.75">
      <c r="A31" s="44"/>
      <c r="E31" s="44"/>
    </row>
    <row r="32" spans="1:5" ht="12.75">
      <c r="A32" s="44"/>
      <c r="E32" s="44"/>
    </row>
    <row r="33" spans="1:5" ht="12.75">
      <c r="A33" s="44"/>
      <c r="E33" s="44"/>
    </row>
    <row r="34" spans="1:5" ht="12.75">
      <c r="A34" s="44"/>
      <c r="E34" s="44"/>
    </row>
    <row r="35" spans="1:5" ht="12.75">
      <c r="A35" s="44"/>
      <c r="E35" s="44"/>
    </row>
    <row r="36" spans="1:5" ht="12.75">
      <c r="A36" s="44"/>
      <c r="E36" s="44"/>
    </row>
    <row r="37" spans="1:5" ht="12.75">
      <c r="A37" s="44"/>
      <c r="E37" s="44"/>
    </row>
    <row r="283" ht="12.75">
      <c r="B283" s="87"/>
    </row>
    <row r="284" spans="1:2" ht="12.75">
      <c r="A284" s="86"/>
      <c r="B284" s="87"/>
    </row>
    <row r="285" ht="12.75">
      <c r="B285" s="87"/>
    </row>
  </sheetData>
  <mergeCells count="8">
    <mergeCell ref="H1:J1"/>
    <mergeCell ref="H2:J2"/>
    <mergeCell ref="H3:J3"/>
    <mergeCell ref="L6:L8"/>
    <mergeCell ref="F4:L4"/>
    <mergeCell ref="F5:L5"/>
    <mergeCell ref="J6:K6"/>
    <mergeCell ref="H6:I6"/>
  </mergeCells>
  <printOptions horizontalCentered="1"/>
  <pageMargins left="0.25" right="0.25" top="0.5" bottom="0.5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AF71"/>
  <sheetViews>
    <sheetView zoomScale="70" zoomScaleNormal="70" workbookViewId="0" topLeftCell="A1">
      <selection activeCell="L38" sqref="L38"/>
    </sheetView>
  </sheetViews>
  <sheetFormatPr defaultColWidth="15.00390625" defaultRowHeight="12.75"/>
  <cols>
    <col min="1" max="1" width="15.00390625" style="1" customWidth="1"/>
    <col min="2" max="2" width="17.421875" style="1" customWidth="1"/>
    <col min="3" max="5" width="15.00390625" style="1" customWidth="1"/>
    <col min="6" max="6" width="6.421875" style="1" customWidth="1"/>
    <col min="7" max="7" width="23.00390625" style="1" bestFit="1" customWidth="1"/>
    <col min="8" max="8" width="17.421875" style="1" customWidth="1"/>
    <col min="9" max="9" width="7.57421875" style="36" customWidth="1"/>
    <col min="10" max="10" width="26.140625" style="36" customWidth="1"/>
    <col min="11" max="11" width="17.28125" style="36" customWidth="1"/>
    <col min="12" max="12" width="17.7109375" style="36" bestFit="1" customWidth="1"/>
    <col min="13" max="13" width="10.140625" style="1" customWidth="1"/>
    <col min="14" max="14" width="29.57421875" style="1" customWidth="1"/>
    <col min="15" max="15" width="15.00390625" style="1" bestFit="1" customWidth="1"/>
    <col min="16" max="17" width="13.140625" style="1" customWidth="1"/>
    <col min="18" max="19" width="14.421875" style="1" bestFit="1" customWidth="1"/>
    <col min="20" max="20" width="12.57421875" style="1" customWidth="1"/>
    <col min="21" max="22" width="15.00390625" style="1" customWidth="1"/>
    <col min="23" max="23" width="3.421875" style="1" customWidth="1"/>
    <col min="24" max="24" width="4.7109375" style="1" customWidth="1"/>
    <col min="25" max="25" width="17.57421875" style="1" customWidth="1"/>
    <col min="26" max="26" width="16.28125" style="1" customWidth="1"/>
    <col min="27" max="27" width="6.00390625" style="1" customWidth="1"/>
    <col min="28" max="28" width="16.28125" style="1" customWidth="1"/>
    <col min="29" max="29" width="6.00390625" style="1" customWidth="1"/>
    <col min="30" max="30" width="16.28125" style="1" customWidth="1"/>
    <col min="31" max="31" width="6.00390625" style="1" customWidth="1"/>
    <col min="32" max="32" width="16.28125" style="1" customWidth="1"/>
    <col min="33" max="16384" width="15.00390625" style="1" customWidth="1"/>
  </cols>
  <sheetData>
    <row r="2" ht="15">
      <c r="X2"/>
    </row>
    <row r="3" spans="5:24" ht="15">
      <c r="E3" s="9" t="s">
        <v>92</v>
      </c>
      <c r="F3" s="9"/>
      <c r="G3" s="9"/>
      <c r="H3" s="9"/>
      <c r="J3" s="1"/>
      <c r="K3" s="1"/>
      <c r="L3" s="1"/>
      <c r="X3"/>
    </row>
    <row r="4" spans="2:24" ht="18">
      <c r="B4" s="771" t="s">
        <v>88</v>
      </c>
      <c r="C4" s="771"/>
      <c r="D4" s="771"/>
      <c r="E4" s="771"/>
      <c r="F4" s="722"/>
      <c r="G4" s="722"/>
      <c r="H4" s="722"/>
      <c r="J4" s="771" t="s">
        <v>88</v>
      </c>
      <c r="K4" s="771"/>
      <c r="L4" s="771"/>
      <c r="X4"/>
    </row>
    <row r="5" spans="2:24" ht="15.75">
      <c r="B5" s="772" t="s">
        <v>702</v>
      </c>
      <c r="C5" s="772"/>
      <c r="D5" s="772"/>
      <c r="E5" s="772"/>
      <c r="F5" s="723"/>
      <c r="G5" s="723"/>
      <c r="H5" s="723"/>
      <c r="J5" s="772" t="s">
        <v>703</v>
      </c>
      <c r="K5" s="772"/>
      <c r="L5" s="772"/>
      <c r="T5" s="2" t="str">
        <f>WN</f>
        <v>February 2009</v>
      </c>
      <c r="X5"/>
    </row>
    <row r="6" spans="10:32" ht="15.75" thickBot="1">
      <c r="J6" s="1"/>
      <c r="K6" s="1"/>
      <c r="L6" s="1"/>
      <c r="P6" s="20"/>
      <c r="Q6" s="20"/>
      <c r="T6" s="2"/>
      <c r="X6"/>
      <c r="Z6" s="4"/>
      <c r="AA6" s="4"/>
      <c r="AB6" s="4"/>
      <c r="AD6" s="4"/>
      <c r="AE6" s="4"/>
      <c r="AF6" s="4"/>
    </row>
    <row r="7" spans="2:24" ht="16.5" thickTop="1">
      <c r="B7" s="34" t="s">
        <v>210</v>
      </c>
      <c r="C7" s="34"/>
      <c r="D7" s="42" t="s">
        <v>211</v>
      </c>
      <c r="E7" s="42" t="s">
        <v>212</v>
      </c>
      <c r="F7" s="72"/>
      <c r="G7" s="758" t="s">
        <v>731</v>
      </c>
      <c r="H7" s="72"/>
      <c r="J7" s="34" t="s">
        <v>210</v>
      </c>
      <c r="K7" s="34"/>
      <c r="L7" s="42" t="s">
        <v>211</v>
      </c>
      <c r="N7" s="780" t="s">
        <v>681</v>
      </c>
      <c r="O7" s="781"/>
      <c r="P7" s="781"/>
      <c r="Q7" s="781"/>
      <c r="R7" s="781"/>
      <c r="S7" s="781"/>
      <c r="T7" s="782"/>
      <c r="X7"/>
    </row>
    <row r="8" spans="2:32" ht="15.75" thickBot="1">
      <c r="B8" s="180"/>
      <c r="D8" s="5"/>
      <c r="E8" s="5"/>
      <c r="F8" s="5"/>
      <c r="G8" s="5"/>
      <c r="H8" s="5"/>
      <c r="J8" s="180"/>
      <c r="K8" s="1"/>
      <c r="L8" s="5"/>
      <c r="N8" s="783" t="str">
        <f>"Fiscal Year 2008 "</f>
        <v>Fiscal Year 2008 </v>
      </c>
      <c r="O8" s="784"/>
      <c r="P8" s="784"/>
      <c r="Q8" s="784"/>
      <c r="R8" s="784"/>
      <c r="S8" s="784"/>
      <c r="T8" s="785"/>
      <c r="X8"/>
      <c r="Z8" s="4"/>
      <c r="AA8" s="4"/>
      <c r="AB8" s="4"/>
      <c r="AD8" s="4"/>
      <c r="AE8" s="4"/>
      <c r="AF8" s="4"/>
    </row>
    <row r="9" spans="2:24" ht="15.75" thickTop="1">
      <c r="B9" s="1" t="s">
        <v>163</v>
      </c>
      <c r="C9" s="1" t="s">
        <v>97</v>
      </c>
      <c r="D9" s="5">
        <v>39684100</v>
      </c>
      <c r="E9" s="5">
        <v>19842050</v>
      </c>
      <c r="F9" s="5"/>
      <c r="G9" s="1" t="s">
        <v>733</v>
      </c>
      <c r="H9" s="759" t="s">
        <v>734</v>
      </c>
      <c r="J9" s="1" t="s">
        <v>163</v>
      </c>
      <c r="K9" s="1" t="s">
        <v>97</v>
      </c>
      <c r="L9" s="5">
        <f>+D9</f>
        <v>39684100</v>
      </c>
      <c r="N9" s="184"/>
      <c r="O9" s="575" t="str">
        <f>PROPER("TRANSACTIONS")</f>
        <v>Transactions</v>
      </c>
      <c r="P9" s="786" t="s">
        <v>234</v>
      </c>
      <c r="Q9" s="770"/>
      <c r="R9" s="786" t="s">
        <v>528</v>
      </c>
      <c r="S9" s="787"/>
      <c r="T9" s="777" t="s">
        <v>209</v>
      </c>
      <c r="X9"/>
    </row>
    <row r="10" spans="3:32" ht="15">
      <c r="C10" s="36" t="s">
        <v>174</v>
      </c>
      <c r="D10" s="5">
        <v>67223736.53225806</v>
      </c>
      <c r="E10" s="5">
        <v>4555051</v>
      </c>
      <c r="F10" s="5"/>
      <c r="G10" s="5" t="s">
        <v>163</v>
      </c>
      <c r="H10" s="5"/>
      <c r="J10" s="1"/>
      <c r="K10" s="36" t="s">
        <v>174</v>
      </c>
      <c r="L10" s="5">
        <f>(1-H11)*D10</f>
        <v>50417802.39919355</v>
      </c>
      <c r="N10" s="187"/>
      <c r="O10" s="208"/>
      <c r="P10" s="36"/>
      <c r="Q10" s="36"/>
      <c r="R10" s="299"/>
      <c r="S10" s="300"/>
      <c r="T10" s="778"/>
      <c r="X10"/>
      <c r="Z10" s="5"/>
      <c r="AA10" s="5"/>
      <c r="AB10" s="5"/>
      <c r="AC10" s="5"/>
      <c r="AD10" s="5"/>
      <c r="AE10" s="5"/>
      <c r="AF10" s="5"/>
    </row>
    <row r="11" spans="3:32" ht="15.75" thickBot="1">
      <c r="C11" s="1" t="s">
        <v>99</v>
      </c>
      <c r="D11" s="97"/>
      <c r="E11" s="5"/>
      <c r="F11" s="5"/>
      <c r="G11" s="5" t="s">
        <v>667</v>
      </c>
      <c r="H11" s="760">
        <v>0.25</v>
      </c>
      <c r="J11" s="1"/>
      <c r="K11" s="1" t="s">
        <v>99</v>
      </c>
      <c r="L11" s="97"/>
      <c r="N11" s="227"/>
      <c r="O11" s="293" t="str">
        <f>"FY "&amp;FY</f>
        <v>FY </v>
      </c>
      <c r="P11" s="301" t="s">
        <v>206</v>
      </c>
      <c r="Q11" s="295" t="s">
        <v>683</v>
      </c>
      <c r="R11" s="302" t="s">
        <v>640</v>
      </c>
      <c r="S11" s="303" t="s">
        <v>683</v>
      </c>
      <c r="T11" s="779"/>
      <c r="X11"/>
      <c r="Z11" s="5"/>
      <c r="AA11" s="5"/>
      <c r="AB11" s="5"/>
      <c r="AC11" s="5"/>
      <c r="AD11" s="5"/>
      <c r="AE11" s="5"/>
      <c r="AF11" s="5"/>
    </row>
    <row r="12" spans="3:32" ht="15.75" thickTop="1">
      <c r="C12" s="1" t="s">
        <v>727</v>
      </c>
      <c r="D12" s="5">
        <v>30002011</v>
      </c>
      <c r="E12" s="5">
        <v>0</v>
      </c>
      <c r="F12" s="5"/>
      <c r="G12" s="5" t="s">
        <v>37</v>
      </c>
      <c r="H12" s="760">
        <v>0.423</v>
      </c>
      <c r="I12" s="180"/>
      <c r="J12" s="1"/>
      <c r="K12" s="1" t="s">
        <v>727</v>
      </c>
      <c r="L12" s="97">
        <f>+D12*(1-H12)</f>
        <v>17311160.347</v>
      </c>
      <c r="N12" s="184"/>
      <c r="O12" s="206"/>
      <c r="P12" s="185"/>
      <c r="Q12" s="185"/>
      <c r="R12" s="206"/>
      <c r="S12" s="214"/>
      <c r="T12" s="186"/>
      <c r="X12"/>
      <c r="Z12" s="5"/>
      <c r="AA12" s="5"/>
      <c r="AB12" s="5"/>
      <c r="AC12" s="5"/>
      <c r="AD12" s="5"/>
      <c r="AE12" s="5"/>
      <c r="AF12" s="5"/>
    </row>
    <row r="13" spans="3:32" ht="15">
      <c r="C13" s="1" t="s">
        <v>728</v>
      </c>
      <c r="D13" s="5">
        <v>1950010</v>
      </c>
      <c r="E13" s="5">
        <v>111277.12</v>
      </c>
      <c r="F13" s="5"/>
      <c r="G13" s="5" t="s">
        <v>100</v>
      </c>
      <c r="H13" s="19"/>
      <c r="J13" s="1"/>
      <c r="K13" s="1" t="s">
        <v>728</v>
      </c>
      <c r="L13" s="97">
        <f>+D13*(1-H12)</f>
        <v>1125155.77</v>
      </c>
      <c r="N13" s="187"/>
      <c r="O13" s="207" t="s">
        <v>78</v>
      </c>
      <c r="P13" s="72" t="s">
        <v>79</v>
      </c>
      <c r="Q13" s="72" t="s">
        <v>80</v>
      </c>
      <c r="R13" s="207" t="s">
        <v>81</v>
      </c>
      <c r="S13" s="215" t="s">
        <v>82</v>
      </c>
      <c r="T13" s="188" t="s">
        <v>96</v>
      </c>
      <c r="X13"/>
      <c r="Z13" s="5"/>
      <c r="AA13" s="5"/>
      <c r="AB13" s="5"/>
      <c r="AC13" s="5"/>
      <c r="AD13" s="5"/>
      <c r="AE13" s="5"/>
      <c r="AF13" s="5"/>
    </row>
    <row r="14" spans="3:32" ht="15">
      <c r="C14" s="36"/>
      <c r="D14" s="5"/>
      <c r="E14" s="5"/>
      <c r="F14" s="5"/>
      <c r="G14" s="5" t="s">
        <v>667</v>
      </c>
      <c r="H14" s="760">
        <v>0.483</v>
      </c>
      <c r="J14" s="1"/>
      <c r="K14" s="1" t="s">
        <v>704</v>
      </c>
      <c r="L14" s="97">
        <f>+SUM(D10:D13)-SUM(L10:L13)</f>
        <v>30321639.016064525</v>
      </c>
      <c r="N14" s="187"/>
      <c r="O14" s="208"/>
      <c r="P14" s="36"/>
      <c r="Q14" s="36"/>
      <c r="R14" s="208"/>
      <c r="S14" s="216"/>
      <c r="T14" s="189"/>
      <c r="X14"/>
      <c r="Z14" s="5"/>
      <c r="AA14" s="5"/>
      <c r="AB14" s="5"/>
      <c r="AC14" s="5"/>
      <c r="AD14" s="5"/>
      <c r="AE14" s="5"/>
      <c r="AF14" s="5"/>
    </row>
    <row r="15" spans="2:32" ht="15">
      <c r="B15" s="1" t="s">
        <v>7</v>
      </c>
      <c r="C15" s="1" t="s">
        <v>97</v>
      </c>
      <c r="D15" s="5">
        <v>93124</v>
      </c>
      <c r="E15" s="5">
        <v>46562</v>
      </c>
      <c r="F15" s="5"/>
      <c r="G15" s="5" t="s">
        <v>104</v>
      </c>
      <c r="H15" s="760"/>
      <c r="J15" s="1"/>
      <c r="K15" s="1"/>
      <c r="L15" s="97"/>
      <c r="N15" s="187" t="s">
        <v>101</v>
      </c>
      <c r="O15" s="209">
        <f>+L9</f>
        <v>39684100</v>
      </c>
      <c r="P15" s="201">
        <f>+Rates!F12</f>
        <v>0.5</v>
      </c>
      <c r="Q15" s="201">
        <f>+Rates!G12</f>
        <v>0.5</v>
      </c>
      <c r="R15" s="222">
        <f>+P15*O15</f>
        <v>19842050</v>
      </c>
      <c r="S15" s="221">
        <f>+Q15*O15</f>
        <v>19842050</v>
      </c>
      <c r="T15" s="204">
        <f>+S15/R15-1</f>
        <v>0</v>
      </c>
      <c r="V15" s="30"/>
      <c r="X15"/>
      <c r="Z15" s="5"/>
      <c r="AA15" s="5"/>
      <c r="AB15" s="5"/>
      <c r="AC15" s="5"/>
      <c r="AD15" s="5"/>
      <c r="AE15" s="5"/>
      <c r="AF15" s="5"/>
    </row>
    <row r="16" spans="3:32" ht="15">
      <c r="C16" s="1" t="s">
        <v>174</v>
      </c>
      <c r="D16" s="5">
        <v>0</v>
      </c>
      <c r="E16" s="5">
        <v>0</v>
      </c>
      <c r="F16" s="5"/>
      <c r="G16" s="5" t="s">
        <v>667</v>
      </c>
      <c r="H16" s="760">
        <v>0.35</v>
      </c>
      <c r="J16" s="1"/>
      <c r="K16" s="1"/>
      <c r="L16" s="5"/>
      <c r="N16" s="187" t="s">
        <v>214</v>
      </c>
      <c r="O16" s="209">
        <f>+L10</f>
        <v>50417802.39919355</v>
      </c>
      <c r="P16" s="201">
        <f>+Rates!F14</f>
        <v>0.08</v>
      </c>
      <c r="Q16" s="201">
        <f>+Rates!G14</f>
        <v>0.1</v>
      </c>
      <c r="R16" s="222">
        <f>+P16*O16</f>
        <v>4033424.191935484</v>
      </c>
      <c r="S16" s="221">
        <f>+Q16*O16</f>
        <v>5041780.239919355</v>
      </c>
      <c r="T16" s="204">
        <f>+Q16/P16-1</f>
        <v>0.25</v>
      </c>
      <c r="V16" s="30"/>
      <c r="X16"/>
      <c r="Z16" s="31"/>
      <c r="AA16" s="31"/>
      <c r="AB16" s="31"/>
      <c r="AC16" s="5"/>
      <c r="AD16" s="31"/>
      <c r="AE16" s="31"/>
      <c r="AF16" s="31"/>
    </row>
    <row r="17" spans="3:32" ht="15">
      <c r="C17" s="36"/>
      <c r="D17" s="5"/>
      <c r="E17" s="5"/>
      <c r="F17" s="5"/>
      <c r="G17" s="5" t="s">
        <v>37</v>
      </c>
      <c r="H17" s="760">
        <v>0.512</v>
      </c>
      <c r="J17" s="1" t="s">
        <v>7</v>
      </c>
      <c r="K17" s="1" t="s">
        <v>97</v>
      </c>
      <c r="L17" s="5">
        <f>+D15</f>
        <v>93124</v>
      </c>
      <c r="N17" s="187" t="s">
        <v>102</v>
      </c>
      <c r="O17" s="210"/>
      <c r="P17" s="202"/>
      <c r="Q17" s="202"/>
      <c r="R17" s="209"/>
      <c r="S17" s="217"/>
      <c r="T17" s="204"/>
      <c r="X17"/>
      <c r="Z17" s="5"/>
      <c r="AA17" s="5"/>
      <c r="AB17" s="5"/>
      <c r="AC17" s="5"/>
      <c r="AD17" s="5"/>
      <c r="AE17" s="5"/>
      <c r="AF17" s="5"/>
    </row>
    <row r="18" spans="2:32" ht="15">
      <c r="B18" s="1" t="s">
        <v>100</v>
      </c>
      <c r="C18" s="1" t="s">
        <v>97</v>
      </c>
      <c r="D18" s="5">
        <v>6175242</v>
      </c>
      <c r="E18" s="5">
        <v>3087621</v>
      </c>
      <c r="F18" s="5"/>
      <c r="G18" s="5" t="s">
        <v>732</v>
      </c>
      <c r="H18" s="760">
        <v>0.39</v>
      </c>
      <c r="J18" s="1"/>
      <c r="K18" s="36" t="s">
        <v>174</v>
      </c>
      <c r="L18" s="5">
        <f>+D16</f>
        <v>0</v>
      </c>
      <c r="N18" s="187" t="s">
        <v>155</v>
      </c>
      <c r="O18" s="209">
        <f>+L12</f>
        <v>17311160.347</v>
      </c>
      <c r="P18" s="201">
        <f>+Rates!F18</f>
        <v>0</v>
      </c>
      <c r="Q18" s="201">
        <f>+Rates!G18</f>
        <v>0.02</v>
      </c>
      <c r="R18" s="222">
        <f>+P18*O18</f>
        <v>0</v>
      </c>
      <c r="S18" s="221">
        <f>+Q18*O18</f>
        <v>346223.20694</v>
      </c>
      <c r="T18" s="204" t="s">
        <v>131</v>
      </c>
      <c r="X18"/>
      <c r="Z18" s="31"/>
      <c r="AA18" s="31"/>
      <c r="AB18" s="31"/>
      <c r="AC18" s="5"/>
      <c r="AD18" s="31"/>
      <c r="AE18" s="31"/>
      <c r="AF18" s="31"/>
    </row>
    <row r="19" spans="2:32" ht="15">
      <c r="B19" s="36"/>
      <c r="C19" s="1" t="s">
        <v>174</v>
      </c>
      <c r="D19" s="5">
        <v>56664372</v>
      </c>
      <c r="E19" s="5">
        <v>14166093</v>
      </c>
      <c r="F19" s="5"/>
      <c r="G19" s="5"/>
      <c r="H19" s="5"/>
      <c r="J19" s="1"/>
      <c r="K19" s="1"/>
      <c r="L19" s="5"/>
      <c r="N19" s="187" t="s">
        <v>156</v>
      </c>
      <c r="O19" s="209">
        <f>+L13</f>
        <v>1125155.77</v>
      </c>
      <c r="P19" s="201">
        <f>+Rates!F19</f>
        <v>0.06</v>
      </c>
      <c r="Q19" s="201">
        <f>+Rates!G19</f>
        <v>0.08</v>
      </c>
      <c r="R19" s="222">
        <f>+P19*O19</f>
        <v>67509.3462</v>
      </c>
      <c r="S19" s="221">
        <f>+Q19*O19</f>
        <v>90012.46160000001</v>
      </c>
      <c r="T19" s="204">
        <f>+Q19/P19-1</f>
        <v>0.3333333333333335</v>
      </c>
      <c r="X19"/>
      <c r="Z19" s="5"/>
      <c r="AA19" s="5"/>
      <c r="AB19" s="5"/>
      <c r="AC19" s="5"/>
      <c r="AD19" s="5"/>
      <c r="AE19" s="5"/>
      <c r="AF19" s="5"/>
    </row>
    <row r="20" spans="3:32" ht="15">
      <c r="C20" s="36"/>
      <c r="D20" s="5"/>
      <c r="E20" s="5"/>
      <c r="F20" s="5"/>
      <c r="G20" s="5"/>
      <c r="H20" s="5"/>
      <c r="J20" s="1" t="s">
        <v>100</v>
      </c>
      <c r="K20" s="1" t="s">
        <v>97</v>
      </c>
      <c r="L20" s="5">
        <f>+D18</f>
        <v>6175242</v>
      </c>
      <c r="N20" s="187" t="s">
        <v>705</v>
      </c>
      <c r="O20" s="209">
        <f>+D10-L10</f>
        <v>16805934.133064516</v>
      </c>
      <c r="P20" s="201">
        <f>+P19</f>
        <v>0.06</v>
      </c>
      <c r="Q20" s="201">
        <f>+Rates!G23</f>
        <v>0</v>
      </c>
      <c r="R20" s="222">
        <f>+P20*O20</f>
        <v>1008356.047983871</v>
      </c>
      <c r="S20" s="221">
        <f>+Q20*O20</f>
        <v>0</v>
      </c>
      <c r="T20" s="204">
        <f>+Q20/P20-1</f>
        <v>-1</v>
      </c>
      <c r="V20" s="30"/>
      <c r="X20"/>
      <c r="Z20" s="5"/>
      <c r="AA20" s="5"/>
      <c r="AB20" s="5"/>
      <c r="AC20" s="5"/>
      <c r="AD20" s="5"/>
      <c r="AE20" s="5"/>
      <c r="AF20" s="5"/>
    </row>
    <row r="21" spans="2:32" ht="15">
      <c r="B21" s="1" t="s">
        <v>104</v>
      </c>
      <c r="C21" s="36" t="s">
        <v>97</v>
      </c>
      <c r="D21" s="5">
        <v>213732</v>
      </c>
      <c r="E21" s="5">
        <v>106866</v>
      </c>
      <c r="F21" s="5"/>
      <c r="G21" s="5"/>
      <c r="H21" s="5"/>
      <c r="J21" s="1"/>
      <c r="K21" s="36" t="s">
        <v>174</v>
      </c>
      <c r="L21" s="5">
        <f>+D19*(1-H14)</f>
        <v>29295480.324</v>
      </c>
      <c r="N21" s="187" t="s">
        <v>705</v>
      </c>
      <c r="O21" s="597">
        <f>+L14-O20</f>
        <v>13515704.883000009</v>
      </c>
      <c r="P21" s="201">
        <f>+P18</f>
        <v>0</v>
      </c>
      <c r="Q21" s="201">
        <f>+Rates!G23</f>
        <v>0</v>
      </c>
      <c r="R21" s="708">
        <f>+P21*O21</f>
        <v>0</v>
      </c>
      <c r="S21" s="709">
        <f>+Q21*O21</f>
        <v>0</v>
      </c>
      <c r="T21" s="204" t="s">
        <v>131</v>
      </c>
      <c r="V21" s="30"/>
      <c r="X21"/>
      <c r="Z21" s="5"/>
      <c r="AA21" s="5"/>
      <c r="AB21" s="5"/>
      <c r="AC21" s="5"/>
      <c r="AD21" s="5"/>
      <c r="AE21" s="5"/>
      <c r="AF21" s="5"/>
    </row>
    <row r="22" spans="3:32" ht="15">
      <c r="C22" s="1" t="s">
        <v>174</v>
      </c>
      <c r="D22" s="97">
        <v>100130664</v>
      </c>
      <c r="E22" s="5">
        <v>25032666</v>
      </c>
      <c r="F22" s="5"/>
      <c r="G22" s="5"/>
      <c r="H22" s="5"/>
      <c r="J22" s="1"/>
      <c r="K22" s="36" t="s">
        <v>704</v>
      </c>
      <c r="L22" s="5">
        <f>+D19-L21</f>
        <v>27368891.676</v>
      </c>
      <c r="N22" s="187" t="s">
        <v>103</v>
      </c>
      <c r="O22" s="209">
        <f>SUM(O15:O20)</f>
        <v>125344152.64925808</v>
      </c>
      <c r="P22" s="202"/>
      <c r="Q22" s="202"/>
      <c r="R22" s="209">
        <f>SUM(R15:R20)</f>
        <v>24951339.586119354</v>
      </c>
      <c r="S22" s="217">
        <f>SUM(S15:S20)</f>
        <v>25320065.908459354</v>
      </c>
      <c r="T22" s="205"/>
      <c r="X22"/>
      <c r="Z22" s="5"/>
      <c r="AA22" s="5"/>
      <c r="AB22" s="5"/>
      <c r="AC22" s="5"/>
      <c r="AD22" s="5"/>
      <c r="AE22" s="5"/>
      <c r="AF22" s="5"/>
    </row>
    <row r="23" spans="3:32" ht="15">
      <c r="C23" s="36" t="s">
        <v>99</v>
      </c>
      <c r="D23" s="5"/>
      <c r="E23" s="5"/>
      <c r="F23" s="5"/>
      <c r="G23" s="5"/>
      <c r="H23" s="5"/>
      <c r="J23" s="1"/>
      <c r="K23" s="1"/>
      <c r="L23" s="5"/>
      <c r="N23" s="187"/>
      <c r="O23" s="208"/>
      <c r="P23" s="202"/>
      <c r="Q23" s="202"/>
      <c r="R23" s="208"/>
      <c r="S23" s="216"/>
      <c r="T23" s="205"/>
      <c r="U23" s="30"/>
      <c r="X23"/>
      <c r="Z23" s="5"/>
      <c r="AA23" s="5"/>
      <c r="AB23" s="5"/>
      <c r="AC23" s="5"/>
      <c r="AD23" s="5"/>
      <c r="AE23" s="5"/>
      <c r="AF23" s="5"/>
    </row>
    <row r="24" spans="2:32" ht="15">
      <c r="B24" s="36"/>
      <c r="C24" s="36" t="s">
        <v>727</v>
      </c>
      <c r="D24" s="5">
        <v>35298686</v>
      </c>
      <c r="E24" s="5">
        <v>939029.18</v>
      </c>
      <c r="F24" s="5"/>
      <c r="G24" s="5"/>
      <c r="H24" s="5"/>
      <c r="I24" s="180"/>
      <c r="J24" s="1"/>
      <c r="K24" s="1"/>
      <c r="L24" s="5"/>
      <c r="N24" s="187" t="s">
        <v>106</v>
      </c>
      <c r="O24" s="424">
        <f>+L17</f>
        <v>93124</v>
      </c>
      <c r="P24" s="201">
        <f>+P15</f>
        <v>0.5</v>
      </c>
      <c r="Q24" s="201">
        <f>+Q15</f>
        <v>0.5</v>
      </c>
      <c r="R24" s="222">
        <f>+P24*O24</f>
        <v>46562</v>
      </c>
      <c r="S24" s="221">
        <f>+Q24*O24</f>
        <v>46562</v>
      </c>
      <c r="T24" s="204">
        <f>+Q24/P24-1</f>
        <v>0</v>
      </c>
      <c r="U24" s="30"/>
      <c r="V24" s="30"/>
      <c r="X24"/>
      <c r="Z24" s="5"/>
      <c r="AA24" s="5"/>
      <c r="AB24" s="5"/>
      <c r="AC24" s="5"/>
      <c r="AD24" s="5"/>
      <c r="AE24" s="5"/>
      <c r="AF24" s="5"/>
    </row>
    <row r="25" spans="3:32" ht="15">
      <c r="C25" s="1" t="s">
        <v>728</v>
      </c>
      <c r="D25" s="5">
        <v>2032857</v>
      </c>
      <c r="E25" s="5">
        <v>374378.88</v>
      </c>
      <c r="F25" s="5"/>
      <c r="G25" s="5"/>
      <c r="H25" s="5"/>
      <c r="J25" s="36" t="s">
        <v>104</v>
      </c>
      <c r="K25" s="1" t="s">
        <v>97</v>
      </c>
      <c r="L25" s="5">
        <f>+D21</f>
        <v>213732</v>
      </c>
      <c r="N25" s="187" t="s">
        <v>215</v>
      </c>
      <c r="O25" s="597">
        <f>+L18</f>
        <v>0</v>
      </c>
      <c r="P25" s="201">
        <f>+P16</f>
        <v>0.08</v>
      </c>
      <c r="Q25" s="201">
        <f>+Q16</f>
        <v>0.1</v>
      </c>
      <c r="R25" s="708">
        <f>+P25*O25</f>
        <v>0</v>
      </c>
      <c r="S25" s="709">
        <f>+Q25*O25</f>
        <v>0</v>
      </c>
      <c r="T25" s="204">
        <f>+Q25/P25-1</f>
        <v>0.25</v>
      </c>
      <c r="U25" s="30"/>
      <c r="V25" s="30"/>
      <c r="X25"/>
      <c r="Z25" s="5"/>
      <c r="AA25" s="5"/>
      <c r="AB25" s="5"/>
      <c r="AC25" s="5"/>
      <c r="AD25" s="5"/>
      <c r="AE25" s="5"/>
      <c r="AF25" s="5"/>
    </row>
    <row r="26" spans="3:32" ht="15">
      <c r="C26" s="36"/>
      <c r="D26" s="5"/>
      <c r="E26" s="5"/>
      <c r="F26" s="5"/>
      <c r="G26" s="5"/>
      <c r="H26" s="5"/>
      <c r="J26" s="1"/>
      <c r="K26" s="36" t="s">
        <v>174</v>
      </c>
      <c r="L26" s="5">
        <f>+D22*(1-H16)</f>
        <v>65084931.6</v>
      </c>
      <c r="N26" s="187" t="s">
        <v>107</v>
      </c>
      <c r="O26" s="209">
        <f>SUM(O24:O25)</f>
        <v>93124</v>
      </c>
      <c r="P26" s="201"/>
      <c r="Q26" s="201"/>
      <c r="R26" s="209">
        <f>SUM(R24:R25)</f>
        <v>46562</v>
      </c>
      <c r="S26" s="217">
        <f>SUM(S24:S25)</f>
        <v>46562</v>
      </c>
      <c r="T26" s="204"/>
      <c r="U26" s="30"/>
      <c r="V26" s="30"/>
      <c r="X26"/>
      <c r="Z26" s="5"/>
      <c r="AA26" s="5"/>
      <c r="AB26" s="5"/>
      <c r="AC26" s="5"/>
      <c r="AD26" s="5"/>
      <c r="AE26" s="5"/>
      <c r="AF26" s="5"/>
    </row>
    <row r="27" spans="2:32" ht="15">
      <c r="B27" s="1" t="s">
        <v>109</v>
      </c>
      <c r="D27" s="5"/>
      <c r="E27" s="5"/>
      <c r="F27" s="5"/>
      <c r="G27" s="5"/>
      <c r="H27" s="5"/>
      <c r="J27" s="1"/>
      <c r="K27" s="1" t="s">
        <v>99</v>
      </c>
      <c r="L27" s="97"/>
      <c r="N27" s="187"/>
      <c r="O27" s="209"/>
      <c r="P27" s="201"/>
      <c r="Q27" s="201"/>
      <c r="R27" s="209"/>
      <c r="S27" s="217"/>
      <c r="T27" s="204"/>
      <c r="X27"/>
      <c r="Z27" s="5"/>
      <c r="AA27" s="5"/>
      <c r="AB27" s="5"/>
      <c r="AC27" s="5"/>
      <c r="AD27" s="5"/>
      <c r="AE27" s="5"/>
      <c r="AF27" s="5"/>
    </row>
    <row r="28" spans="2:32" ht="15">
      <c r="B28" s="1" t="s">
        <v>112</v>
      </c>
      <c r="C28" s="1" t="s">
        <v>97</v>
      </c>
      <c r="D28" s="5">
        <v>3554</v>
      </c>
      <c r="E28" s="5">
        <v>1777</v>
      </c>
      <c r="F28" s="5"/>
      <c r="G28" s="5"/>
      <c r="H28" s="5"/>
      <c r="J28" s="1"/>
      <c r="K28" s="36" t="s">
        <v>727</v>
      </c>
      <c r="L28" s="97">
        <f>+D24*(1-H17)</f>
        <v>17225758.768</v>
      </c>
      <c r="N28" s="187" t="s">
        <v>108</v>
      </c>
      <c r="O28" s="209">
        <f>+L20</f>
        <v>6175242</v>
      </c>
      <c r="P28" s="201">
        <f>+P15</f>
        <v>0.5</v>
      </c>
      <c r="Q28" s="201">
        <f>+Q15</f>
        <v>0.5</v>
      </c>
      <c r="R28" s="222">
        <f>+P28*O28</f>
        <v>3087621</v>
      </c>
      <c r="S28" s="221">
        <f>+Q28*O28</f>
        <v>3087621</v>
      </c>
      <c r="T28" s="204">
        <f>+Q28/P28-1</f>
        <v>0</v>
      </c>
      <c r="X28"/>
      <c r="Z28" s="5"/>
      <c r="AA28" s="5"/>
      <c r="AB28" s="5"/>
      <c r="AC28" s="5"/>
      <c r="AD28" s="5"/>
      <c r="AE28" s="5"/>
      <c r="AF28" s="5"/>
    </row>
    <row r="29" spans="3:32" ht="15">
      <c r="C29" s="36" t="s">
        <v>174</v>
      </c>
      <c r="D29" s="5">
        <v>3137501.323856206</v>
      </c>
      <c r="E29" s="5">
        <v>784375.3309640515</v>
      </c>
      <c r="F29" s="5"/>
      <c r="G29" s="5"/>
      <c r="H29" s="5"/>
      <c r="J29" s="1"/>
      <c r="K29" s="1" t="s">
        <v>728</v>
      </c>
      <c r="L29" s="97">
        <f>+D25*(1-H17)</f>
        <v>992034.216</v>
      </c>
      <c r="N29" s="187" t="s">
        <v>216</v>
      </c>
      <c r="O29" s="209">
        <f>+L21</f>
        <v>29295480.324</v>
      </c>
      <c r="P29" s="201">
        <f>+Rates!F15</f>
        <v>0.25</v>
      </c>
      <c r="Q29" s="201">
        <f>+Rates!G15</f>
        <v>0.26</v>
      </c>
      <c r="R29" s="222">
        <f>+P29*O29</f>
        <v>7323870.081</v>
      </c>
      <c r="S29" s="221">
        <f>+Q29*O29</f>
        <v>7616824.8842400005</v>
      </c>
      <c r="T29" s="204">
        <f>+Q29/P29-1</f>
        <v>0.040000000000000036</v>
      </c>
      <c r="U29" s="30"/>
      <c r="V29" s="30"/>
      <c r="X29"/>
      <c r="Z29" s="5"/>
      <c r="AA29" s="5"/>
      <c r="AB29" s="5"/>
      <c r="AC29" s="5"/>
      <c r="AD29" s="5"/>
      <c r="AE29" s="5"/>
      <c r="AF29" s="5"/>
    </row>
    <row r="30" spans="4:32" ht="15">
      <c r="D30" s="5"/>
      <c r="E30" s="5"/>
      <c r="F30" s="5"/>
      <c r="G30" s="5"/>
      <c r="H30" s="5"/>
      <c r="J30" s="1"/>
      <c r="K30" s="1" t="s">
        <v>704</v>
      </c>
      <c r="L30" s="97">
        <f>SUM(D22:D25)-SUM(L26:L29)</f>
        <v>54159482.41599999</v>
      </c>
      <c r="N30" s="187" t="s">
        <v>706</v>
      </c>
      <c r="O30" s="597">
        <f>+L22</f>
        <v>27368891.676</v>
      </c>
      <c r="P30" s="201">
        <f>+P29</f>
        <v>0.25</v>
      </c>
      <c r="Q30" s="201">
        <f>+Rates!G23</f>
        <v>0</v>
      </c>
      <c r="R30" s="708">
        <f>+P30*O30</f>
        <v>6842222.919</v>
      </c>
      <c r="S30" s="709">
        <f>+Q30*O30</f>
        <v>0</v>
      </c>
      <c r="T30" s="204">
        <f>+Q30/P30-1</f>
        <v>-1</v>
      </c>
      <c r="X30"/>
      <c r="Z30" s="5"/>
      <c r="AA30" s="5"/>
      <c r="AB30" s="5"/>
      <c r="AC30" s="5"/>
      <c r="AD30" s="5"/>
      <c r="AE30" s="5"/>
      <c r="AF30" s="5"/>
    </row>
    <row r="31" spans="2:32" ht="15">
      <c r="B31" s="1" t="s">
        <v>115</v>
      </c>
      <c r="C31" s="1" t="s">
        <v>97</v>
      </c>
      <c r="D31" s="5">
        <v>1770</v>
      </c>
      <c r="E31" s="5">
        <v>885</v>
      </c>
      <c r="F31" s="5"/>
      <c r="G31" s="5"/>
      <c r="H31" s="5"/>
      <c r="I31" s="180"/>
      <c r="J31" s="1"/>
      <c r="L31" s="5"/>
      <c r="N31" s="187" t="s">
        <v>111</v>
      </c>
      <c r="O31" s="209">
        <f>SUM(O28:O30)</f>
        <v>62839614</v>
      </c>
      <c r="P31" s="201"/>
      <c r="Q31" s="201"/>
      <c r="R31" s="209">
        <f>SUM(R28:R30)</f>
        <v>17253714</v>
      </c>
      <c r="S31" s="217">
        <f>SUM(S28:S30)</f>
        <v>10704445.884240001</v>
      </c>
      <c r="T31" s="204"/>
      <c r="U31" s="30"/>
      <c r="V31" s="30"/>
      <c r="X31"/>
      <c r="Z31" s="5"/>
      <c r="AA31" s="5"/>
      <c r="AB31" s="5"/>
      <c r="AC31" s="5"/>
      <c r="AD31" s="5"/>
      <c r="AE31" s="5"/>
      <c r="AF31" s="5"/>
    </row>
    <row r="32" spans="3:24" ht="15">
      <c r="C32" s="36" t="s">
        <v>174</v>
      </c>
      <c r="D32" s="5">
        <v>779654.7805771256</v>
      </c>
      <c r="E32" s="5">
        <v>194913.6951442814</v>
      </c>
      <c r="F32" s="5"/>
      <c r="G32" s="5"/>
      <c r="H32" s="5"/>
      <c r="J32" s="36" t="s">
        <v>109</v>
      </c>
      <c r="L32" s="5"/>
      <c r="N32" s="187"/>
      <c r="O32" s="208"/>
      <c r="P32" s="201"/>
      <c r="Q32" s="201"/>
      <c r="R32" s="208"/>
      <c r="S32" s="216"/>
      <c r="T32" s="205"/>
      <c r="U32" s="30"/>
      <c r="V32" s="30"/>
      <c r="X32"/>
    </row>
    <row r="33" spans="4:24" ht="15">
      <c r="D33" s="5"/>
      <c r="E33" s="5"/>
      <c r="F33" s="5"/>
      <c r="G33" s="5"/>
      <c r="H33" s="5"/>
      <c r="J33" s="1" t="s">
        <v>112</v>
      </c>
      <c r="K33" s="1" t="s">
        <v>97</v>
      </c>
      <c r="L33" s="5">
        <f>+D28</f>
        <v>3554</v>
      </c>
      <c r="N33" s="187" t="s">
        <v>217</v>
      </c>
      <c r="O33" s="209">
        <f>+L25</f>
        <v>213732</v>
      </c>
      <c r="P33" s="201">
        <f>+P15</f>
        <v>0.5</v>
      </c>
      <c r="Q33" s="201">
        <f>+Q15</f>
        <v>0.5</v>
      </c>
      <c r="R33" s="222">
        <f>+P33*O33</f>
        <v>106866</v>
      </c>
      <c r="S33" s="221">
        <f>+Q33*O33</f>
        <v>106866</v>
      </c>
      <c r="T33" s="204">
        <f>+Q33/P33-1</f>
        <v>0</v>
      </c>
      <c r="U33" s="30"/>
      <c r="X33"/>
    </row>
    <row r="34" spans="2:24" ht="15">
      <c r="B34" s="1" t="s">
        <v>665</v>
      </c>
      <c r="C34" s="1" t="s">
        <v>97</v>
      </c>
      <c r="D34" s="5">
        <v>950</v>
      </c>
      <c r="E34" s="5">
        <v>475</v>
      </c>
      <c r="F34" s="5"/>
      <c r="G34" s="5"/>
      <c r="H34" s="5"/>
      <c r="J34" s="1"/>
      <c r="K34" s="36" t="s">
        <v>174</v>
      </c>
      <c r="L34" s="5">
        <f>+D29</f>
        <v>3137501.323856206</v>
      </c>
      <c r="N34" s="187" t="s">
        <v>218</v>
      </c>
      <c r="O34" s="209">
        <f>+L26</f>
        <v>65084931.6</v>
      </c>
      <c r="P34" s="201">
        <f>+P29</f>
        <v>0.25</v>
      </c>
      <c r="Q34" s="201">
        <f>+Q29</f>
        <v>0.26</v>
      </c>
      <c r="R34" s="222">
        <f>+P34*O34</f>
        <v>16271232.9</v>
      </c>
      <c r="S34" s="221">
        <f>+Q34*O34</f>
        <v>16922082.216000002</v>
      </c>
      <c r="T34" s="204">
        <f>+Q34/P34-1</f>
        <v>0.040000000000000036</v>
      </c>
      <c r="U34" s="30"/>
      <c r="V34" s="30"/>
      <c r="X34"/>
    </row>
    <row r="35" spans="3:24" ht="15">
      <c r="C35" s="36" t="s">
        <v>174</v>
      </c>
      <c r="D35" s="5">
        <v>4845000.86144236</v>
      </c>
      <c r="E35" s="5">
        <v>1211250.21536059</v>
      </c>
      <c r="F35" s="5"/>
      <c r="G35" s="5"/>
      <c r="H35" s="5"/>
      <c r="J35" s="1"/>
      <c r="K35" s="1"/>
      <c r="L35" s="5"/>
      <c r="N35" s="187" t="s">
        <v>219</v>
      </c>
      <c r="O35" s="209"/>
      <c r="P35" s="202"/>
      <c r="Q35" s="201"/>
      <c r="R35" s="209"/>
      <c r="S35" s="217"/>
      <c r="T35" s="204"/>
      <c r="U35" s="30"/>
      <c r="V35" s="30"/>
      <c r="X35"/>
    </row>
    <row r="36" spans="4:24" ht="15">
      <c r="D36" s="27"/>
      <c r="E36" s="27"/>
      <c r="F36" s="180"/>
      <c r="G36" s="5"/>
      <c r="H36" s="5"/>
      <c r="J36" s="1" t="s">
        <v>115</v>
      </c>
      <c r="K36" s="1" t="s">
        <v>97</v>
      </c>
      <c r="L36" s="5">
        <f>+D31</f>
        <v>1770</v>
      </c>
      <c r="N36" s="187" t="s">
        <v>155</v>
      </c>
      <c r="O36" s="424">
        <f>+L28</f>
        <v>17225758.768</v>
      </c>
      <c r="P36" s="202">
        <f>+Rates!F21</f>
        <v>0.03</v>
      </c>
      <c r="Q36" s="201">
        <f>+Rates!G21</f>
        <v>0.05</v>
      </c>
      <c r="R36" s="222">
        <f>+P36*O36</f>
        <v>516772.76303999993</v>
      </c>
      <c r="S36" s="221">
        <f>+Q36*O36</f>
        <v>861287.9384</v>
      </c>
      <c r="T36" s="204">
        <f>+Q36/P36-1</f>
        <v>0.6666666666666667</v>
      </c>
      <c r="U36" s="30"/>
      <c r="V36" s="30"/>
      <c r="X36"/>
    </row>
    <row r="37" spans="2:24" ht="15">
      <c r="B37" s="1" t="s">
        <v>117</v>
      </c>
      <c r="C37" s="1" t="s">
        <v>97</v>
      </c>
      <c r="D37" s="5">
        <v>982</v>
      </c>
      <c r="E37" s="5">
        <v>491</v>
      </c>
      <c r="F37" s="5"/>
      <c r="G37" s="5"/>
      <c r="H37" s="5"/>
      <c r="J37" s="1"/>
      <c r="K37" s="36" t="s">
        <v>174</v>
      </c>
      <c r="L37" s="5">
        <f>+D32*(1-H18)</f>
        <v>475589.4161520466</v>
      </c>
      <c r="N37" s="187" t="s">
        <v>156</v>
      </c>
      <c r="O37" s="209">
        <f>+L29</f>
        <v>992034.216</v>
      </c>
      <c r="P37" s="202">
        <f>+Rates!F22</f>
        <v>0.18</v>
      </c>
      <c r="Q37" s="201">
        <f>+Rates!G22</f>
        <v>0.2</v>
      </c>
      <c r="R37" s="222">
        <f>+P37*O37</f>
        <v>178566.15888</v>
      </c>
      <c r="S37" s="221">
        <f>+Q37*O37</f>
        <v>198406.8432</v>
      </c>
      <c r="T37" s="204">
        <f>+Q37/P37-1</f>
        <v>0.11111111111111116</v>
      </c>
      <c r="U37" s="30"/>
      <c r="V37" s="30"/>
      <c r="X37"/>
    </row>
    <row r="38" spans="3:24" ht="15">
      <c r="C38" s="1" t="s">
        <v>174</v>
      </c>
      <c r="D38" s="5">
        <v>382791.0341243085</v>
      </c>
      <c r="E38" s="5">
        <v>95697.75853107712</v>
      </c>
      <c r="F38" s="5"/>
      <c r="G38" s="5"/>
      <c r="H38" s="5"/>
      <c r="J38" s="1"/>
      <c r="K38" s="36" t="s">
        <v>704</v>
      </c>
      <c r="L38" s="5">
        <f>+D32-L37</f>
        <v>304065.364425079</v>
      </c>
      <c r="N38" s="187" t="s">
        <v>729</v>
      </c>
      <c r="O38" s="209">
        <f>+D22-L26</f>
        <v>35045732.4</v>
      </c>
      <c r="P38" s="202">
        <f>+P34</f>
        <v>0.25</v>
      </c>
      <c r="Q38" s="201">
        <f>+Rates!G23</f>
        <v>0</v>
      </c>
      <c r="R38" s="222">
        <f>+P38*O38</f>
        <v>8761433.1</v>
      </c>
      <c r="S38" s="221">
        <f>+Q38*O38</f>
        <v>0</v>
      </c>
      <c r="T38" s="204">
        <f>+Q38/P38-1</f>
        <v>-1</v>
      </c>
      <c r="U38" s="30"/>
      <c r="V38" s="30"/>
      <c r="X38"/>
    </row>
    <row r="39" spans="2:24" ht="15">
      <c r="B39" s="36"/>
      <c r="D39" s="5"/>
      <c r="E39" s="5"/>
      <c r="F39" s="5"/>
      <c r="G39" s="5"/>
      <c r="H39" s="5"/>
      <c r="J39" s="1"/>
      <c r="K39" s="1"/>
      <c r="L39" s="5"/>
      <c r="N39" s="187" t="s">
        <v>729</v>
      </c>
      <c r="O39" s="209">
        <f>+D24-L28</f>
        <v>18072927.232</v>
      </c>
      <c r="P39" s="202">
        <f>+P36</f>
        <v>0.03</v>
      </c>
      <c r="Q39" s="201">
        <f>+Rates!G23</f>
        <v>0</v>
      </c>
      <c r="R39" s="222">
        <f>+P39*O39</f>
        <v>542187.81696</v>
      </c>
      <c r="S39" s="221">
        <f>+Q39*O39</f>
        <v>0</v>
      </c>
      <c r="T39" s="204">
        <f>+Q39/P39-1</f>
        <v>-1</v>
      </c>
      <c r="X39"/>
    </row>
    <row r="40" spans="2:24" ht="15">
      <c r="B40" s="34" t="s">
        <v>213</v>
      </c>
      <c r="C40" s="34"/>
      <c r="D40" s="88">
        <v>9152204.000000002</v>
      </c>
      <c r="E40" s="88">
        <v>2289865</v>
      </c>
      <c r="F40" s="37"/>
      <c r="G40" s="5"/>
      <c r="H40" s="5"/>
      <c r="J40" s="1" t="s">
        <v>665</v>
      </c>
      <c r="K40" s="1" t="s">
        <v>97</v>
      </c>
      <c r="L40" s="5">
        <f>+D34</f>
        <v>950</v>
      </c>
      <c r="N40" s="187" t="s">
        <v>729</v>
      </c>
      <c r="O40" s="209">
        <f>+D25-L29</f>
        <v>1040822.784</v>
      </c>
      <c r="P40" s="202">
        <f>+P37</f>
        <v>0.18</v>
      </c>
      <c r="Q40" s="201">
        <f>+Rates!G23</f>
        <v>0</v>
      </c>
      <c r="R40" s="708">
        <f>+P40*O40</f>
        <v>187348.10111999998</v>
      </c>
      <c r="S40" s="709">
        <f>+Q40*O40</f>
        <v>0</v>
      </c>
      <c r="T40" s="204">
        <f>+Q40/P40-1</f>
        <v>-1</v>
      </c>
      <c r="X40"/>
    </row>
    <row r="41" spans="7:24" ht="14.25" customHeight="1">
      <c r="G41" s="180"/>
      <c r="H41" s="180"/>
      <c r="J41" s="1"/>
      <c r="K41" s="36" t="s">
        <v>174</v>
      </c>
      <c r="L41" s="5">
        <f>+D35</f>
        <v>4845000.86144236</v>
      </c>
      <c r="N41" s="187" t="s">
        <v>114</v>
      </c>
      <c r="O41" s="209">
        <f>SUM(O33:O40)</f>
        <v>137675939</v>
      </c>
      <c r="P41" s="202"/>
      <c r="Q41" s="202"/>
      <c r="R41" s="209">
        <f>SUM(R33:R40)</f>
        <v>26564406.84</v>
      </c>
      <c r="S41" s="217">
        <f>SUM(S33:S40)</f>
        <v>18088642.997600004</v>
      </c>
      <c r="T41" s="204"/>
      <c r="X41"/>
    </row>
    <row r="42" spans="2:24" ht="15">
      <c r="B42" s="1" t="s">
        <v>105</v>
      </c>
      <c r="D42" s="5">
        <v>311289195.53225803</v>
      </c>
      <c r="E42" s="5">
        <v>69238051.12</v>
      </c>
      <c r="F42" s="5"/>
      <c r="G42" s="5"/>
      <c r="H42" s="5"/>
      <c r="J42" s="1"/>
      <c r="K42" s="1"/>
      <c r="L42" s="5"/>
      <c r="N42" s="187"/>
      <c r="O42" s="209"/>
      <c r="P42" s="202"/>
      <c r="Q42" s="202"/>
      <c r="R42" s="209"/>
      <c r="S42" s="217"/>
      <c r="T42" s="204"/>
      <c r="U42" s="30"/>
      <c r="V42" s="30"/>
      <c r="X42"/>
    </row>
    <row r="43" spans="7:24" ht="15">
      <c r="G43" s="5"/>
      <c r="H43" s="5"/>
      <c r="J43" s="1" t="s">
        <v>117</v>
      </c>
      <c r="K43" s="1" t="s">
        <v>97</v>
      </c>
      <c r="L43" s="5">
        <f>+D37</f>
        <v>982</v>
      </c>
      <c r="N43" s="187" t="s">
        <v>109</v>
      </c>
      <c r="O43" s="209"/>
      <c r="P43" s="202"/>
      <c r="Q43" s="202"/>
      <c r="R43" s="209"/>
      <c r="S43" s="217"/>
      <c r="T43" s="204"/>
      <c r="X43"/>
    </row>
    <row r="44" spans="2:24" ht="15">
      <c r="B44" s="1" t="s">
        <v>120</v>
      </c>
      <c r="G44" s="5"/>
      <c r="H44" s="5"/>
      <c r="J44" s="1"/>
      <c r="K44" s="36" t="s">
        <v>174</v>
      </c>
      <c r="L44" s="5">
        <f>+D38</f>
        <v>382791.0341243085</v>
      </c>
      <c r="N44" s="187" t="s">
        <v>116</v>
      </c>
      <c r="O44" s="209">
        <f>+L33</f>
        <v>3554</v>
      </c>
      <c r="P44" s="202">
        <f>+P15</f>
        <v>0.5</v>
      </c>
      <c r="Q44" s="202">
        <f>+Q15</f>
        <v>0.5</v>
      </c>
      <c r="R44" s="222">
        <f>+P44*O44</f>
        <v>1777</v>
      </c>
      <c r="S44" s="221">
        <f>+Q44*O44</f>
        <v>1777</v>
      </c>
      <c r="T44" s="204">
        <f>+Q44/P44-1</f>
        <v>0</v>
      </c>
      <c r="X44"/>
    </row>
    <row r="45" spans="7:24" ht="15">
      <c r="G45" s="37"/>
      <c r="H45" s="37"/>
      <c r="J45" s="1"/>
      <c r="K45" s="1"/>
      <c r="L45" s="27"/>
      <c r="N45" s="187" t="s">
        <v>220</v>
      </c>
      <c r="O45" s="209">
        <f>+L34</f>
        <v>3137501.323856206</v>
      </c>
      <c r="P45" s="202">
        <f>+P34</f>
        <v>0.25</v>
      </c>
      <c r="Q45" s="202">
        <f>+Q29</f>
        <v>0.26</v>
      </c>
      <c r="R45" s="222">
        <f>+P45*O45</f>
        <v>784375.3309640515</v>
      </c>
      <c r="S45" s="221">
        <f>+Q45*O45</f>
        <v>815750.3442026136</v>
      </c>
      <c r="T45" s="204">
        <f>+Q45/P45-1</f>
        <v>0.040000000000000036</v>
      </c>
      <c r="U45" s="30"/>
      <c r="V45" s="30"/>
      <c r="X45"/>
    </row>
    <row r="46" spans="10:24" ht="15">
      <c r="J46" s="1" t="s">
        <v>213</v>
      </c>
      <c r="K46" s="1"/>
      <c r="L46" s="5">
        <f>SUM(L33:L44)</f>
        <v>9152204.000000002</v>
      </c>
      <c r="N46" s="187"/>
      <c r="O46" s="209"/>
      <c r="P46" s="202"/>
      <c r="Q46" s="202"/>
      <c r="R46" s="208"/>
      <c r="S46" s="216"/>
      <c r="T46" s="205"/>
      <c r="X46"/>
    </row>
    <row r="47" spans="7:24" ht="15">
      <c r="G47" s="5"/>
      <c r="H47" s="5"/>
      <c r="J47" s="1"/>
      <c r="K47" s="1"/>
      <c r="L47" s="5"/>
      <c r="N47" s="187" t="s">
        <v>119</v>
      </c>
      <c r="O47" s="209">
        <f>+L36</f>
        <v>1770</v>
      </c>
      <c r="P47" s="202">
        <f>+P15</f>
        <v>0.5</v>
      </c>
      <c r="Q47" s="202">
        <f>+Q15</f>
        <v>0.5</v>
      </c>
      <c r="R47" s="222">
        <f>+P47*O47</f>
        <v>885</v>
      </c>
      <c r="S47" s="221">
        <f>+Q47*O47</f>
        <v>885</v>
      </c>
      <c r="T47" s="204">
        <f>+Q47/P47-1</f>
        <v>0</v>
      </c>
      <c r="X47"/>
    </row>
    <row r="48" spans="10:24" ht="15">
      <c r="J48" s="36" t="s">
        <v>105</v>
      </c>
      <c r="K48" s="1"/>
      <c r="L48" s="5">
        <f>SUM(L9:L30,L46)</f>
        <v>348620738.5322581</v>
      </c>
      <c r="N48" s="187" t="s">
        <v>221</v>
      </c>
      <c r="O48" s="209">
        <f>+L37</f>
        <v>475589.4161520466</v>
      </c>
      <c r="P48" s="202">
        <f>+P34</f>
        <v>0.25</v>
      </c>
      <c r="Q48" s="202">
        <f>+Q29</f>
        <v>0.26</v>
      </c>
      <c r="R48" s="222">
        <f>+P48*O48</f>
        <v>118897.35403801165</v>
      </c>
      <c r="S48" s="221">
        <f>+Q48*O48</f>
        <v>123653.24819953211</v>
      </c>
      <c r="T48" s="204">
        <f>+Q48/P48-1</f>
        <v>0.040000000000000036</v>
      </c>
      <c r="U48" s="30"/>
      <c r="V48" s="30"/>
      <c r="X48"/>
    </row>
    <row r="49" spans="10:24" ht="15">
      <c r="J49" s="34"/>
      <c r="K49" s="34"/>
      <c r="L49" s="1"/>
      <c r="N49" s="187" t="s">
        <v>709</v>
      </c>
      <c r="O49" s="209">
        <f>+L38</f>
        <v>304065.364425079</v>
      </c>
      <c r="P49" s="202">
        <v>0.25</v>
      </c>
      <c r="Q49" s="202">
        <f>+Rates!G23</f>
        <v>0</v>
      </c>
      <c r="R49" s="222"/>
      <c r="S49" s="221"/>
      <c r="T49" s="204"/>
      <c r="X49"/>
    </row>
    <row r="50" spans="10:24" ht="15">
      <c r="J50" s="1" t="s">
        <v>120</v>
      </c>
      <c r="K50" s="1"/>
      <c r="L50" s="1"/>
      <c r="N50" s="187"/>
      <c r="O50" s="209"/>
      <c r="P50" s="202"/>
      <c r="Q50" s="202"/>
      <c r="R50" s="208"/>
      <c r="S50" s="216"/>
      <c r="T50" s="205"/>
      <c r="U50" s="30"/>
      <c r="X50"/>
    </row>
    <row r="51" spans="14:22" ht="15">
      <c r="N51" s="187" t="s">
        <v>224</v>
      </c>
      <c r="O51" s="209">
        <f>+L40</f>
        <v>950</v>
      </c>
      <c r="P51" s="202">
        <f>+P15</f>
        <v>0.5</v>
      </c>
      <c r="Q51" s="202">
        <f>+Q15</f>
        <v>0.5</v>
      </c>
      <c r="R51" s="222">
        <f>+P51*O51</f>
        <v>475</v>
      </c>
      <c r="S51" s="221">
        <f>+Q51*O51</f>
        <v>475</v>
      </c>
      <c r="T51" s="204">
        <f>+Q51/P51-1</f>
        <v>0</v>
      </c>
      <c r="U51" s="30"/>
      <c r="V51" s="30"/>
    </row>
    <row r="52" spans="14:22" ht="15">
      <c r="N52" s="187" t="s">
        <v>225</v>
      </c>
      <c r="O52" s="209">
        <f>+L41</f>
        <v>4845000.86144236</v>
      </c>
      <c r="P52" s="202">
        <f>+P34</f>
        <v>0.25</v>
      </c>
      <c r="Q52" s="202">
        <f>+Q29</f>
        <v>0.26</v>
      </c>
      <c r="R52" s="222">
        <f>+P52*O52</f>
        <v>1211250.21536059</v>
      </c>
      <c r="S52" s="221">
        <f>+Q52*O52</f>
        <v>1259700.2239750137</v>
      </c>
      <c r="T52" s="204">
        <f>+Q52/P52-1</f>
        <v>0.040000000000000036</v>
      </c>
      <c r="U52" s="30"/>
      <c r="V52" s="30"/>
    </row>
    <row r="53" spans="14:22" ht="15">
      <c r="N53" s="187"/>
      <c r="O53" s="209"/>
      <c r="P53" s="202"/>
      <c r="Q53" s="202"/>
      <c r="R53" s="208"/>
      <c r="S53" s="216"/>
      <c r="T53" s="205"/>
      <c r="U53" s="30"/>
      <c r="V53" s="30"/>
    </row>
    <row r="54" spans="14:22" ht="15">
      <c r="N54" s="187" t="s">
        <v>121</v>
      </c>
      <c r="O54" s="209">
        <f>+L43</f>
        <v>982</v>
      </c>
      <c r="P54" s="202">
        <f>+P15</f>
        <v>0.5</v>
      </c>
      <c r="Q54" s="202">
        <f>+Q15</f>
        <v>0.5</v>
      </c>
      <c r="R54" s="222">
        <f>+P54*O54</f>
        <v>491</v>
      </c>
      <c r="S54" s="221">
        <f>+Q54*O54</f>
        <v>491</v>
      </c>
      <c r="T54" s="204">
        <f>+Q54/P54-1</f>
        <v>0</v>
      </c>
      <c r="U54" s="30"/>
      <c r="V54" s="30"/>
    </row>
    <row r="55" spans="14:22" ht="15">
      <c r="N55" s="187" t="s">
        <v>222</v>
      </c>
      <c r="O55" s="211">
        <f>+L44</f>
        <v>382791.0341243085</v>
      </c>
      <c r="P55" s="202">
        <f>+P34</f>
        <v>0.25</v>
      </c>
      <c r="Q55" s="202">
        <f>+Q29</f>
        <v>0.26</v>
      </c>
      <c r="R55" s="708">
        <f>+P55*O55</f>
        <v>95697.75853107712</v>
      </c>
      <c r="S55" s="709">
        <f>+Q55*O55</f>
        <v>99525.66887232021</v>
      </c>
      <c r="T55" s="204">
        <f>+Q55/P55-1</f>
        <v>0.040000000000000036</v>
      </c>
      <c r="U55" s="30"/>
      <c r="V55" s="30"/>
    </row>
    <row r="56" spans="14:22" ht="15">
      <c r="N56" s="187" t="s">
        <v>122</v>
      </c>
      <c r="O56" s="209">
        <f>SUM(O44:O55)</f>
        <v>9152204.000000002</v>
      </c>
      <c r="P56" s="38"/>
      <c r="Q56" s="192"/>
      <c r="R56" s="209">
        <f>SUM(R44:R55)</f>
        <v>2213848.6588937305</v>
      </c>
      <c r="S56" s="217">
        <f>SUM(S44:S55)</f>
        <v>2302257.4852494793</v>
      </c>
      <c r="T56" s="191"/>
      <c r="U56" s="30"/>
      <c r="V56" s="30"/>
    </row>
    <row r="57" spans="14:20" ht="15">
      <c r="N57" s="187"/>
      <c r="O57" s="211"/>
      <c r="P57" s="38"/>
      <c r="Q57" s="192"/>
      <c r="R57" s="211"/>
      <c r="S57" s="218"/>
      <c r="T57" s="191"/>
    </row>
    <row r="58" spans="14:22" ht="15">
      <c r="N58" s="187" t="s">
        <v>118</v>
      </c>
      <c r="O58" s="209">
        <f>+O56+O41+O31+O26+O22</f>
        <v>335105033.6492581</v>
      </c>
      <c r="P58" s="36"/>
      <c r="Q58" s="193"/>
      <c r="R58" s="209">
        <f>+R56+R41+R31+R26+R22</f>
        <v>71029871.08501309</v>
      </c>
      <c r="S58" s="217">
        <f>+S56+S41+S31+S26+S22</f>
        <v>56461974.27554884</v>
      </c>
      <c r="T58" s="191"/>
      <c r="U58" s="30"/>
      <c r="V58" s="30"/>
    </row>
    <row r="59" spans="14:20" ht="15">
      <c r="N59" s="187"/>
      <c r="O59" s="209"/>
      <c r="P59" s="36"/>
      <c r="Q59" s="193"/>
      <c r="R59" s="209"/>
      <c r="S59" s="217"/>
      <c r="T59" s="191"/>
    </row>
    <row r="60" spans="14:20" ht="15">
      <c r="N60" s="194" t="s">
        <v>123</v>
      </c>
      <c r="O60" s="209"/>
      <c r="P60" s="36"/>
      <c r="Q60" s="36"/>
      <c r="R60" s="209"/>
      <c r="S60" s="217"/>
      <c r="T60" s="191"/>
    </row>
    <row r="61" spans="14:20" ht="15">
      <c r="N61" s="187" t="s">
        <v>124</v>
      </c>
      <c r="O61" s="209">
        <f>+O54+O51+O47+O44+O33+O28+O24+O15</f>
        <v>46173454</v>
      </c>
      <c r="P61" s="36"/>
      <c r="Q61" s="36"/>
      <c r="R61" s="209">
        <f>+R54+R51+R47+R44+R33+R28+R24+R15</f>
        <v>23086727</v>
      </c>
      <c r="S61" s="217">
        <f>+S54+S51+S47+S44+S33+S28+S24+S15</f>
        <v>23086727</v>
      </c>
      <c r="T61" s="191"/>
    </row>
    <row r="62" spans="14:20" ht="15">
      <c r="N62" s="187" t="s">
        <v>223</v>
      </c>
      <c r="O62" s="209">
        <f>+O55+O52+O48+O45+O34+O29+O25+O16</f>
        <v>153639096.9587685</v>
      </c>
      <c r="P62" s="36"/>
      <c r="Q62" s="36"/>
      <c r="R62" s="209">
        <f>+R55+R52+R48+R45+R34+R29+R25+R16</f>
        <v>29838747.831829216</v>
      </c>
      <c r="S62" s="217">
        <f>+S55+S52+S48+S45+S34+S29+S25+S16</f>
        <v>31879316.82540884</v>
      </c>
      <c r="T62" s="191"/>
    </row>
    <row r="63" spans="14:20" ht="15">
      <c r="N63" s="187" t="s">
        <v>125</v>
      </c>
      <c r="O63" s="424">
        <f>+O37+O36+O18+O19</f>
        <v>36654109.101</v>
      </c>
      <c r="P63" s="36"/>
      <c r="Q63" s="36"/>
      <c r="R63" s="209">
        <f>+R37+R36+R18+R19</f>
        <v>762848.2681199999</v>
      </c>
      <c r="S63" s="217">
        <f>+S37+S36+S18+S19</f>
        <v>1495930.4501399999</v>
      </c>
      <c r="T63" s="191"/>
    </row>
    <row r="64" spans="14:20" ht="15">
      <c r="N64" s="187" t="s">
        <v>707</v>
      </c>
      <c r="O64" s="211">
        <f>+O49+O40+O39+O38+O30+O21+O20</f>
        <v>112154078.4724896</v>
      </c>
      <c r="P64" s="36"/>
      <c r="Q64" s="36"/>
      <c r="R64" s="211">
        <f>+R49+R40+R39+R38+R30+R21+R20</f>
        <v>17341547.98506387</v>
      </c>
      <c r="S64" s="218">
        <f>+S49+S40+S39+S38+S30+S21+S20</f>
        <v>0</v>
      </c>
      <c r="T64" s="191"/>
    </row>
    <row r="65" spans="14:20" ht="15">
      <c r="N65" s="195" t="s">
        <v>105</v>
      </c>
      <c r="O65" s="212">
        <f>SUM(O61:O63)</f>
        <v>236466660.0597685</v>
      </c>
      <c r="P65" s="36"/>
      <c r="Q65" s="36"/>
      <c r="R65" s="212">
        <f>SUM(R61:R64)</f>
        <v>71029871.08501309</v>
      </c>
      <c r="S65" s="219">
        <f>SUM(S61:S64)</f>
        <v>56461974.27554884</v>
      </c>
      <c r="T65" s="189"/>
    </row>
    <row r="66" spans="14:20" ht="15">
      <c r="N66" s="195"/>
      <c r="O66" s="212"/>
      <c r="P66" s="36"/>
      <c r="Q66" s="36"/>
      <c r="R66" s="212"/>
      <c r="S66" s="219"/>
      <c r="T66" s="189"/>
    </row>
    <row r="67" spans="14:20" ht="15.75" thickBot="1">
      <c r="N67" s="196"/>
      <c r="O67" s="213"/>
      <c r="P67" s="197"/>
      <c r="Q67" s="197"/>
      <c r="R67" s="223"/>
      <c r="S67" s="220"/>
      <c r="T67" s="198"/>
    </row>
    <row r="68" spans="14:20" ht="15.75" thickTop="1">
      <c r="N68" s="184" t="s">
        <v>691</v>
      </c>
      <c r="O68" s="199"/>
      <c r="P68" s="199"/>
      <c r="Q68" s="199"/>
      <c r="R68" s="199"/>
      <c r="S68" s="199"/>
      <c r="T68" s="200"/>
    </row>
    <row r="69" spans="14:20" ht="15.75" thickBot="1">
      <c r="N69" s="196"/>
      <c r="O69" s="197"/>
      <c r="P69" s="197"/>
      <c r="Q69" s="197"/>
      <c r="R69" s="197"/>
      <c r="S69" s="197"/>
      <c r="T69" s="198"/>
    </row>
    <row r="70" ht="15.75" thickTop="1"/>
    <row r="71" ht="15">
      <c r="N71" s="10"/>
    </row>
  </sheetData>
  <mergeCells count="9">
    <mergeCell ref="B4:E4"/>
    <mergeCell ref="B5:E5"/>
    <mergeCell ref="N7:T7"/>
    <mergeCell ref="J4:L4"/>
    <mergeCell ref="J5:L5"/>
    <mergeCell ref="P9:Q9"/>
    <mergeCell ref="R9:S9"/>
    <mergeCell ref="T9:T11"/>
    <mergeCell ref="N8:T8"/>
  </mergeCells>
  <printOptions horizontalCentered="1"/>
  <pageMargins left="0.25" right="0.25" top="0.5" bottom="0.25" header="0.5" footer="0.5"/>
  <pageSetup fitToHeight="1" fitToWidth="1" horizontalDpi="600" verticalDpi="600" orientation="landscape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O288"/>
  <sheetViews>
    <sheetView zoomScale="70" zoomScaleNormal="70" workbookViewId="0" topLeftCell="A1">
      <selection activeCell="N5" sqref="N5"/>
    </sheetView>
  </sheetViews>
  <sheetFormatPr defaultColWidth="12.421875" defaultRowHeight="12.75"/>
  <cols>
    <col min="1" max="1" width="6.00390625" style="1" customWidth="1"/>
    <col min="2" max="2" width="4.7109375" style="1" hidden="1" customWidth="1"/>
    <col min="3" max="3" width="33.00390625" style="1" hidden="1" customWidth="1"/>
    <col min="4" max="4" width="72.00390625" style="1" customWidth="1"/>
    <col min="5" max="5" width="34.28125" style="1" customWidth="1"/>
    <col min="6" max="6" width="4.421875" style="1" customWidth="1"/>
    <col min="7" max="7" width="4.7109375" style="1" customWidth="1"/>
    <col min="8" max="8" width="30.8515625" style="1" customWidth="1"/>
    <col min="9" max="14" width="13.28125" style="1" customWidth="1"/>
    <col min="15" max="15" width="15.00390625" style="1" customWidth="1"/>
    <col min="16" max="16" width="6.00390625" style="1" customWidth="1"/>
    <col min="17" max="16384" width="12.421875" style="1" customWidth="1"/>
  </cols>
  <sheetData>
    <row r="1" spans="2:12" ht="15">
      <c r="B1" s="2" t="s">
        <v>65</v>
      </c>
      <c r="C1" s="1" t="s">
        <v>126</v>
      </c>
      <c r="G1" s="2"/>
      <c r="J1" s="776"/>
      <c r="K1" s="776"/>
      <c r="L1" s="776"/>
    </row>
    <row r="2" spans="2:7" ht="15">
      <c r="B2" s="2" t="s">
        <v>65</v>
      </c>
      <c r="C2" s="4" t="s">
        <v>67</v>
      </c>
      <c r="E2" s="9" t="s">
        <v>745</v>
      </c>
      <c r="G2" s="2"/>
    </row>
    <row r="3" spans="2:7" ht="18">
      <c r="B3" s="2" t="s">
        <v>65</v>
      </c>
      <c r="D3" s="771" t="s">
        <v>650</v>
      </c>
      <c r="E3" s="771"/>
      <c r="G3" s="2"/>
    </row>
    <row r="4" spans="2:14" ht="15.75">
      <c r="B4" s="2" t="s">
        <v>65</v>
      </c>
      <c r="D4" s="772" t="s">
        <v>700</v>
      </c>
      <c r="E4" s="772"/>
      <c r="G4" s="2"/>
      <c r="N4" s="43" t="str">
        <f>WN</f>
        <v>February 2009</v>
      </c>
    </row>
    <row r="5" spans="2:14" ht="15.75" thickBot="1">
      <c r="B5" s="2" t="s">
        <v>65</v>
      </c>
      <c r="G5" s="2"/>
      <c r="N5" s="43"/>
    </row>
    <row r="6" spans="2:14" ht="17.25" customHeight="1" thickTop="1">
      <c r="B6" s="2" t="s">
        <v>65</v>
      </c>
      <c r="D6" s="78" t="s">
        <v>746</v>
      </c>
      <c r="E6" s="224">
        <v>1986595</v>
      </c>
      <c r="G6" s="2"/>
      <c r="H6" s="780" t="s">
        <v>650</v>
      </c>
      <c r="I6" s="781"/>
      <c r="J6" s="781"/>
      <c r="K6" s="781"/>
      <c r="L6" s="781"/>
      <c r="M6" s="781"/>
      <c r="N6" s="782"/>
    </row>
    <row r="7" spans="2:14" ht="15.75" thickBot="1">
      <c r="B7" s="2" t="s">
        <v>65</v>
      </c>
      <c r="D7" s="78"/>
      <c r="E7" s="224"/>
      <c r="G7" s="2"/>
      <c r="H7" s="783" t="str">
        <f>"Fiscal Year 2008 "</f>
        <v>Fiscal Year 2008 </v>
      </c>
      <c r="I7" s="784"/>
      <c r="J7" s="784"/>
      <c r="K7" s="784"/>
      <c r="L7" s="784"/>
      <c r="M7" s="784"/>
      <c r="N7" s="785"/>
    </row>
    <row r="8" spans="2:14" ht="15.75" thickTop="1">
      <c r="B8" s="2" t="s">
        <v>65</v>
      </c>
      <c r="D8" s="78" t="s">
        <v>747</v>
      </c>
      <c r="E8" s="224">
        <v>4314455</v>
      </c>
      <c r="F8"/>
      <c r="G8" s="2"/>
      <c r="H8" s="157"/>
      <c r="I8" s="574" t="str">
        <f>PROPER("TRANSACTIONS")</f>
        <v>Transactions</v>
      </c>
      <c r="J8" s="791" t="s">
        <v>235</v>
      </c>
      <c r="K8" s="792"/>
      <c r="L8" s="791" t="s">
        <v>528</v>
      </c>
      <c r="M8" s="793"/>
      <c r="N8" s="788" t="s">
        <v>209</v>
      </c>
    </row>
    <row r="9" spans="2:14" ht="15">
      <c r="B9" s="2" t="s">
        <v>65</v>
      </c>
      <c r="D9" s="78"/>
      <c r="E9" s="225"/>
      <c r="F9"/>
      <c r="G9" s="2"/>
      <c r="H9" s="159"/>
      <c r="I9" s="167"/>
      <c r="J9" s="91"/>
      <c r="K9" s="91"/>
      <c r="L9" s="169"/>
      <c r="M9" s="172"/>
      <c r="N9" s="789"/>
    </row>
    <row r="10" spans="2:14" ht="15.75" thickBot="1">
      <c r="B10" s="2" t="s">
        <v>65</v>
      </c>
      <c r="D10" s="78" t="s">
        <v>748</v>
      </c>
      <c r="E10" s="13"/>
      <c r="F10"/>
      <c r="G10" s="2"/>
      <c r="H10" s="163"/>
      <c r="I10" s="168" t="str">
        <f>"FY "&amp;FY</f>
        <v>FY </v>
      </c>
      <c r="J10" s="166" t="s">
        <v>206</v>
      </c>
      <c r="K10" s="166" t="s">
        <v>683</v>
      </c>
      <c r="L10" s="175" t="s">
        <v>640</v>
      </c>
      <c r="M10" s="176" t="s">
        <v>683</v>
      </c>
      <c r="N10" s="790"/>
    </row>
    <row r="11" spans="2:14" ht="15.75" thickTop="1">
      <c r="B11" s="2" t="s">
        <v>65</v>
      </c>
      <c r="D11" s="34"/>
      <c r="F11"/>
      <c r="G11" s="2"/>
      <c r="H11" s="157"/>
      <c r="I11" s="272"/>
      <c r="J11" s="273"/>
      <c r="K11" s="273"/>
      <c r="L11" s="275"/>
      <c r="M11" s="274"/>
      <c r="N11" s="276"/>
    </row>
    <row r="12" spans="2:14" ht="15">
      <c r="B12" s="2" t="s">
        <v>65</v>
      </c>
      <c r="D12" s="773"/>
      <c r="E12" s="773"/>
      <c r="F12"/>
      <c r="G12" s="2"/>
      <c r="H12" s="159"/>
      <c r="I12" s="277" t="s">
        <v>78</v>
      </c>
      <c r="J12" s="161" t="s">
        <v>79</v>
      </c>
      <c r="K12" s="161" t="s">
        <v>80</v>
      </c>
      <c r="L12" s="170" t="s">
        <v>81</v>
      </c>
      <c r="M12" s="278" t="s">
        <v>82</v>
      </c>
      <c r="N12" s="279" t="s">
        <v>83</v>
      </c>
    </row>
    <row r="13" spans="2:14" ht="15">
      <c r="B13" s="2" t="s">
        <v>65</v>
      </c>
      <c r="F13"/>
      <c r="G13" s="2"/>
      <c r="H13" s="159"/>
      <c r="I13" s="280"/>
      <c r="J13" s="91"/>
      <c r="K13" s="91"/>
      <c r="L13" s="167"/>
      <c r="M13" s="173"/>
      <c r="N13" s="160"/>
    </row>
    <row r="14" spans="2:14" ht="15">
      <c r="B14" s="2" t="s">
        <v>65</v>
      </c>
      <c r="F14"/>
      <c r="G14" s="2"/>
      <c r="H14" s="159" t="s">
        <v>128</v>
      </c>
      <c r="I14" s="281">
        <f>+E6</f>
        <v>1986595</v>
      </c>
      <c r="J14" s="282">
        <f>+Rates!F26</f>
        <v>2.25</v>
      </c>
      <c r="K14" s="282">
        <f>+Rates!G26</f>
        <v>2.5</v>
      </c>
      <c r="L14" s="171">
        <f>+J14*I14</f>
        <v>4469838.75</v>
      </c>
      <c r="M14" s="174">
        <f>+K14*I14</f>
        <v>4966487.5</v>
      </c>
      <c r="N14" s="283">
        <f>(K14-J14)/J14</f>
        <v>0.1111111111111111</v>
      </c>
    </row>
    <row r="15" spans="2:14" ht="15">
      <c r="B15" s="2" t="s">
        <v>65</v>
      </c>
      <c r="F15"/>
      <c r="G15" s="2"/>
      <c r="H15" s="159"/>
      <c r="I15" s="281"/>
      <c r="J15" s="91"/>
      <c r="K15" s="91"/>
      <c r="L15" s="171"/>
      <c r="M15" s="174"/>
      <c r="N15" s="162"/>
    </row>
    <row r="16" spans="2:14" ht="15.75" thickBot="1">
      <c r="B16" s="2" t="s">
        <v>65</v>
      </c>
      <c r="F16"/>
      <c r="G16" s="2"/>
      <c r="H16" s="163"/>
      <c r="I16" s="286"/>
      <c r="J16" s="288"/>
      <c r="K16" s="288"/>
      <c r="L16" s="289"/>
      <c r="M16" s="287"/>
      <c r="N16" s="285"/>
    </row>
    <row r="17" spans="2:14" ht="15.75" thickTop="1">
      <c r="B17" s="2" t="s">
        <v>65</v>
      </c>
      <c r="F17"/>
      <c r="G17" s="2"/>
      <c r="H17" s="290" t="s">
        <v>691</v>
      </c>
      <c r="I17" s="284"/>
      <c r="J17" s="284"/>
      <c r="K17" s="284"/>
      <c r="L17" s="284"/>
      <c r="M17" s="284"/>
      <c r="N17" s="158"/>
    </row>
    <row r="18" spans="2:14" ht="15.75" thickBot="1">
      <c r="B18" s="2" t="s">
        <v>65</v>
      </c>
      <c r="F18"/>
      <c r="G18" s="2"/>
      <c r="H18" s="163"/>
      <c r="I18" s="164"/>
      <c r="J18" s="164"/>
      <c r="K18" s="164"/>
      <c r="L18" s="164"/>
      <c r="M18" s="164"/>
      <c r="N18" s="165"/>
    </row>
    <row r="19" spans="2:7" ht="15.75" thickTop="1">
      <c r="B19" s="2" t="s">
        <v>65</v>
      </c>
      <c r="G19" s="2"/>
    </row>
    <row r="20" spans="2:7" ht="15">
      <c r="B20" s="2" t="s">
        <v>65</v>
      </c>
      <c r="G20" s="2"/>
    </row>
    <row r="21" spans="2:7" ht="15">
      <c r="B21" s="2" t="s">
        <v>65</v>
      </c>
      <c r="G21" s="2"/>
    </row>
    <row r="22" spans="2:7" ht="15">
      <c r="B22" s="2" t="s">
        <v>65</v>
      </c>
      <c r="D22" s="36"/>
      <c r="E22" s="36"/>
      <c r="G22" s="2"/>
    </row>
    <row r="23" spans="2:15" ht="15">
      <c r="B23" s="2" t="s">
        <v>65</v>
      </c>
      <c r="D23" s="21"/>
      <c r="E23" s="21"/>
      <c r="G23" s="2"/>
      <c r="O23" s="30"/>
    </row>
    <row r="24" spans="2:15" ht="15">
      <c r="B24" s="2" t="s">
        <v>65</v>
      </c>
      <c r="D24" s="36"/>
      <c r="E24" s="36"/>
      <c r="G24" s="2"/>
      <c r="O24" s="30"/>
    </row>
    <row r="25" spans="2:15" ht="15">
      <c r="B25" s="2" t="s">
        <v>65</v>
      </c>
      <c r="D25" s="81"/>
      <c r="E25" s="36"/>
      <c r="G25" s="2"/>
      <c r="O25" s="30"/>
    </row>
    <row r="26" spans="2:15" ht="15">
      <c r="B26" s="2" t="s">
        <v>65</v>
      </c>
      <c r="D26" s="36"/>
      <c r="E26" s="36"/>
      <c r="G26" s="2"/>
      <c r="O26" s="30"/>
    </row>
    <row r="27" spans="2:15" ht="15">
      <c r="B27" s="2" t="s">
        <v>65</v>
      </c>
      <c r="D27" s="36"/>
      <c r="E27" s="36"/>
      <c r="G27" s="2"/>
      <c r="O27" s="30"/>
    </row>
    <row r="28" spans="2:7" ht="15">
      <c r="B28" s="2" t="s">
        <v>65</v>
      </c>
      <c r="F28" s="36"/>
      <c r="G28" s="2"/>
    </row>
    <row r="29" spans="2:7" ht="15">
      <c r="B29" s="2" t="s">
        <v>65</v>
      </c>
      <c r="F29" s="21"/>
      <c r="G29" s="2"/>
    </row>
    <row r="30" spans="6:7" ht="15">
      <c r="F30" s="36"/>
      <c r="G30" s="2"/>
    </row>
    <row r="31" spans="6:7" ht="15">
      <c r="F31" s="36"/>
      <c r="G31" s="2"/>
    </row>
    <row r="32" spans="6:7" ht="15">
      <c r="F32" s="36"/>
      <c r="G32" s="2"/>
    </row>
    <row r="33" spans="6:7" ht="15">
      <c r="F33" s="36"/>
      <c r="G33" s="2"/>
    </row>
    <row r="34" ht="15">
      <c r="G34" s="2"/>
    </row>
    <row r="35" ht="15">
      <c r="G35" s="2"/>
    </row>
    <row r="36" ht="15">
      <c r="G36" s="2"/>
    </row>
    <row r="37" ht="15">
      <c r="G37" s="2"/>
    </row>
    <row r="38" ht="15">
      <c r="G38" s="2"/>
    </row>
    <row r="39" ht="15">
      <c r="G39" s="2"/>
    </row>
    <row r="40" ht="15">
      <c r="G40" s="2"/>
    </row>
    <row r="41" ht="15">
      <c r="G41" s="2"/>
    </row>
    <row r="42" ht="15">
      <c r="G42" s="2"/>
    </row>
    <row r="43" ht="15">
      <c r="G43" s="2"/>
    </row>
    <row r="44" ht="15">
      <c r="G44" s="2"/>
    </row>
    <row r="45" ht="15">
      <c r="G45" s="2"/>
    </row>
    <row r="46" ht="15">
      <c r="G46" s="2"/>
    </row>
    <row r="47" ht="15">
      <c r="G47" s="2"/>
    </row>
    <row r="48" ht="15">
      <c r="G48" s="2"/>
    </row>
    <row r="49" ht="15">
      <c r="G49" s="2"/>
    </row>
    <row r="50" ht="15">
      <c r="G50" s="2"/>
    </row>
    <row r="51" ht="15">
      <c r="G51" s="2"/>
    </row>
    <row r="52" ht="15">
      <c r="G52" s="2"/>
    </row>
    <row r="53" ht="15">
      <c r="G53" s="2"/>
    </row>
    <row r="54" ht="15">
      <c r="G54" s="2"/>
    </row>
    <row r="55" ht="15">
      <c r="G55" s="2"/>
    </row>
    <row r="286" spans="3:4" ht="15">
      <c r="C286" s="1" t="e">
        <f>('Special Handling'!K23+'Special Handling'!K28+'Special Handling'!K33+'Special Handling'!#REF!+'Special Handling'!#REF!)/1000</f>
        <v>#REF!</v>
      </c>
      <c r="D286" s="85"/>
    </row>
    <row r="287" spans="3:4" ht="15">
      <c r="C287" s="16" t="e">
        <f>('Special Handling'!K24+'Special Handling'!K29+'Special Handling'!K34+'Special Handling'!#REF!+'Special Handling'!K509)/1000</f>
        <v>#REF!</v>
      </c>
      <c r="D287" s="85"/>
    </row>
    <row r="288" ht="15">
      <c r="D288" s="85"/>
    </row>
  </sheetData>
  <mergeCells count="9">
    <mergeCell ref="J1:L1"/>
    <mergeCell ref="D3:E3"/>
    <mergeCell ref="D4:E4"/>
    <mergeCell ref="D12:E12"/>
    <mergeCell ref="H6:N6"/>
    <mergeCell ref="N8:N10"/>
    <mergeCell ref="H7:N7"/>
    <mergeCell ref="J8:K8"/>
    <mergeCell ref="L8:M8"/>
  </mergeCells>
  <printOptions horizontalCentered="1"/>
  <pageMargins left="0.25" right="0.25" top="0.5" bottom="0.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</dc:creator>
  <cp:keywords/>
  <dc:description/>
  <cp:lastModifiedBy>koettiep</cp:lastModifiedBy>
  <cp:lastPrinted>2009-02-10T18:57:51Z</cp:lastPrinted>
  <dcterms:created xsi:type="dcterms:W3CDTF">1999-11-16T19:50:49Z</dcterms:created>
  <dcterms:modified xsi:type="dcterms:W3CDTF">2009-02-10T19:39:47Z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