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030" tabRatio="714" firstSheet="2" activeTab="6"/>
  </bookViews>
  <sheets>
    <sheet name="Sch 1- Rate Base " sheetId="1" r:id="rId1"/>
    <sheet name="Sch 1A - Cash Working Capital" sheetId="2" r:id="rId2"/>
    <sheet name="Sch 2 -Weighted Cost of Capital" sheetId="3" r:id="rId3"/>
    <sheet name="Sch 3 - Expenses" sheetId="4" r:id="rId4"/>
    <sheet name="Sch 3A - Taxes" sheetId="5" r:id="rId5"/>
    <sheet name="Sch 3B - Other Items" sheetId="6" r:id="rId6"/>
    <sheet name="Average System Cost" sheetId="7" r:id="rId7"/>
    <sheet name="Salaries" sheetId="8" r:id="rId8"/>
    <sheet name="Ratios" sheetId="9" r:id="rId9"/>
  </sheets>
  <externalReferences>
    <externalReference r:id="rId12"/>
    <externalReference r:id="rId13"/>
  </externalReferences>
  <definedNames>
    <definedName name="_xlnm.Print_Area" localSheetId="6">'Average System Cost'!$A$1:$F$38</definedName>
    <definedName name="_xlnm.Print_Area" localSheetId="0">'Sch 1- Rate Base '!$A$2:$I$141</definedName>
    <definedName name="_xlnm.Print_Area" localSheetId="2">'Sch 2 -Weighted Cost of Capital'!$A$1:$E$30</definedName>
    <definedName name="_xlnm.Print_Area" localSheetId="4">'Sch 3A - Taxes'!$A$2:$I$123</definedName>
    <definedName name="_xlnm.Print_Area" localSheetId="5">'Sch 3B - Other Items'!$A$2:$I$33</definedName>
    <definedName name="_xlnm.Print_Titles" localSheetId="0">'Sch 1- Rate Base '!$2:$9</definedName>
    <definedName name="_xlnm.Print_Titles" localSheetId="3">'Sch 3 - Expenses'!$2:$9</definedName>
    <definedName name="_xlnm.Print_Titles" localSheetId="4">'Sch 3A - Taxes'!$2:$9</definedName>
    <definedName name="Ratio">'Ratios'!$F$76:$I$87</definedName>
  </definedNames>
  <calcPr fullCalcOnLoad="1"/>
</workbook>
</file>

<file path=xl/sharedStrings.xml><?xml version="1.0" encoding="utf-8"?>
<sst xmlns="http://schemas.openxmlformats.org/spreadsheetml/2006/main" count="1074" uniqueCount="442">
  <si>
    <t>Steam Production Plant</t>
  </si>
  <si>
    <t>Nuclear Production Plant</t>
  </si>
  <si>
    <t>DIR-D</t>
  </si>
  <si>
    <t>DIR-P</t>
  </si>
  <si>
    <t>DIR-T</t>
  </si>
  <si>
    <t>DIRECT</t>
  </si>
  <si>
    <t>GP</t>
  </si>
  <si>
    <t>General Plant</t>
  </si>
  <si>
    <t>GPM</t>
  </si>
  <si>
    <t>Maintenance of General Plant</t>
  </si>
  <si>
    <t>(1)</t>
  </si>
  <si>
    <t>(2)</t>
  </si>
  <si>
    <t>(3)</t>
  </si>
  <si>
    <t>(4)</t>
  </si>
  <si>
    <t>(5)</t>
  </si>
  <si>
    <t>(6)</t>
  </si>
  <si>
    <t>(7)</t>
  </si>
  <si>
    <t>LABOR</t>
  </si>
  <si>
    <t>Account</t>
  </si>
  <si>
    <t>Funct.</t>
  </si>
  <si>
    <t xml:space="preserve"> </t>
  </si>
  <si>
    <t>Distribution/</t>
  </si>
  <si>
    <t>PTD</t>
  </si>
  <si>
    <t xml:space="preserve"> Account Description</t>
  </si>
  <si>
    <t>Method</t>
  </si>
  <si>
    <t>Total</t>
  </si>
  <si>
    <t>Production</t>
  </si>
  <si>
    <t>Transmission</t>
  </si>
  <si>
    <t>Other</t>
  </si>
  <si>
    <t>PTDG</t>
  </si>
  <si>
    <t>TD</t>
  </si>
  <si>
    <t>Production Plant:</t>
  </si>
  <si>
    <t>Steam Production</t>
  </si>
  <si>
    <t>310-316</t>
  </si>
  <si>
    <t xml:space="preserve">Nuclear Production </t>
  </si>
  <si>
    <t>320-325</t>
  </si>
  <si>
    <t xml:space="preserve">Hydraulic Production  </t>
  </si>
  <si>
    <t>330-336</t>
  </si>
  <si>
    <t>Other Production</t>
  </si>
  <si>
    <t>340-346</t>
  </si>
  <si>
    <t>Total Production Plant</t>
  </si>
  <si>
    <t>350-359</t>
  </si>
  <si>
    <t>Total Transmission Plant</t>
  </si>
  <si>
    <t xml:space="preserve">Total Distribution Plant  </t>
  </si>
  <si>
    <t>360-373</t>
  </si>
  <si>
    <t>Intangible Plant</t>
  </si>
  <si>
    <t xml:space="preserve">General Plant:  </t>
  </si>
  <si>
    <t>Land and Land Rights</t>
  </si>
  <si>
    <t>Structures and Improvements</t>
  </si>
  <si>
    <t>Furniture and Equipment</t>
  </si>
  <si>
    <t>Transportation Equipment</t>
  </si>
  <si>
    <t>Stores Equipment</t>
  </si>
  <si>
    <t>Tools and Garage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</si>
  <si>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</si>
  <si>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</si>
  <si>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</si>
  <si>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</si>
  <si>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</si>
  <si>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>Total Electric Plant In-Service</t>
  </si>
  <si>
    <t>108</t>
  </si>
  <si>
    <t>Other Production Plant</t>
  </si>
  <si>
    <t>Distribution Plant</t>
  </si>
  <si>
    <t>Total Depreciation and Amortization</t>
  </si>
  <si>
    <t>106</t>
  </si>
  <si>
    <t>Distribution Plant:</t>
  </si>
  <si>
    <t>Intangible Plant:</t>
  </si>
  <si>
    <t>LESS:</t>
  </si>
  <si>
    <t>Depreciation Reserve</t>
  </si>
  <si>
    <t>Total Net Plant</t>
  </si>
  <si>
    <t>Nuclear Fuel</t>
  </si>
  <si>
    <t>Other Investment</t>
  </si>
  <si>
    <t>Total Rate Base</t>
  </si>
  <si>
    <t>Nuclear - Maintenance</t>
  </si>
  <si>
    <t>528-532</t>
  </si>
  <si>
    <t>535-540</t>
  </si>
  <si>
    <t>541-545</t>
  </si>
  <si>
    <t>Total Production Expense</t>
  </si>
  <si>
    <t>565</t>
  </si>
  <si>
    <t>Total Transmission Expense</t>
  </si>
  <si>
    <t>Distribution Expense:</t>
  </si>
  <si>
    <t>580-589</t>
  </si>
  <si>
    <t>590-598</t>
  </si>
  <si>
    <t>Total Distribution Expense</t>
  </si>
  <si>
    <t>Customer and Sales Expenses:</t>
  </si>
  <si>
    <t>901-905</t>
  </si>
  <si>
    <t>907-910</t>
  </si>
  <si>
    <t>911-916</t>
  </si>
  <si>
    <t>Total Customer and Sales Expenses</t>
  </si>
  <si>
    <t>Administration and General Expense:</t>
  </si>
  <si>
    <t>Rents</t>
  </si>
  <si>
    <t>Total Administration and General Expenses</t>
  </si>
  <si>
    <t>Total Operations and Maintenance</t>
  </si>
  <si>
    <t>Depreciation and Amortization:</t>
  </si>
  <si>
    <t>403</t>
  </si>
  <si>
    <t>Other Included Items:</t>
  </si>
  <si>
    <t>411.7</t>
  </si>
  <si>
    <t>Other Revenues:</t>
  </si>
  <si>
    <t>451</t>
  </si>
  <si>
    <t>453</t>
  </si>
  <si>
    <t>454</t>
  </si>
  <si>
    <t>456</t>
  </si>
  <si>
    <t>Total Other Revenues</t>
  </si>
  <si>
    <t>Total Other Included Items</t>
  </si>
  <si>
    <t>Total Operating Expenses</t>
  </si>
  <si>
    <t>Total Cost</t>
  </si>
  <si>
    <t>BPA REP Reversal</t>
  </si>
  <si>
    <t>Component</t>
  </si>
  <si>
    <t>BONNEVILLE POWER ADMINISTRATION</t>
  </si>
  <si>
    <t>Stores Expense Undistributed</t>
  </si>
  <si>
    <t>RESIDENTIAL PURCHASE AND SALE AGREEMENT</t>
  </si>
  <si>
    <t>Weighted</t>
  </si>
  <si>
    <t>Debt</t>
  </si>
  <si>
    <t>Preferred Equity</t>
  </si>
  <si>
    <t>Common Equity</t>
  </si>
  <si>
    <t>Step 2: Gross Up Equity Return for Federal Income Taxes</t>
  </si>
  <si>
    <t>Total Rate Base from Schedule 1</t>
  </si>
  <si>
    <t>Federal Income Tax Adjusted Weighted Cost of Capital</t>
  </si>
  <si>
    <t>Sale for Resale:</t>
  </si>
  <si>
    <t>Sales for Resale</t>
  </si>
  <si>
    <t>Total Sales for Resale</t>
  </si>
  <si>
    <t>Schedule 4: Average System Cost</t>
  </si>
  <si>
    <t>(Total Disposition of Plant + Total Sales for Resale + Total Other Revenue)</t>
  </si>
  <si>
    <t>(From Schedule 3)</t>
  </si>
  <si>
    <t>page number</t>
  </si>
  <si>
    <t>200-201</t>
  </si>
  <si>
    <t>204-207</t>
  </si>
  <si>
    <t>Acquisition Adjustments (Electric)</t>
  </si>
  <si>
    <t>320-323</t>
  </si>
  <si>
    <t>Total Liabilities and Other Credits</t>
  </si>
  <si>
    <t>Total Assets and Other Debits</t>
  </si>
  <si>
    <t xml:space="preserve">Liabilities and Other Credits (Comparative Balance Sheet) </t>
  </si>
  <si>
    <t>Assets and Other Debits (Comparative Balance Sheet)</t>
  </si>
  <si>
    <t>Total Disposition of Plant</t>
  </si>
  <si>
    <t>UTILITY PLANT</t>
  </si>
  <si>
    <t>OTHER PROPERTY AND INVESTMENTS</t>
  </si>
  <si>
    <t>CURRENT AND ACCRUED ASSETS</t>
  </si>
  <si>
    <t>DEFERRED DEBITS</t>
  </si>
  <si>
    <t>(Utility Plant) Completed Construction - Not Classified</t>
  </si>
  <si>
    <t>110-111</t>
  </si>
  <si>
    <t>(Utility Plant) In Service (Classified) COMMON</t>
  </si>
  <si>
    <t>Plant Materials and Operating Supplies</t>
  </si>
  <si>
    <t>Other Materials and Supplies</t>
  </si>
  <si>
    <t>Construction Work in Progress (CWIP)</t>
  </si>
  <si>
    <t>112-113</t>
  </si>
  <si>
    <t>Schedule 3: Expenses</t>
  </si>
  <si>
    <t>(Total Net Plant + Debits - Credits)</t>
  </si>
  <si>
    <t xml:space="preserve"> (Total Electric Plant In-Service) - (Total Depreciation &amp; Amortization)</t>
  </si>
  <si>
    <t>Nuclear - Fuel</t>
  </si>
  <si>
    <t>Hydraulic - Operation</t>
  </si>
  <si>
    <t>Hydraulic - Maintenance</t>
  </si>
  <si>
    <t>Other Power - Fuel</t>
  </si>
  <si>
    <t>500-509</t>
  </si>
  <si>
    <t>517-525</t>
  </si>
  <si>
    <t>546-550</t>
  </si>
  <si>
    <t>551-554</t>
  </si>
  <si>
    <t>Other Power Supply Expenses</t>
  </si>
  <si>
    <t>System Control and Load Dispatching</t>
  </si>
  <si>
    <t>Power Production Expenses:</t>
  </si>
  <si>
    <t>Steam Power Generation</t>
  </si>
  <si>
    <t>Nuclear Power Generation</t>
  </si>
  <si>
    <t>Hydraulic Power Generation</t>
  </si>
  <si>
    <t>Other Power Generation</t>
  </si>
  <si>
    <t>Total Operations less Wheeling</t>
  </si>
  <si>
    <t>Total Maintenance</t>
  </si>
  <si>
    <t>Total Operations</t>
  </si>
  <si>
    <t>Total Customer Accounts</t>
  </si>
  <si>
    <t>Total Customer Service and Information</t>
  </si>
  <si>
    <t>Total Sales</t>
  </si>
  <si>
    <t>Injuries and Damages</t>
  </si>
  <si>
    <t>Employee Pensions &amp; Benefits</t>
  </si>
  <si>
    <t>Franchise Requirements</t>
  </si>
  <si>
    <t>Miscellaneous General Expenses</t>
  </si>
  <si>
    <t>Regulatory Commission Expenses</t>
  </si>
  <si>
    <t>(Less) Gain from Disposition of Utility Plant</t>
  </si>
  <si>
    <t>(Total Expenses: Production + Transmission + Distribution + Customer and Sales +Total Administration and General Expenses)</t>
  </si>
  <si>
    <t>568-573</t>
  </si>
  <si>
    <t>560-567</t>
  </si>
  <si>
    <t xml:space="preserve">Hydraulic Production Plant - Conventional </t>
  </si>
  <si>
    <t>Hydraulic Production Plant - Pumped Storage</t>
  </si>
  <si>
    <t>Common Plant - Electric</t>
  </si>
  <si>
    <t>(Utility Plant) Held For Future Use</t>
  </si>
  <si>
    <t>CURRENT AND ACCRUED LIABILITIES</t>
  </si>
  <si>
    <t>DEFERRED CREDITS</t>
  </si>
  <si>
    <t>Fuel Stock</t>
  </si>
  <si>
    <t>Transmission of Electricity to Others (Wheeling)</t>
  </si>
  <si>
    <t>Operation</t>
  </si>
  <si>
    <t>Maintenance</t>
  </si>
  <si>
    <t>Total Intangible Plant</t>
  </si>
  <si>
    <t>(Total Intangible + Total Production + Total Transmission + Total Distribution + Total General)</t>
  </si>
  <si>
    <t>Amortization Reserve</t>
  </si>
  <si>
    <t>Amount</t>
  </si>
  <si>
    <t>Asset Retirement Costs for General Plant</t>
  </si>
  <si>
    <t>204-208</t>
  </si>
  <si>
    <t>Investment in Associated Companies</t>
  </si>
  <si>
    <t>Other Preliminary Survey and Investigation Charges</t>
  </si>
  <si>
    <t xml:space="preserve">Production </t>
  </si>
  <si>
    <t>Total Retail Load</t>
  </si>
  <si>
    <t>(Less) New Large Single Load</t>
  </si>
  <si>
    <t>Average System Cost $/MWh</t>
  </si>
  <si>
    <t>Form 1</t>
  </si>
  <si>
    <t>Step 1: Weighted Cost of Capital from Most Recent State Commission Rate Order</t>
  </si>
  <si>
    <t xml:space="preserve">Schedule 1: Plant Investment / Rate Base </t>
  </si>
  <si>
    <t xml:space="preserve">Hydraulic Production Plant </t>
  </si>
  <si>
    <t>Accum Prov for Depr, Amort, &amp; Depl (In-Service: Deprc Cmmn Plt)  (a)</t>
  </si>
  <si>
    <t>Accum Prov for Depr, Amort, &amp; Depl (Amort of Other Utl Plt: Electric) (a)</t>
  </si>
  <si>
    <t>Forfeited Discounts</t>
  </si>
  <si>
    <t>Other Electric Revenues</t>
  </si>
  <si>
    <t>Interdepartmental Rents</t>
  </si>
  <si>
    <t>Rent from Electric Property</t>
  </si>
  <si>
    <t>Sales of Water and Water Power</t>
  </si>
  <si>
    <t>Miscellaneous Service Revenues</t>
  </si>
  <si>
    <t>Loss from Disposition of Utility Plant</t>
  </si>
  <si>
    <t>Calculation</t>
  </si>
  <si>
    <t xml:space="preserve">Intangible Plant - Organization  </t>
  </si>
  <si>
    <t xml:space="preserve">Intangible Plant - Franchises and Consents  </t>
  </si>
  <si>
    <t xml:space="preserve">Intangible Plant - Miscellaneous  </t>
  </si>
  <si>
    <t>Schedule 3A Items: Taxes (Including Income Taxes)</t>
  </si>
  <si>
    <t>FEDERAL</t>
  </si>
  <si>
    <t>-</t>
  </si>
  <si>
    <t>Employment Tax</t>
  </si>
  <si>
    <t>Other Federal Taxes</t>
  </si>
  <si>
    <t>Property</t>
  </si>
  <si>
    <t>Municipal</t>
  </si>
  <si>
    <t>Other State Taxes</t>
  </si>
  <si>
    <t>Other Taxes</t>
  </si>
  <si>
    <t>State of Idaho:</t>
  </si>
  <si>
    <t>Income</t>
  </si>
  <si>
    <t>KWH</t>
  </si>
  <si>
    <t>Unemployment</t>
  </si>
  <si>
    <t>Regulatory Commission</t>
  </si>
  <si>
    <t>Business License - Sho Ban</t>
  </si>
  <si>
    <t xml:space="preserve">    Subtotal Idaho</t>
  </si>
  <si>
    <t>State of Oregon</t>
  </si>
  <si>
    <t>Franchise</t>
  </si>
  <si>
    <t xml:space="preserve">    Subtotal Oregon</t>
  </si>
  <si>
    <t>State of Montana:</t>
  </si>
  <si>
    <t xml:space="preserve">    Subtotal Montana</t>
  </si>
  <si>
    <t>State of Nevada:</t>
  </si>
  <si>
    <t>Business Tax</t>
  </si>
  <si>
    <t xml:space="preserve">    Subtotal Nevada</t>
  </si>
  <si>
    <t>State of Wyoming</t>
  </si>
  <si>
    <t>Corporate License</t>
  </si>
  <si>
    <t xml:space="preserve">    Subtotal Wyoming</t>
  </si>
  <si>
    <t>Cash Working Capital Calculation:</t>
  </si>
  <si>
    <t>Total Production O&amp;M</t>
  </si>
  <si>
    <t>Total Administrative and General O&amp;M</t>
  </si>
  <si>
    <t>Allowable Functionalized Cash Working Capital</t>
  </si>
  <si>
    <t xml:space="preserve">Revised Total O&amp;M Expenses </t>
  </si>
  <si>
    <t xml:space="preserve">   Less Purchased Power and Fuel Costs</t>
  </si>
  <si>
    <t xml:space="preserve">One-Eighth Revised Total O&amp;M Expenses </t>
  </si>
  <si>
    <t xml:space="preserve">Schedule 3B Other Included Items </t>
  </si>
  <si>
    <t>(From Schedule 3a)</t>
  </si>
  <si>
    <t>Leasehold Improvements</t>
  </si>
  <si>
    <t>Administration and General Salaries</t>
  </si>
  <si>
    <t>Office Supplies &amp; Expenses</t>
  </si>
  <si>
    <t>(Less) Administration Expenses Transferred - Credit</t>
  </si>
  <si>
    <t>Outside Services Employed</t>
  </si>
  <si>
    <t>Property Insurance</t>
  </si>
  <si>
    <t>(Less) Duplicate Charges - Credit</t>
  </si>
  <si>
    <t>General Advertising Expenses</t>
  </si>
  <si>
    <t xml:space="preserve">Long-Term Portion of Derivative Assets </t>
  </si>
  <si>
    <t xml:space="preserve">Fuel Stock Expenses Undistributed </t>
  </si>
  <si>
    <t xml:space="preserve">Prepayments </t>
  </si>
  <si>
    <t xml:space="preserve">Derivative Instrument Assets </t>
  </si>
  <si>
    <t xml:space="preserve">Unamortized Debt Expenses </t>
  </si>
  <si>
    <t xml:space="preserve">Extraordinary Property Losses </t>
  </si>
  <si>
    <t xml:space="preserve">Unrecovered Plant and Regulatory Study Costs </t>
  </si>
  <si>
    <t xml:space="preserve">Other Regulatory Assets </t>
  </si>
  <si>
    <t xml:space="preserve">Prelim. Survey and Investigation Charges (Electric) </t>
  </si>
  <si>
    <t xml:space="preserve">Preliminary Natural Gas Survey and Investigation Charges </t>
  </si>
  <si>
    <t xml:space="preserve">Clearing Accounts </t>
  </si>
  <si>
    <t xml:space="preserve">Temporary Facilities </t>
  </si>
  <si>
    <t xml:space="preserve">Miscellaneous Deferred Debits </t>
  </si>
  <si>
    <t xml:space="preserve">Deferred Losses from Disposition of Utility Plant </t>
  </si>
  <si>
    <t xml:space="preserve">Research, Development, and Demonstration Expenditures </t>
  </si>
  <si>
    <t xml:space="preserve">Unamortized Loss on Reacquired Debt </t>
  </si>
  <si>
    <t xml:space="preserve">Accumulated Deferred Income Taxes </t>
  </si>
  <si>
    <t>Derivative Instrument Liabilities &amp; Hedges</t>
  </si>
  <si>
    <t>244 - 245</t>
  </si>
  <si>
    <t xml:space="preserve">Customer Advances for Construction </t>
  </si>
  <si>
    <t xml:space="preserve">Accumulated Deferred Investment Tax Credits </t>
  </si>
  <si>
    <t xml:space="preserve">Deferred Gains from Disposition of Utility Plant </t>
  </si>
  <si>
    <t xml:space="preserve">Other Deferred Credits </t>
  </si>
  <si>
    <t xml:space="preserve">Other Regulatory Liabilities </t>
  </si>
  <si>
    <t xml:space="preserve">Unamortized Gain on Reacquired Debt </t>
  </si>
  <si>
    <t>2008 Average System Cost Methodology</t>
  </si>
  <si>
    <t xml:space="preserve">Amortization of Intangible Plant </t>
  </si>
  <si>
    <t>Amortization of Plant Held for Future Use</t>
  </si>
  <si>
    <t xml:space="preserve">Capital Lease - Common Plant </t>
  </si>
  <si>
    <t>Amortization of Plant Acquisition Adjustments  (Electric)</t>
  </si>
  <si>
    <t>Accumulated Deferred Income Taxes-Accel. Amort.</t>
  </si>
  <si>
    <t xml:space="preserve">Accumulated Deferred Income Taxes-Property </t>
  </si>
  <si>
    <t xml:space="preserve">Accumulated Deferred Income Taxes-Other </t>
  </si>
  <si>
    <t>Federal Income Tax Rate   (Currently 35%)</t>
  </si>
  <si>
    <t>(Total Rate Base * Federal Income Tax Adjusted Weighted Cost of Capital)</t>
  </si>
  <si>
    <t>(Total O&amp;M - Total Depreciation &amp; Amortization)</t>
  </si>
  <si>
    <t>Income Tax (Included on Schedule 2)</t>
  </si>
  <si>
    <t>State of Arizona:</t>
  </si>
  <si>
    <t xml:space="preserve">    Subtotal California</t>
  </si>
  <si>
    <t>State of California</t>
  </si>
  <si>
    <t>Franchise-Income</t>
  </si>
  <si>
    <t>Use</t>
  </si>
  <si>
    <t>Local Franchise</t>
  </si>
  <si>
    <t>State of Colorado</t>
  </si>
  <si>
    <t xml:space="preserve">    Subtotal Colorado</t>
  </si>
  <si>
    <t>Wholesale Energy</t>
  </si>
  <si>
    <t>State of New Mexico</t>
  </si>
  <si>
    <t xml:space="preserve">    Subtotal New Mexico</t>
  </si>
  <si>
    <t>Wilsonville Payroll</t>
  </si>
  <si>
    <t>Excise-Income</t>
  </si>
  <si>
    <t>City of Portland Income</t>
  </si>
  <si>
    <t>Office of Energy</t>
  </si>
  <si>
    <t>Tri-Met</t>
  </si>
  <si>
    <t>Lane County</t>
  </si>
  <si>
    <t>State of Texas</t>
  </si>
  <si>
    <t xml:space="preserve">    Subtotal Texas</t>
  </si>
  <si>
    <t>State of Washington</t>
  </si>
  <si>
    <t>Total Washington</t>
  </si>
  <si>
    <t>State of Utah:</t>
  </si>
  <si>
    <t xml:space="preserve">    Subtotal Utah</t>
  </si>
  <si>
    <t>Navajo Nation</t>
  </si>
  <si>
    <t>Business &amp; Occupation</t>
  </si>
  <si>
    <t>Public Utility</t>
  </si>
  <si>
    <t>Retailing</t>
  </si>
  <si>
    <t>Land Tax</t>
  </si>
  <si>
    <t>Other Payroll Taxes</t>
  </si>
  <si>
    <t>Annual Report</t>
  </si>
  <si>
    <t>Other States</t>
  </si>
  <si>
    <t>Total Other States</t>
  </si>
  <si>
    <t>TOTAL STATE AND OTHER TAXES</t>
  </si>
  <si>
    <t>TOTAL FEDERAL</t>
  </si>
  <si>
    <t>STATE AND OTHER</t>
  </si>
  <si>
    <t>State and Other Taxes</t>
  </si>
  <si>
    <t>(Total Operating Expenses + Return on Rate Base + State and Other Taxes  - Total Other Included Items)</t>
  </si>
  <si>
    <t>Corporate License - Income</t>
  </si>
  <si>
    <t>Energy License</t>
  </si>
  <si>
    <t>Gross Receipts</t>
  </si>
  <si>
    <t>Numbers</t>
  </si>
  <si>
    <t>Mining Plant Depreciation</t>
  </si>
  <si>
    <t>(From Schedule 2)</t>
  </si>
  <si>
    <t>175-176</t>
  </si>
  <si>
    <t>Long-Term Derivative Instrument Liabilities &amp; Hedges</t>
  </si>
  <si>
    <t>EPA Allowances</t>
  </si>
  <si>
    <t>110-112</t>
  </si>
  <si>
    <t>158.1 - 158.2</t>
  </si>
  <si>
    <t xml:space="preserve">Other Tangible Property </t>
  </si>
  <si>
    <t>120.1-120.6</t>
  </si>
  <si>
    <t>107 &amp; 120.1</t>
  </si>
  <si>
    <t>155 - 156</t>
  </si>
  <si>
    <t>Steam Power - Fuel</t>
  </si>
  <si>
    <t>Steam Power - Operations  (Excluding 501 - Fuel)</t>
  </si>
  <si>
    <t>Steam Power - Maintenance</t>
  </si>
  <si>
    <t>510-515</t>
  </si>
  <si>
    <t>Other Power - Operations (Excluding 547 - Fuel)</t>
  </si>
  <si>
    <t>Nuclear - Operation ( Excluding 518 -  Fuel)</t>
  </si>
  <si>
    <t>Other Power - Maintenance</t>
  </si>
  <si>
    <t>Purchased Power (Excluding REP Reversal)</t>
  </si>
  <si>
    <t>Other Expenses</t>
  </si>
  <si>
    <t>320-324</t>
  </si>
  <si>
    <t>Transportation Expenses (Non Major)</t>
  </si>
  <si>
    <t>Federal Income Tax Factor</t>
  </si>
  <si>
    <t>(Weighted Cost of Capital Plus Federal Income Tax Factor)</t>
  </si>
  <si>
    <t>Step 3: Calculate Return on Rate Base</t>
  </si>
  <si>
    <t xml:space="preserve">Transmission Plant  </t>
  </si>
  <si>
    <t xml:space="preserve">Distribution Plant  </t>
  </si>
  <si>
    <t>Federal Income Tax Adjusted Return on Rate Base</t>
  </si>
  <si>
    <t>Transmission Plant: (i)</t>
  </si>
  <si>
    <t>Transmission Plant (i)</t>
  </si>
  <si>
    <t>Cash Working Capital  (f)</t>
  </si>
  <si>
    <t>Schedule 1A: Cash Working Capital  (f)</t>
  </si>
  <si>
    <t>Total Transmission O&amp;M (i)</t>
  </si>
  <si>
    <t>Schedule 2: Capital Structure and Rate of Return (b)</t>
  </si>
  <si>
    <t>Transmission Expenses: (i)</t>
  </si>
  <si>
    <t>Public Purpose Charges (h)</t>
  </si>
  <si>
    <t>Revenues from Transmission of Electricity of Others (i)</t>
  </si>
  <si>
    <t>(From Schedule 3b)</t>
  </si>
  <si>
    <t>Contract System Cost</t>
  </si>
  <si>
    <t>Total Contract System Cost</t>
  </si>
  <si>
    <t>Contract System Load (MWh)</t>
  </si>
  <si>
    <t xml:space="preserve">Total Contract System Load </t>
  </si>
  <si>
    <t>(Less)  New Large Single Load Costs (d)</t>
  </si>
  <si>
    <t>Total Retail Load (Net of NLSL) (d)</t>
  </si>
  <si>
    <t>Distribution Loss (f)</t>
  </si>
  <si>
    <t>Production (Enter Total of lines 3 and 13)</t>
  </si>
  <si>
    <t>Transmission (Enter Total of lines 4 and 14)</t>
  </si>
  <si>
    <t>Distribution (Enter Total of lines 6 and 16)</t>
  </si>
  <si>
    <t>Customer Accounts (Transcribe from line 7)</t>
  </si>
  <si>
    <t>Customer Service and Informational (Transcribe from line 8)</t>
  </si>
  <si>
    <t>Sales (Transcribe from line 9)</t>
  </si>
  <si>
    <t>Administrative and General (Enter Total of lines 10 and 17)</t>
  </si>
  <si>
    <t>TOTAL Oper. and Maint. (Total of lines 20 thru 27)</t>
  </si>
  <si>
    <t>Electric</t>
  </si>
  <si>
    <t>Distribution</t>
  </si>
  <si>
    <t>Customer Accounts</t>
  </si>
  <si>
    <t>Customer Service and Informational</t>
  </si>
  <si>
    <t>Sales</t>
  </si>
  <si>
    <t>Administrative and General</t>
  </si>
  <si>
    <t>TOTAL Operation (Enter Total of lines 3 thru 10)</t>
  </si>
  <si>
    <t>TOTAL Maintenance (Total of lines 13 thru 17)</t>
  </si>
  <si>
    <t>Total Operation and Maintenance</t>
  </si>
  <si>
    <t>Regional Market</t>
  </si>
  <si>
    <t>Regional Market  (Enter Total of lines 5 and 15)</t>
  </si>
  <si>
    <t>Labor Ratio Input:</t>
  </si>
  <si>
    <t>Administrative &amp; General</t>
  </si>
  <si>
    <t>Total Labor</t>
  </si>
  <si>
    <t>Total Distribution O&amp;M</t>
  </si>
  <si>
    <t>Ratio Used</t>
  </si>
  <si>
    <t xml:space="preserve">       TOTAL </t>
  </si>
  <si>
    <t>RATIO  (GP)</t>
  </si>
  <si>
    <t>Production, Transmission, Distribution</t>
  </si>
  <si>
    <t>Transmission Plant</t>
  </si>
  <si>
    <t>RATIO  (PTD = PLANT IN SERVICE)</t>
  </si>
  <si>
    <t>Production, Transmission, Distribution and General Plant</t>
  </si>
  <si>
    <t xml:space="preserve">    PTD Total</t>
  </si>
  <si>
    <t>Intangible Plant - Organization</t>
  </si>
  <si>
    <t>Intangible Plant - Franchises and Consents</t>
  </si>
  <si>
    <t>GP  Total</t>
  </si>
  <si>
    <t>RATIO  (PTDG = GROSS PLANT)</t>
  </si>
  <si>
    <t>Transmission, Distribution</t>
  </si>
  <si>
    <t>RATIO  (TD)</t>
  </si>
  <si>
    <t>TDG</t>
  </si>
  <si>
    <t>Transmission, Distribution and General Plant</t>
  </si>
  <si>
    <t>Intangible Plant - Organization T and D Only</t>
  </si>
  <si>
    <t>Intangible Plant - Franchises and Consents T and D Only</t>
  </si>
  <si>
    <t>Intangible Plant - Miscellaneous T and D Only</t>
  </si>
  <si>
    <t>General Plant Total  389-399(T&amp;D Only)</t>
  </si>
  <si>
    <t>RATIO  (TDG)</t>
  </si>
  <si>
    <t>RATIO  (GPM)</t>
  </si>
  <si>
    <t>Labor Ratios</t>
  </si>
  <si>
    <t>Conservation Fuctionalization</t>
  </si>
  <si>
    <t>Dir-C</t>
  </si>
  <si>
    <t>Direct to Distribution</t>
  </si>
  <si>
    <t>Direct to Production</t>
  </si>
  <si>
    <t>Direct to Transmission</t>
  </si>
  <si>
    <t>Direct Allocation</t>
  </si>
  <si>
    <t>Production, Transmission, Distribution, General</t>
  </si>
  <si>
    <t>Embedded</t>
  </si>
  <si>
    <t>Effective Cost</t>
  </si>
  <si>
    <t>Capitalization Structure</t>
  </si>
  <si>
    <t>Percent</t>
  </si>
  <si>
    <t>{(ROR – (Embedded Cost of Debt * (Debt / (Total Capital))} * {(Federal Tax Rate / (1- Federal Tax Rate)}</t>
  </si>
  <si>
    <t>Total Customer &amp; Sales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</si>
</sst>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d\ mmm\ yy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00%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000000000000%"/>
    <numFmt numFmtId="175" formatCode="0_);\(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_);[Red]\(#,##0.0\)"/>
    <numFmt numFmtId="187" formatCode="[$-409]dddd\,\ mmmm\ dd\,\ yyyy"/>
    <numFmt numFmtId="188" formatCode="[$-409]d\-mmm\-yy;@"/>
    <numFmt numFmtId="189" formatCode="&quot;$&quot;#,##0"/>
    <numFmt numFmtId="190" formatCode="0.0000%"/>
    <numFmt numFmtId="191" formatCode="0.00000%"/>
    <numFmt numFmtId="192" formatCode="0.000000%"/>
    <numFmt numFmtId="193" formatCode="0.000000"/>
  </numFmts>
  <fonts count="44">
    <font>
      <sz val="12"/>
      <name val="Times New Roman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i/>
      <u val="single"/>
      <sz val="8"/>
      <name val="Times New Roman"/>
      <family val="1"/>
    </font>
    <font>
      <sz val="8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8"/>
      <color indexed="12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i/>
      <u val="single"/>
      <sz val="10"/>
      <color indexed="48"/>
      <name val="Times New Roman"/>
      <family val="1"/>
    </font>
    <font>
      <sz val="10"/>
      <color indexed="48"/>
      <name val="Arial"/>
      <family val="2"/>
    </font>
    <font>
      <b/>
      <sz val="10"/>
      <name val="Garamond"/>
      <family val="1"/>
    </font>
    <font>
      <b/>
      <sz val="10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22" applyFont="1" applyBorder="1" applyAlignment="1" applyProtection="1">
      <alignment horizontal="centerContinuous"/>
      <protection/>
    </xf>
    <xf numFmtId="0" fontId="7" fillId="0" borderId="0" xfId="22" applyFont="1" applyFill="1" applyBorder="1" applyAlignment="1" applyProtection="1">
      <alignment horizontal="centerContinuous"/>
      <protection/>
    </xf>
    <xf numFmtId="0" fontId="8" fillId="0" borderId="0" xfId="22" applyFont="1" applyFill="1" applyBorder="1" applyAlignment="1" applyProtection="1">
      <alignment horizontal="centerContinuous"/>
      <protection/>
    </xf>
    <xf numFmtId="38" fontId="9" fillId="0" borderId="0" xfId="22" applyNumberFormat="1" applyFont="1" applyFill="1" applyBorder="1" applyAlignment="1" applyProtection="1">
      <alignment horizontal="centerContinuous"/>
      <protection/>
    </xf>
    <xf numFmtId="38" fontId="7" fillId="0" borderId="0" xfId="22" applyNumberFormat="1" applyFont="1" applyFill="1" applyBorder="1" applyAlignment="1" applyProtection="1">
      <alignment horizontal="centerContinuous"/>
      <protection/>
    </xf>
    <xf numFmtId="0" fontId="10" fillId="0" borderId="0" xfId="22" applyFont="1" applyBorder="1" applyAlignment="1" applyProtection="1">
      <alignment horizontal="centerContinuous"/>
      <protection/>
    </xf>
    <xf numFmtId="0" fontId="2" fillId="0" borderId="0" xfId="22" applyFont="1" applyBorder="1" applyAlignment="1" applyProtection="1">
      <alignment horizontal="centerContinuous"/>
      <protection/>
    </xf>
    <xf numFmtId="0" fontId="2" fillId="0" borderId="0" xfId="22" applyFont="1" applyFill="1" applyBorder="1" applyAlignment="1" applyProtection="1">
      <alignment horizontal="centerContinuous"/>
      <protection/>
    </xf>
    <xf numFmtId="0" fontId="11" fillId="0" borderId="0" xfId="22" applyFont="1" applyFill="1" applyBorder="1" applyAlignment="1" applyProtection="1">
      <alignment horizontal="centerContinuous"/>
      <protection/>
    </xf>
    <xf numFmtId="38" fontId="12" fillId="0" borderId="0" xfId="22" applyNumberFormat="1" applyFont="1" applyFill="1" applyBorder="1" applyAlignment="1" applyProtection="1">
      <alignment horizontal="centerContinuous"/>
      <protection/>
    </xf>
    <xf numFmtId="38" fontId="6" fillId="0" borderId="0" xfId="22" applyNumberFormat="1" applyFont="1" applyFill="1" applyBorder="1" applyAlignment="1" applyProtection="1">
      <alignment horizontal="centerContinuous"/>
      <protection/>
    </xf>
    <xf numFmtId="0" fontId="7" fillId="0" borderId="0" xfId="0" applyFont="1" applyBorder="1" applyAlignment="1">
      <alignment/>
    </xf>
    <xf numFmtId="0" fontId="6" fillId="0" borderId="0" xfId="24" applyFont="1" applyAlignment="1" quotePrefix="1">
      <alignment horizontal="center"/>
      <protection/>
    </xf>
    <xf numFmtId="0" fontId="0" fillId="0" borderId="0" xfId="0" applyFont="1" applyAlignment="1">
      <alignment/>
    </xf>
    <xf numFmtId="0" fontId="2" fillId="0" borderId="0" xfId="22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6" fillId="0" borderId="0" xfId="22" applyFont="1" applyFill="1" applyBorder="1" applyAlignment="1" applyProtection="1">
      <alignment horizontal="center"/>
      <protection locked="0"/>
    </xf>
    <xf numFmtId="0" fontId="13" fillId="0" borderId="0" xfId="22" applyFont="1" applyFill="1" applyBorder="1" applyAlignment="1" applyProtection="1">
      <alignment horizontal="center"/>
      <protection/>
    </xf>
    <xf numFmtId="38" fontId="13" fillId="0" borderId="0" xfId="2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24" applyFont="1" applyAlignment="1">
      <alignment horizontal="center"/>
      <protection/>
    </xf>
    <xf numFmtId="0" fontId="0" fillId="0" borderId="0" xfId="22" applyFont="1" applyBorder="1" applyAlignment="1" applyProtection="1">
      <alignment horizontal="centerContinuous"/>
      <protection/>
    </xf>
    <xf numFmtId="0" fontId="0" fillId="0" borderId="0" xfId="22" applyFont="1" applyFill="1" applyBorder="1" applyAlignment="1" applyProtection="1">
      <alignment horizontal="centerContinuous"/>
      <protection/>
    </xf>
    <xf numFmtId="9" fontId="14" fillId="0" borderId="0" xfId="24" applyNumberFormat="1" applyFont="1" applyBorder="1" applyAlignment="1">
      <alignment horizontal="center"/>
      <protection/>
    </xf>
    <xf numFmtId="0" fontId="7" fillId="0" borderId="0" xfId="22" applyFont="1" applyFill="1" applyBorder="1" applyAlignment="1" applyProtection="1">
      <alignment horizontal="left"/>
      <protection/>
    </xf>
    <xf numFmtId="0" fontId="14" fillId="0" borderId="0" xfId="22" applyFont="1" applyFill="1" applyBorder="1" applyProtection="1">
      <alignment/>
      <protection locked="0"/>
    </xf>
    <xf numFmtId="0" fontId="0" fillId="0" borderId="0" xfId="22" applyFont="1" applyFill="1" applyBorder="1" applyAlignment="1">
      <alignment horizontal="center"/>
      <protection/>
    </xf>
    <xf numFmtId="0" fontId="6" fillId="0" borderId="0" xfId="22" applyFont="1" applyBorder="1">
      <alignment/>
      <protection/>
    </xf>
    <xf numFmtId="0" fontId="15" fillId="0" borderId="0" xfId="0" applyFont="1" applyBorder="1" applyAlignment="1">
      <alignment horizontal="center"/>
    </xf>
    <xf numFmtId="0" fontId="16" fillId="0" borderId="0" xfId="22" applyFont="1" applyFill="1" applyBorder="1" applyAlignment="1" applyProtection="1">
      <alignment horizontal="right"/>
      <protection/>
    </xf>
    <xf numFmtId="0" fontId="16" fillId="0" borderId="0" xfId="22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38" fontId="7" fillId="0" borderId="0" xfId="22" applyNumberFormat="1" applyFont="1" applyBorder="1" applyAlignment="1">
      <alignment horizontal="centerContinuous"/>
      <protection/>
    </xf>
    <xf numFmtId="38" fontId="8" fillId="0" borderId="0" xfId="22" applyNumberFormat="1" applyFont="1" applyFill="1" applyBorder="1" applyAlignment="1" applyProtection="1">
      <alignment horizontal="centerContinuous"/>
      <protection/>
    </xf>
    <xf numFmtId="38" fontId="6" fillId="0" borderId="0" xfId="22" applyNumberFormat="1" applyFont="1" applyBorder="1" applyAlignment="1">
      <alignment horizontal="centerContinuous"/>
      <protection/>
    </xf>
    <xf numFmtId="38" fontId="11" fillId="0" borderId="0" xfId="22" applyNumberFormat="1" applyFont="1" applyFill="1" applyBorder="1" applyAlignment="1" applyProtection="1">
      <alignment horizontal="centerContinuous"/>
      <protection/>
    </xf>
    <xf numFmtId="0" fontId="17" fillId="0" borderId="0" xfId="22" applyFont="1" applyBorder="1" applyAlignment="1" applyProtection="1">
      <alignment horizontal="center"/>
      <protection/>
    </xf>
    <xf numFmtId="0" fontId="17" fillId="0" borderId="0" xfId="22" applyFont="1" applyFill="1" applyBorder="1" applyAlignment="1" applyProtection="1" quotePrefix="1">
      <alignment horizontal="center"/>
      <protection/>
    </xf>
    <xf numFmtId="0" fontId="2" fillId="0" borderId="0" xfId="22" applyFont="1" applyFill="1" applyBorder="1" applyAlignment="1" applyProtection="1" quotePrefix="1">
      <alignment horizontal="center"/>
      <protection/>
    </xf>
    <xf numFmtId="0" fontId="2" fillId="0" borderId="0" xfId="22" applyFont="1" applyFill="1" applyBorder="1" applyAlignment="1" applyProtection="1">
      <alignment horizontal="center"/>
      <protection/>
    </xf>
    <xf numFmtId="0" fontId="17" fillId="0" borderId="0" xfId="22" applyFont="1" applyFill="1" applyBorder="1" applyAlignment="1" applyProtection="1">
      <alignment horizontal="center"/>
      <protection/>
    </xf>
    <xf numFmtId="38" fontId="17" fillId="0" borderId="0" xfId="22" applyNumberFormat="1" applyFont="1" applyFill="1" applyBorder="1" applyAlignment="1" applyProtection="1">
      <alignment horizontal="center"/>
      <protection/>
    </xf>
    <xf numFmtId="38" fontId="17" fillId="0" borderId="0" xfId="22" applyNumberFormat="1" applyFont="1" applyBorder="1" applyAlignment="1" applyProtection="1">
      <alignment horizontal="center"/>
      <protection/>
    </xf>
    <xf numFmtId="0" fontId="17" fillId="0" borderId="0" xfId="22" applyFont="1" applyBorder="1" applyAlignment="1" applyProtection="1">
      <alignment horizontal="right"/>
      <protection/>
    </xf>
    <xf numFmtId="0" fontId="2" fillId="0" borderId="0" xfId="22" applyFont="1" applyBorder="1" applyAlignment="1" applyProtection="1">
      <alignment horizontal="center"/>
      <protection/>
    </xf>
    <xf numFmtId="0" fontId="18" fillId="0" borderId="0" xfId="22" applyFont="1" applyFill="1" applyBorder="1" applyAlignment="1" applyProtection="1">
      <alignment horizontal="right"/>
      <protection/>
    </xf>
    <xf numFmtId="0" fontId="18" fillId="0" borderId="0" xfId="22" applyFont="1" applyFill="1" applyBorder="1" applyAlignment="1" applyProtection="1">
      <alignment horizontal="left"/>
      <protection/>
    </xf>
    <xf numFmtId="38" fontId="2" fillId="0" borderId="0" xfId="22" applyNumberFormat="1" applyFont="1" applyBorder="1" applyAlignment="1" applyProtection="1">
      <alignment horizontal="center"/>
      <protection/>
    </xf>
    <xf numFmtId="0" fontId="17" fillId="0" borderId="0" xfId="22" applyFont="1" applyBorder="1" applyAlignment="1" applyProtection="1">
      <alignment horizontal="left"/>
      <protection/>
    </xf>
    <xf numFmtId="0" fontId="19" fillId="0" borderId="0" xfId="22" applyFont="1" applyFill="1" applyBorder="1" applyAlignment="1" applyProtection="1">
      <alignment horizontal="left"/>
      <protection/>
    </xf>
    <xf numFmtId="0" fontId="20" fillId="0" borderId="0" xfId="22" applyFont="1" applyFill="1" applyBorder="1" applyAlignment="1" applyProtection="1">
      <alignment horizontal="left"/>
      <protection/>
    </xf>
    <xf numFmtId="38" fontId="2" fillId="0" borderId="0" xfId="22" applyNumberFormat="1" applyFont="1" applyFill="1" applyBorder="1" applyProtection="1">
      <alignment/>
      <protection/>
    </xf>
    <xf numFmtId="38" fontId="2" fillId="0" borderId="0" xfId="22" applyNumberFormat="1" applyFont="1" applyBorder="1" applyProtection="1">
      <alignment/>
      <protection/>
    </xf>
    <xf numFmtId="38" fontId="17" fillId="0" borderId="0" xfId="0" applyNumberFormat="1" applyFont="1" applyBorder="1" applyAlignment="1" applyProtection="1">
      <alignment horizontal="right"/>
      <protection/>
    </xf>
    <xf numFmtId="164" fontId="17" fillId="0" borderId="0" xfId="22" applyNumberFormat="1" applyFont="1" applyFill="1" applyBorder="1" applyAlignment="1" applyProtection="1">
      <alignment horizontal="right"/>
      <protection/>
    </xf>
    <xf numFmtId="164" fontId="17" fillId="0" borderId="0" xfId="22" applyNumberFormat="1" applyFont="1" applyFill="1" applyBorder="1" applyAlignment="1" applyProtection="1">
      <alignment horizontal="left"/>
      <protection/>
    </xf>
    <xf numFmtId="0" fontId="6" fillId="0" borderId="0" xfId="22" applyFont="1" applyFill="1" applyBorder="1" applyProtection="1">
      <alignment/>
      <protection/>
    </xf>
    <xf numFmtId="164" fontId="2" fillId="0" borderId="0" xfId="0" applyNumberFormat="1" applyFont="1" applyFill="1" applyBorder="1" applyAlignment="1">
      <alignment/>
    </xf>
    <xf numFmtId="164" fontId="17" fillId="0" borderId="0" xfId="22" applyNumberFormat="1" applyFont="1" applyBorder="1" applyAlignment="1" applyProtection="1">
      <alignment horizontal="right"/>
      <protection/>
    </xf>
    <xf numFmtId="164" fontId="17" fillId="0" borderId="0" xfId="22" applyNumberFormat="1" applyFont="1" applyBorder="1" applyAlignment="1" applyProtection="1">
      <alignment horizontal="left"/>
      <protection/>
    </xf>
    <xf numFmtId="0" fontId="22" fillId="0" borderId="0" xfId="22" applyFont="1" applyFill="1" applyBorder="1" applyAlignment="1" applyProtection="1">
      <alignment/>
      <protection/>
    </xf>
    <xf numFmtId="38" fontId="17" fillId="0" borderId="0" xfId="22" applyNumberFormat="1" applyFont="1" applyFill="1" applyBorder="1" applyProtection="1">
      <alignment/>
      <protection/>
    </xf>
    <xf numFmtId="38" fontId="17" fillId="0" borderId="0" xfId="22" applyNumberFormat="1" applyFont="1" applyFill="1" applyBorder="1" applyAlignment="1" applyProtection="1">
      <alignment horizontal="right"/>
      <protection/>
    </xf>
    <xf numFmtId="0" fontId="6" fillId="0" borderId="0" xfId="22" applyFont="1" applyFill="1" applyBorder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/>
    </xf>
    <xf numFmtId="0" fontId="2" fillId="0" borderId="0" xfId="22" applyFont="1" applyBorder="1" applyAlignment="1" applyProtection="1">
      <alignment horizontal="center"/>
      <protection locked="0"/>
    </xf>
    <xf numFmtId="0" fontId="13" fillId="0" borderId="0" xfId="22" applyFont="1" applyBorder="1" applyAlignment="1" applyProtection="1">
      <alignment horizontal="center"/>
      <protection/>
    </xf>
    <xf numFmtId="38" fontId="2" fillId="0" borderId="0" xfId="0" applyNumberFormat="1" applyFont="1" applyBorder="1" applyAlignment="1">
      <alignment/>
    </xf>
    <xf numFmtId="38" fontId="13" fillId="0" borderId="0" xfId="22" applyNumberFormat="1" applyFont="1" applyBorder="1" applyProtection="1">
      <alignment/>
      <protection/>
    </xf>
    <xf numFmtId="0" fontId="2" fillId="0" borderId="0" xfId="22" applyFont="1" applyFill="1" applyBorder="1" applyAlignment="1" applyProtection="1">
      <alignment horizontal="left"/>
      <protection/>
    </xf>
    <xf numFmtId="38" fontId="13" fillId="0" borderId="0" xfId="15" applyNumberFormat="1" applyFont="1" applyFill="1" applyBorder="1" applyAlignment="1" applyProtection="1">
      <alignment/>
      <protection locked="0"/>
    </xf>
    <xf numFmtId="0" fontId="2" fillId="0" borderId="0" xfId="22" applyFont="1" applyFill="1" applyBorder="1">
      <alignment/>
      <protection/>
    </xf>
    <xf numFmtId="0" fontId="2" fillId="0" borderId="0" xfId="22" applyFont="1" applyFill="1" applyBorder="1" applyAlignment="1">
      <alignment horizontal="center"/>
      <protection/>
    </xf>
    <xf numFmtId="38" fontId="17" fillId="0" borderId="0" xfId="22" applyNumberFormat="1" applyFont="1" applyFill="1" applyBorder="1" applyProtection="1">
      <alignment/>
      <protection locked="0"/>
    </xf>
    <xf numFmtId="0" fontId="21" fillId="0" borderId="0" xfId="22" applyFont="1" applyFill="1" applyBorder="1" applyAlignment="1" applyProtection="1">
      <alignment horizontal="left"/>
      <protection/>
    </xf>
    <xf numFmtId="0" fontId="2" fillId="0" borderId="0" xfId="22" applyFont="1" applyBorder="1">
      <alignment/>
      <protection/>
    </xf>
    <xf numFmtId="38" fontId="17" fillId="0" borderId="0" xfId="22" applyNumberFormat="1" applyFont="1" applyBorder="1" applyAlignment="1" applyProtection="1">
      <alignment horizontal="right"/>
      <protection/>
    </xf>
    <xf numFmtId="38" fontId="13" fillId="0" borderId="0" xfId="22" applyNumberFormat="1" applyFont="1" applyBorder="1" applyAlignment="1" applyProtection="1">
      <alignment horizontal="right"/>
      <protection/>
    </xf>
    <xf numFmtId="0" fontId="13" fillId="0" borderId="0" xfId="22" applyFont="1" applyBorder="1" applyProtection="1">
      <alignment/>
      <protection locked="0"/>
    </xf>
    <xf numFmtId="38" fontId="13" fillId="0" borderId="0" xfId="15" applyNumberFormat="1" applyFont="1" applyAlignment="1">
      <alignment/>
    </xf>
    <xf numFmtId="0" fontId="13" fillId="0" borderId="0" xfId="22" applyFont="1" applyBorder="1" applyProtection="1">
      <alignment/>
      <protection/>
    </xf>
    <xf numFmtId="0" fontId="24" fillId="0" borderId="0" xfId="22" applyFont="1" applyFill="1" applyBorder="1" applyProtection="1">
      <alignment/>
      <protection/>
    </xf>
    <xf numFmtId="0" fontId="13" fillId="0" borderId="0" xfId="22" applyFont="1" applyFill="1" applyBorder="1" applyProtection="1">
      <alignment/>
      <protection/>
    </xf>
    <xf numFmtId="0" fontId="11" fillId="0" borderId="0" xfId="22" applyFont="1" applyFill="1" applyBorder="1" applyProtection="1">
      <alignment/>
      <protection/>
    </xf>
    <xf numFmtId="38" fontId="17" fillId="0" borderId="0" xfId="22" applyNumberFormat="1" applyFont="1" applyBorder="1" applyProtection="1">
      <alignment/>
      <protection/>
    </xf>
    <xf numFmtId="38" fontId="13" fillId="0" borderId="0" xfId="15" applyNumberFormat="1" applyFont="1" applyBorder="1" applyAlignment="1" applyProtection="1">
      <alignment/>
      <protection locked="0"/>
    </xf>
    <xf numFmtId="0" fontId="13" fillId="0" borderId="0" xfId="22" applyFont="1" applyFill="1" applyBorder="1" applyAlignment="1" applyProtection="1">
      <alignment horizontal="center"/>
      <protection locked="0"/>
    </xf>
    <xf numFmtId="38" fontId="17" fillId="0" borderId="0" xfId="0" applyNumberFormat="1" applyFont="1" applyFill="1" applyBorder="1" applyAlignment="1" applyProtection="1">
      <alignment horizontal="right"/>
      <protection/>
    </xf>
    <xf numFmtId="38" fontId="13" fillId="0" borderId="0" xfId="22" applyNumberFormat="1" applyFont="1" applyBorder="1" applyProtection="1">
      <alignment/>
      <protection locked="0"/>
    </xf>
    <xf numFmtId="38" fontId="13" fillId="0" borderId="0" xfId="22" applyNumberFormat="1" applyFont="1" applyFill="1" applyBorder="1" applyProtection="1">
      <alignment/>
      <protection locked="0"/>
    </xf>
    <xf numFmtId="164" fontId="2" fillId="0" borderId="0" xfId="22" applyNumberFormat="1" applyFont="1" applyFill="1" applyBorder="1" applyProtection="1">
      <alignment/>
      <protection/>
    </xf>
    <xf numFmtId="0" fontId="7" fillId="0" borderId="0" xfId="22" applyFont="1" applyBorder="1" applyProtection="1">
      <alignment/>
      <protection/>
    </xf>
    <xf numFmtId="38" fontId="13" fillId="0" borderId="0" xfId="15" applyNumberFormat="1" applyFont="1" applyFill="1" applyAlignment="1" applyProtection="1">
      <alignment horizontal="right"/>
      <protection locked="0"/>
    </xf>
    <xf numFmtId="38" fontId="2" fillId="0" borderId="0" xfId="15" applyNumberFormat="1" applyFont="1" applyFill="1" applyAlignment="1" applyProtection="1">
      <alignment horizontal="right"/>
      <protection locked="0"/>
    </xf>
    <xf numFmtId="38" fontId="13" fillId="0" borderId="0" xfId="15" applyNumberFormat="1" applyFont="1" applyFill="1" applyAlignment="1" applyProtection="1">
      <alignment/>
      <protection locked="0"/>
    </xf>
    <xf numFmtId="38" fontId="13" fillId="0" borderId="0" xfId="15" applyNumberFormat="1" applyFont="1" applyFill="1" applyBorder="1" applyAlignment="1">
      <alignment/>
    </xf>
    <xf numFmtId="38" fontId="13" fillId="0" borderId="0" xfId="22" applyNumberFormat="1" applyFont="1" applyFill="1" applyBorder="1">
      <alignment/>
      <protection/>
    </xf>
    <xf numFmtId="0" fontId="24" fillId="0" borderId="0" xfId="22" applyFont="1" applyBorder="1" applyProtection="1">
      <alignment/>
      <protection/>
    </xf>
    <xf numFmtId="38" fontId="2" fillId="0" borderId="0" xfId="15" applyNumberFormat="1" applyFont="1" applyFill="1" applyBorder="1" applyAlignment="1" applyProtection="1">
      <alignment horizontal="right"/>
      <protection/>
    </xf>
    <xf numFmtId="38" fontId="13" fillId="0" borderId="0" xfId="22" applyNumberFormat="1" applyFont="1" applyBorder="1">
      <alignment/>
      <protection/>
    </xf>
    <xf numFmtId="38" fontId="2" fillId="0" borderId="0" xfId="22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38" fontId="13" fillId="0" borderId="0" xfId="0" applyNumberFormat="1" applyFont="1" applyBorder="1" applyAlignment="1" applyProtection="1">
      <alignment horizontal="right"/>
      <protection/>
    </xf>
    <xf numFmtId="38" fontId="13" fillId="0" borderId="0" xfId="15" applyNumberFormat="1" applyFont="1" applyFill="1" applyBorder="1" applyAlignment="1" applyProtection="1">
      <alignment horizontal="right"/>
      <protection locked="0"/>
    </xf>
    <xf numFmtId="38" fontId="13" fillId="2" borderId="1" xfId="2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13" fillId="3" borderId="1" xfId="22" applyNumberFormat="1" applyFont="1" applyFill="1" applyBorder="1" applyProtection="1">
      <alignment/>
      <protection/>
    </xf>
    <xf numFmtId="164" fontId="2" fillId="0" borderId="0" xfId="22" applyNumberFormat="1" applyFont="1" applyFill="1" applyBorder="1" applyAlignment="1" applyProtection="1">
      <alignment horizontal="right"/>
      <protection/>
    </xf>
    <xf numFmtId="38" fontId="13" fillId="0" borderId="0" xfId="22" applyNumberFormat="1" applyFont="1" applyFill="1" applyBorder="1" applyProtection="1">
      <alignment/>
      <protection/>
    </xf>
    <xf numFmtId="38" fontId="0" fillId="0" borderId="0" xfId="0" applyNumberFormat="1" applyFont="1" applyFill="1" applyBorder="1" applyAlignment="1">
      <alignment horizontal="right"/>
    </xf>
    <xf numFmtId="3" fontId="27" fillId="0" borderId="0" xfId="22" applyNumberFormat="1" applyFont="1" applyBorder="1" applyProtection="1">
      <alignment/>
      <protection/>
    </xf>
    <xf numFmtId="3" fontId="27" fillId="0" borderId="0" xfId="22" applyNumberFormat="1" applyFont="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right"/>
      <protection/>
    </xf>
    <xf numFmtId="9" fontId="17" fillId="0" borderId="0" xfId="25" applyFont="1" applyFill="1" applyBorder="1" applyAlignment="1" applyProtection="1">
      <alignment horizontal="right"/>
      <protection/>
    </xf>
    <xf numFmtId="10" fontId="17" fillId="0" borderId="0" xfId="25" applyNumberFormat="1" applyFont="1" applyFill="1" applyBorder="1" applyAlignment="1" applyProtection="1">
      <alignment horizontal="right"/>
      <protection/>
    </xf>
    <xf numFmtId="3" fontId="17" fillId="0" borderId="0" xfId="22" applyNumberFormat="1" applyFont="1" applyFill="1" applyBorder="1" applyAlignment="1" applyProtection="1">
      <alignment horizontal="right"/>
      <protection/>
    </xf>
    <xf numFmtId="3" fontId="17" fillId="0" borderId="0" xfId="22" applyNumberFormat="1" applyFont="1" applyFill="1" applyBorder="1" applyAlignment="1" applyProtection="1">
      <alignment horizontal="left"/>
      <protection/>
    </xf>
    <xf numFmtId="0" fontId="17" fillId="0" borderId="0" xfId="22" applyFont="1" applyFill="1" applyBorder="1" applyAlignment="1" applyProtection="1">
      <alignment horizontal="right"/>
      <protection/>
    </xf>
    <xf numFmtId="0" fontId="17" fillId="0" borderId="0" xfId="22" applyFont="1" applyFill="1" applyBorder="1" applyAlignment="1" applyProtection="1">
      <alignment horizontal="left"/>
      <protection/>
    </xf>
    <xf numFmtId="0" fontId="2" fillId="0" borderId="0" xfId="22" applyFont="1" applyFill="1" applyBorder="1" applyAlignment="1" applyProtection="1">
      <alignment horizontal="right"/>
      <protection/>
    </xf>
    <xf numFmtId="0" fontId="6" fillId="0" borderId="0" xfId="22" applyFont="1" applyFill="1" applyBorder="1" applyAlignment="1">
      <alignment horizontal="right"/>
      <protection/>
    </xf>
    <xf numFmtId="3" fontId="17" fillId="0" borderId="0" xfId="22" applyNumberFormat="1" applyFont="1" applyFill="1" applyBorder="1" applyAlignment="1" applyProtection="1">
      <alignment horizontal="center"/>
      <protection/>
    </xf>
    <xf numFmtId="0" fontId="6" fillId="0" borderId="0" xfId="22" applyFont="1" applyFill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8" fontId="13" fillId="4" borderId="1" xfId="22" applyNumberFormat="1" applyFont="1" applyFill="1" applyBorder="1" applyAlignment="1" applyProtection="1">
      <alignment horizontal="right"/>
      <protection/>
    </xf>
    <xf numFmtId="0" fontId="28" fillId="0" borderId="0" xfId="22" applyFont="1" applyBorder="1" applyProtection="1">
      <alignment/>
      <protection/>
    </xf>
    <xf numFmtId="0" fontId="2" fillId="0" borderId="0" xfId="22" applyFont="1" applyBorder="1" applyAlignment="1">
      <alignment horizontal="center"/>
      <protection/>
    </xf>
    <xf numFmtId="0" fontId="6" fillId="0" borderId="0" xfId="22" applyFont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>
      <alignment/>
    </xf>
    <xf numFmtId="38" fontId="13" fillId="0" borderId="0" xfId="22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1" fillId="0" borderId="0" xfId="22" applyFont="1" applyFill="1" applyBorder="1" applyProtection="1">
      <alignment/>
      <protection/>
    </xf>
    <xf numFmtId="0" fontId="11" fillId="0" borderId="0" xfId="22" applyFont="1" applyBorder="1" applyProtection="1">
      <alignment/>
      <protection locked="0"/>
    </xf>
    <xf numFmtId="38" fontId="1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6" fillId="0" borderId="0" xfId="24" applyFont="1" applyAlignment="1" quotePrefix="1">
      <alignment horizontal="center" wrapText="1"/>
      <protection/>
    </xf>
    <xf numFmtId="38" fontId="2" fillId="5" borderId="1" xfId="22" applyNumberFormat="1" applyFont="1" applyFill="1" applyBorder="1" applyAlignment="1" applyProtection="1">
      <alignment horizontal="right"/>
      <protection/>
    </xf>
    <xf numFmtId="38" fontId="17" fillId="2" borderId="1" xfId="22" applyNumberFormat="1" applyFont="1" applyFill="1" applyBorder="1" applyAlignment="1" applyProtection="1">
      <alignment horizontal="right"/>
      <protection/>
    </xf>
    <xf numFmtId="38" fontId="17" fillId="6" borderId="1" xfId="22" applyNumberFormat="1" applyFont="1" applyFill="1" applyBorder="1" applyProtection="1">
      <alignment/>
      <protection/>
    </xf>
    <xf numFmtId="38" fontId="2" fillId="2" borderId="1" xfId="22" applyNumberFormat="1" applyFont="1" applyFill="1" applyBorder="1" applyProtection="1">
      <alignment/>
      <protection/>
    </xf>
    <xf numFmtId="38" fontId="13" fillId="5" borderId="1" xfId="15" applyNumberFormat="1" applyFont="1" applyFill="1" applyBorder="1" applyAlignment="1" applyProtection="1">
      <alignment horizontal="right"/>
      <protection locked="0"/>
    </xf>
    <xf numFmtId="38" fontId="13" fillId="5" borderId="1" xfId="15" applyNumberFormat="1" applyFont="1" applyFill="1" applyBorder="1" applyAlignment="1">
      <alignment/>
    </xf>
    <xf numFmtId="38" fontId="2" fillId="5" borderId="1" xfId="15" applyNumberFormat="1" applyFont="1" applyFill="1" applyBorder="1" applyAlignment="1">
      <alignment/>
    </xf>
    <xf numFmtId="38" fontId="13" fillId="5" borderId="1" xfId="22" applyNumberFormat="1" applyFont="1" applyFill="1" applyBorder="1">
      <alignment/>
      <protection/>
    </xf>
    <xf numFmtId="38" fontId="2" fillId="2" borderId="1" xfId="15" applyNumberFormat="1" applyFont="1" applyFill="1" applyBorder="1" applyAlignment="1" applyProtection="1">
      <alignment horizontal="right"/>
      <protection/>
    </xf>
    <xf numFmtId="38" fontId="13" fillId="5" borderId="1" xfId="0" applyNumberFormat="1" applyFont="1" applyFill="1" applyBorder="1" applyAlignment="1" applyProtection="1">
      <alignment horizontal="right"/>
      <protection/>
    </xf>
    <xf numFmtId="38" fontId="13" fillId="7" borderId="1" xfId="22" applyNumberFormat="1" applyFont="1" applyFill="1" applyBorder="1" applyProtection="1">
      <alignment/>
      <protection/>
    </xf>
    <xf numFmtId="0" fontId="2" fillId="0" borderId="2" xfId="22" applyFont="1" applyBorder="1" applyAlignment="1">
      <alignment horizontal="center"/>
      <protection/>
    </xf>
    <xf numFmtId="0" fontId="0" fillId="0" borderId="3" xfId="0" applyFont="1" applyBorder="1" applyAlignment="1">
      <alignment/>
    </xf>
    <xf numFmtId="0" fontId="17" fillId="0" borderId="4" xfId="22" applyFont="1" applyBorder="1" applyProtection="1">
      <alignment/>
      <protection/>
    </xf>
    <xf numFmtId="0" fontId="0" fillId="0" borderId="5" xfId="0" applyFont="1" applyBorder="1" applyAlignment="1">
      <alignment/>
    </xf>
    <xf numFmtId="0" fontId="2" fillId="0" borderId="6" xfId="22" applyFont="1" applyBorder="1" applyAlignment="1">
      <alignment horizontal="center"/>
      <protection/>
    </xf>
    <xf numFmtId="0" fontId="0" fillId="0" borderId="7" xfId="0" applyFont="1" applyBorder="1" applyAlignment="1">
      <alignment/>
    </xf>
    <xf numFmtId="0" fontId="16" fillId="0" borderId="0" xfId="22" applyFont="1" applyFill="1" applyBorder="1" applyAlignment="1" applyProtection="1">
      <alignment horizontal="center"/>
      <protection/>
    </xf>
    <xf numFmtId="0" fontId="6" fillId="0" borderId="0" xfId="22" applyFont="1" applyFill="1" applyBorder="1" applyAlignment="1" applyProtection="1">
      <alignment horizontal="center"/>
      <protection/>
    </xf>
    <xf numFmtId="0" fontId="7" fillId="0" borderId="0" xfId="22" applyFont="1" applyBorder="1" applyAlignment="1" applyProtection="1">
      <alignment horizontal="left"/>
      <protection/>
    </xf>
    <xf numFmtId="0" fontId="11" fillId="0" borderId="0" xfId="22" applyFont="1" applyFill="1" applyBorder="1" applyAlignment="1" applyProtection="1">
      <alignment horizontal="left"/>
      <protection/>
    </xf>
    <xf numFmtId="0" fontId="11" fillId="0" borderId="0" xfId="22" applyFont="1" applyFill="1" applyBorder="1" applyAlignment="1" applyProtection="1">
      <alignment horizontal="center"/>
      <protection locked="0"/>
    </xf>
    <xf numFmtId="0" fontId="11" fillId="0" borderId="0" xfId="22" applyFont="1" applyFill="1" applyBorder="1" applyAlignment="1" applyProtection="1">
      <alignment horizontal="left"/>
      <protection locked="0"/>
    </xf>
    <xf numFmtId="0" fontId="11" fillId="0" borderId="0" xfId="22" applyFont="1" applyFill="1" applyBorder="1" applyAlignment="1" applyProtection="1">
      <alignment horizontal="center"/>
      <protection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center"/>
      <protection/>
    </xf>
    <xf numFmtId="0" fontId="6" fillId="0" borderId="0" xfId="22" applyFont="1" applyFill="1" applyBorder="1" applyAlignment="1" applyProtection="1">
      <alignment horizontal="left"/>
      <protection/>
    </xf>
    <xf numFmtId="0" fontId="6" fillId="0" borderId="0" xfId="22" applyFont="1" applyFill="1" applyBorder="1" applyAlignment="1">
      <alignment horizontal="center"/>
      <protection/>
    </xf>
    <xf numFmtId="0" fontId="11" fillId="0" borderId="0" xfId="22" applyFont="1" applyBorder="1" applyAlignment="1" applyProtection="1">
      <alignment horizontal="center"/>
      <protection locked="0"/>
    </xf>
    <xf numFmtId="0" fontId="0" fillId="0" borderId="0" xfId="22" applyFont="1" applyBorder="1" applyAlignment="1" applyProtection="1">
      <alignment horizontal="center"/>
      <protection/>
    </xf>
    <xf numFmtId="0" fontId="0" fillId="0" borderId="0" xfId="22" applyFont="1" applyFill="1" applyBorder="1" applyAlignment="1" applyProtection="1">
      <alignment horizontal="center"/>
      <protection/>
    </xf>
    <xf numFmtId="38" fontId="30" fillId="0" borderId="0" xfId="22" applyNumberFormat="1" applyFont="1" applyBorder="1" applyAlignment="1" applyProtection="1">
      <alignment horizontal="center"/>
      <protection/>
    </xf>
    <xf numFmtId="0" fontId="29" fillId="0" borderId="0" xfId="22" applyFont="1" applyFill="1" applyBorder="1" applyAlignment="1" applyProtection="1">
      <alignment horizontal="center"/>
      <protection/>
    </xf>
    <xf numFmtId="0" fontId="7" fillId="0" borderId="0" xfId="22" applyFont="1" applyBorder="1" applyAlignment="1" applyProtection="1">
      <alignment horizontal="center"/>
      <protection/>
    </xf>
    <xf numFmtId="0" fontId="7" fillId="0" borderId="0" xfId="22" applyFont="1" applyFill="1" applyBorder="1" applyAlignment="1" applyProtection="1">
      <alignment horizontal="center"/>
      <protection/>
    </xf>
    <xf numFmtId="38" fontId="29" fillId="0" borderId="0" xfId="22" applyNumberFormat="1" applyFont="1" applyFill="1" applyBorder="1" applyAlignment="1" applyProtection="1">
      <alignment horizontal="center"/>
      <protection/>
    </xf>
    <xf numFmtId="38" fontId="29" fillId="0" borderId="0" xfId="22" applyNumberFormat="1" applyFont="1" applyBorder="1" applyAlignment="1" applyProtection="1">
      <alignment horizontal="center"/>
      <protection/>
    </xf>
    <xf numFmtId="0" fontId="29" fillId="0" borderId="8" xfId="22" applyFont="1" applyFill="1" applyBorder="1" applyAlignment="1" applyProtection="1">
      <alignment horizontal="left"/>
      <protection/>
    </xf>
    <xf numFmtId="0" fontId="7" fillId="0" borderId="8" xfId="22" applyFont="1" applyBorder="1" applyAlignment="1" applyProtection="1">
      <alignment horizontal="center"/>
      <protection/>
    </xf>
    <xf numFmtId="0" fontId="7" fillId="0" borderId="8" xfId="22" applyFont="1" applyFill="1" applyBorder="1" applyAlignment="1" applyProtection="1">
      <alignment horizontal="center"/>
      <protection/>
    </xf>
    <xf numFmtId="0" fontId="29" fillId="0" borderId="8" xfId="22" applyFont="1" applyFill="1" applyBorder="1" applyAlignment="1" applyProtection="1">
      <alignment horizontal="center"/>
      <protection/>
    </xf>
    <xf numFmtId="38" fontId="29" fillId="0" borderId="8" xfId="22" applyNumberFormat="1" applyFont="1" applyFill="1" applyBorder="1" applyAlignment="1" applyProtection="1">
      <alignment horizontal="center"/>
      <protection/>
    </xf>
    <xf numFmtId="38" fontId="29" fillId="0" borderId="8" xfId="22" applyNumberFormat="1" applyFont="1" applyBorder="1" applyAlignment="1" applyProtection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11" fillId="0" borderId="0" xfId="22" applyFont="1" applyFill="1" applyBorder="1" applyProtection="1">
      <alignment/>
      <protection locked="0"/>
    </xf>
    <xf numFmtId="3" fontId="6" fillId="0" borderId="0" xfId="22" applyNumberFormat="1" applyFont="1" applyFill="1" applyBorder="1" applyAlignment="1" applyProtection="1">
      <alignment horizontal="center"/>
      <protection locked="0"/>
    </xf>
    <xf numFmtId="0" fontId="31" fillId="0" borderId="0" xfId="22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0" xfId="24" applyFont="1" applyAlignment="1">
      <alignment horizontal="center"/>
      <protection/>
    </xf>
    <xf numFmtId="0" fontId="29" fillId="0" borderId="0" xfId="22" applyFont="1" applyBorder="1" applyAlignment="1" applyProtection="1">
      <alignment horizontal="center"/>
      <protection/>
    </xf>
    <xf numFmtId="0" fontId="29" fillId="0" borderId="0" xfId="22" applyFont="1" applyFill="1" applyBorder="1" applyAlignment="1" applyProtection="1" quotePrefix="1">
      <alignment horizontal="center"/>
      <protection/>
    </xf>
    <xf numFmtId="0" fontId="7" fillId="0" borderId="0" xfId="22" applyFont="1" applyFill="1" applyBorder="1" applyAlignment="1" applyProtection="1" quotePrefix="1">
      <alignment horizontal="center"/>
      <protection/>
    </xf>
    <xf numFmtId="0" fontId="7" fillId="0" borderId="8" xfId="0" applyFont="1" applyBorder="1" applyAlignment="1">
      <alignment/>
    </xf>
    <xf numFmtId="0" fontId="31" fillId="0" borderId="0" xfId="22" applyFont="1" applyBorder="1" applyAlignment="1" applyProtection="1">
      <alignment horizontal="center"/>
      <protection/>
    </xf>
    <xf numFmtId="0" fontId="11" fillId="0" borderId="0" xfId="22" applyFont="1" applyBorder="1" applyAlignment="1" applyProtection="1">
      <alignment horizontal="left"/>
      <protection/>
    </xf>
    <xf numFmtId="0" fontId="7" fillId="0" borderId="0" xfId="22" applyFont="1" applyBorder="1">
      <alignment/>
      <protection/>
    </xf>
    <xf numFmtId="0" fontId="23" fillId="0" borderId="0" xfId="22" applyFont="1" applyBorder="1" applyProtection="1">
      <alignment/>
      <protection/>
    </xf>
    <xf numFmtId="0" fontId="32" fillId="0" borderId="0" xfId="0" applyFont="1" applyAlignment="1">
      <alignment horizontal="centerContinuous"/>
    </xf>
    <xf numFmtId="0" fontId="29" fillId="0" borderId="9" xfId="22" applyFont="1" applyFill="1" applyBorder="1" applyProtection="1">
      <alignment/>
      <protection/>
    </xf>
    <xf numFmtId="0" fontId="29" fillId="0" borderId="10" xfId="22" applyFont="1" applyBorder="1" applyProtection="1">
      <alignment/>
      <protection/>
    </xf>
    <xf numFmtId="0" fontId="29" fillId="0" borderId="4" xfId="22" applyFont="1" applyBorder="1" applyProtection="1">
      <alignment/>
      <protection/>
    </xf>
    <xf numFmtId="0" fontId="29" fillId="0" borderId="11" xfId="22" applyFont="1" applyBorder="1" applyProtection="1">
      <alignment/>
      <protection/>
    </xf>
    <xf numFmtId="0" fontId="30" fillId="0" borderId="4" xfId="22" applyFont="1" applyBorder="1" applyProtection="1">
      <alignment/>
      <protection/>
    </xf>
    <xf numFmtId="38" fontId="14" fillId="0" borderId="0" xfId="22" applyNumberFormat="1" applyFont="1" applyFill="1" applyBorder="1" applyAlignment="1" applyProtection="1">
      <alignment horizontal="right"/>
      <protection/>
    </xf>
    <xf numFmtId="0" fontId="14" fillId="0" borderId="0" xfId="22" applyFont="1" applyFill="1" applyBorder="1" applyAlignment="1" applyProtection="1">
      <alignment horizontal="center"/>
      <protection/>
    </xf>
    <xf numFmtId="0" fontId="0" fillId="0" borderId="2" xfId="22" applyFont="1" applyBorder="1" applyAlignment="1" applyProtection="1">
      <alignment horizontal="center"/>
      <protection/>
    </xf>
    <xf numFmtId="38" fontId="30" fillId="0" borderId="2" xfId="22" applyNumberFormat="1" applyFont="1" applyBorder="1" applyAlignment="1" applyProtection="1">
      <alignment horizontal="center"/>
      <protection/>
    </xf>
    <xf numFmtId="38" fontId="30" fillId="0" borderId="5" xfId="22" applyNumberFormat="1" applyFont="1" applyBorder="1" applyAlignment="1" applyProtection="1">
      <alignment horizontal="center"/>
      <protection/>
    </xf>
    <xf numFmtId="38" fontId="0" fillId="0" borderId="5" xfId="0" applyNumberFormat="1" applyFont="1" applyBorder="1" applyAlignment="1">
      <alignment/>
    </xf>
    <xf numFmtId="38" fontId="0" fillId="0" borderId="0" xfId="22" applyNumberFormat="1" applyFont="1" applyBorder="1" applyAlignment="1" applyProtection="1">
      <alignment horizontal="left"/>
      <protection locked="0"/>
    </xf>
    <xf numFmtId="38" fontId="30" fillId="0" borderId="0" xfId="22" applyNumberFormat="1" applyFont="1" applyBorder="1" applyAlignment="1" applyProtection="1">
      <alignment horizontal="left"/>
      <protection/>
    </xf>
    <xf numFmtId="0" fontId="14" fillId="0" borderId="5" xfId="22" applyFont="1" applyBorder="1" applyAlignment="1">
      <alignment horizontal="center"/>
      <protection/>
    </xf>
    <xf numFmtId="38" fontId="30" fillId="0" borderId="0" xfId="22" applyNumberFormat="1" applyFont="1" applyBorder="1" applyAlignment="1" applyProtection="1">
      <alignment horizontal="right"/>
      <protection/>
    </xf>
    <xf numFmtId="0" fontId="0" fillId="0" borderId="6" xfId="22" applyFont="1" applyBorder="1" applyAlignment="1" applyProtection="1">
      <alignment horizontal="center"/>
      <protection/>
    </xf>
    <xf numFmtId="38" fontId="30" fillId="0" borderId="6" xfId="22" applyNumberFormat="1" applyFont="1" applyBorder="1" applyAlignment="1" applyProtection="1">
      <alignment horizontal="center"/>
      <protection/>
    </xf>
    <xf numFmtId="0" fontId="11" fillId="0" borderId="0" xfId="22" applyFont="1" applyFill="1" applyBorder="1" applyAlignment="1" applyProtection="1">
      <alignment horizontal="right"/>
      <protection locked="0"/>
    </xf>
    <xf numFmtId="0" fontId="6" fillId="0" borderId="8" xfId="0" applyFont="1" applyBorder="1" applyAlignment="1">
      <alignment/>
    </xf>
    <xf numFmtId="0" fontId="10" fillId="0" borderId="0" xfId="22" applyFont="1" applyFill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38" fontId="11" fillId="0" borderId="0" xfId="24" applyNumberFormat="1" applyFont="1">
      <alignment/>
      <protection/>
    </xf>
    <xf numFmtId="38" fontId="16" fillId="0" borderId="0" xfId="0" applyNumberFormat="1" applyFont="1" applyBorder="1" applyAlignment="1" applyProtection="1">
      <alignment horizontal="right"/>
      <protection/>
    </xf>
    <xf numFmtId="0" fontId="8" fillId="0" borderId="0" xfId="22" applyFont="1" applyBorder="1" applyAlignment="1">
      <alignment horizontal="left"/>
      <protection/>
    </xf>
    <xf numFmtId="38" fontId="11" fillId="0" borderId="0" xfId="24" applyNumberFormat="1" applyFont="1" applyBorder="1">
      <alignment/>
      <protection/>
    </xf>
    <xf numFmtId="0" fontId="6" fillId="0" borderId="0" xfId="24" applyFont="1" applyFill="1" applyAlignment="1" quotePrefix="1">
      <alignment horizontal="center"/>
      <protection/>
    </xf>
    <xf numFmtId="0" fontId="11" fillId="0" borderId="0" xfId="24" applyFont="1" applyFill="1" applyBorder="1">
      <alignment/>
      <protection/>
    </xf>
    <xf numFmtId="0" fontId="6" fillId="0" borderId="0" xfId="24" applyFont="1" applyFill="1" applyAlignment="1">
      <alignment horizontal="center"/>
      <protection/>
    </xf>
    <xf numFmtId="38" fontId="11" fillId="0" borderId="0" xfId="24" applyNumberFormat="1" applyFont="1" applyFill="1">
      <alignment/>
      <protection/>
    </xf>
    <xf numFmtId="38" fontId="1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38" fontId="11" fillId="0" borderId="0" xfId="22" applyNumberFormat="1" applyFont="1" applyFill="1" applyBorder="1">
      <alignment/>
      <protection/>
    </xf>
    <xf numFmtId="0" fontId="8" fillId="0" borderId="0" xfId="24" applyFont="1" applyFill="1" applyBorder="1">
      <alignment/>
      <protection/>
    </xf>
    <xf numFmtId="0" fontId="17" fillId="0" borderId="0" xfId="22" applyFont="1" applyBorder="1" applyProtection="1">
      <alignment/>
      <protection/>
    </xf>
    <xf numFmtId="38" fontId="6" fillId="0" borderId="0" xfId="22" applyNumberFormat="1" applyFont="1" applyBorder="1">
      <alignment/>
      <protection/>
    </xf>
    <xf numFmtId="0" fontId="21" fillId="0" borderId="0" xfId="22" applyFont="1" applyBorder="1" applyProtection="1">
      <alignment/>
      <protection/>
    </xf>
    <xf numFmtId="0" fontId="16" fillId="0" borderId="0" xfId="22" applyFont="1" applyBorder="1" applyProtection="1">
      <alignment/>
      <protection/>
    </xf>
    <xf numFmtId="38" fontId="6" fillId="0" borderId="0" xfId="22" applyNumberFormat="1" applyFont="1" applyBorder="1" applyProtection="1">
      <alignment/>
      <protection/>
    </xf>
    <xf numFmtId="0" fontId="29" fillId="0" borderId="0" xfId="22" applyFont="1" applyBorder="1" applyProtection="1">
      <alignment/>
      <protection/>
    </xf>
    <xf numFmtId="0" fontId="23" fillId="0" borderId="0" xfId="22" applyFont="1" applyFill="1" applyBorder="1">
      <alignment/>
      <protection/>
    </xf>
    <xf numFmtId="38" fontId="6" fillId="0" borderId="0" xfId="15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3" fillId="0" borderId="0" xfId="22" applyFont="1" applyFill="1" applyBorder="1" applyAlignment="1" applyProtection="1">
      <alignment/>
      <protection/>
    </xf>
    <xf numFmtId="0" fontId="21" fillId="0" borderId="0" xfId="22" applyFont="1" applyFill="1" applyBorder="1" applyAlignment="1" applyProtection="1">
      <alignment/>
      <protection/>
    </xf>
    <xf numFmtId="0" fontId="23" fillId="0" borderId="0" xfId="22" applyFont="1" applyFill="1" applyBorder="1" applyAlignment="1" applyProtection="1">
      <alignment horizontal="left"/>
      <protection/>
    </xf>
    <xf numFmtId="0" fontId="20" fillId="0" borderId="0" xfId="22" applyFont="1" applyFill="1" applyBorder="1" applyProtection="1">
      <alignment/>
      <protection/>
    </xf>
    <xf numFmtId="0" fontId="13" fillId="0" borderId="0" xfId="22" applyFont="1" applyFill="1" applyBorder="1" applyProtection="1">
      <alignment/>
      <protection locked="0"/>
    </xf>
    <xf numFmtId="0" fontId="23" fillId="0" borderId="0" xfId="22" applyFont="1" applyFill="1" applyBorder="1" applyProtection="1">
      <alignment/>
      <protection/>
    </xf>
    <xf numFmtId="0" fontId="2" fillId="0" borderId="0" xfId="22" applyFont="1" applyFill="1" applyBorder="1" applyProtection="1">
      <alignment/>
      <protection/>
    </xf>
    <xf numFmtId="0" fontId="22" fillId="0" borderId="0" xfId="22" applyFont="1" applyFill="1" applyBorder="1" applyProtection="1">
      <alignment/>
      <protection/>
    </xf>
    <xf numFmtId="0" fontId="13" fillId="0" borderId="0" xfId="22" applyFont="1" applyFill="1" applyBorder="1" applyAlignment="1" applyProtection="1">
      <alignment horizontal="left"/>
      <protection/>
    </xf>
    <xf numFmtId="0" fontId="31" fillId="0" borderId="0" xfId="22" applyFont="1" applyFill="1" applyBorder="1" applyAlignment="1" applyProtection="1">
      <alignment horizontal="left"/>
      <protection locked="0"/>
    </xf>
    <xf numFmtId="0" fontId="26" fillId="0" borderId="0" xfId="22" applyFont="1" applyFill="1" applyBorder="1" applyAlignment="1" applyProtection="1">
      <alignment horizontal="left"/>
      <protection/>
    </xf>
    <xf numFmtId="3" fontId="2" fillId="0" borderId="0" xfId="22" applyNumberFormat="1" applyFont="1" applyFill="1" applyBorder="1" applyAlignment="1" applyProtection="1">
      <alignment horizontal="center"/>
      <protection/>
    </xf>
    <xf numFmtId="0" fontId="7" fillId="0" borderId="0" xfId="22" applyFont="1" applyFill="1" applyBorder="1" applyProtection="1">
      <alignment/>
      <protection/>
    </xf>
    <xf numFmtId="0" fontId="19" fillId="0" borderId="0" xfId="22" applyFont="1" applyFill="1" applyBorder="1" applyProtection="1">
      <alignment/>
      <protection/>
    </xf>
    <xf numFmtId="0" fontId="31" fillId="0" borderId="0" xfId="22" applyFont="1" applyFill="1" applyBorder="1" applyAlignment="1" applyProtection="1">
      <alignment horizontal="center"/>
      <protection locked="0"/>
    </xf>
    <xf numFmtId="0" fontId="25" fillId="0" borderId="0" xfId="22" applyFont="1" applyFill="1" applyBorder="1" applyProtection="1">
      <alignment/>
      <protection locked="0"/>
    </xf>
    <xf numFmtId="3" fontId="2" fillId="0" borderId="0" xfId="22" applyNumberFormat="1" applyFont="1" applyFill="1" applyBorder="1" applyAlignment="1" applyProtection="1">
      <alignment horizontal="center"/>
      <protection locked="0"/>
    </xf>
    <xf numFmtId="0" fontId="25" fillId="0" borderId="0" xfId="22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0" fillId="0" borderId="0" xfId="22" applyFont="1" applyFill="1" applyBorder="1" applyProtection="1">
      <alignment/>
      <protection/>
    </xf>
    <xf numFmtId="0" fontId="14" fillId="0" borderId="0" xfId="24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22" applyFont="1" applyFill="1" applyBorder="1">
      <alignment/>
      <protection/>
    </xf>
    <xf numFmtId="0" fontId="19" fillId="0" borderId="0" xfId="22" applyFont="1" applyFill="1" applyBorder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4" fillId="0" borderId="0" xfId="22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2" fillId="0" borderId="0" xfId="22" applyFont="1" applyFill="1" applyBorder="1">
      <alignment/>
      <protection/>
    </xf>
    <xf numFmtId="0" fontId="14" fillId="0" borderId="0" xfId="22" applyFont="1" applyFill="1" applyBorder="1" applyProtection="1">
      <alignment/>
      <protection/>
    </xf>
    <xf numFmtId="38" fontId="11" fillId="8" borderId="12" xfId="24" applyNumberFormat="1" applyFont="1" applyFill="1" applyBorder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38" fontId="11" fillId="0" borderId="0" xfId="24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35" fillId="0" borderId="0" xfId="22" applyFont="1" applyFill="1" applyBorder="1" applyAlignment="1" applyProtection="1">
      <alignment horizontal="center"/>
      <protection locked="0"/>
    </xf>
    <xf numFmtId="0" fontId="34" fillId="0" borderId="0" xfId="22" applyFont="1" applyFill="1" applyBorder="1" applyAlignment="1" applyProtection="1">
      <alignment horizontal="center"/>
      <protection/>
    </xf>
    <xf numFmtId="0" fontId="24" fillId="0" borderId="0" xfId="22" applyFont="1" applyFill="1" applyBorder="1" applyAlignment="1" applyProtection="1">
      <alignment horizontal="left" vertical="center" wrapText="1"/>
      <protection/>
    </xf>
    <xf numFmtId="0" fontId="6" fillId="0" borderId="0" xfId="23" applyFont="1">
      <alignment/>
      <protection/>
    </xf>
    <xf numFmtId="0" fontId="37" fillId="0" borderId="0" xfId="21" applyFont="1">
      <alignment/>
      <protection/>
    </xf>
    <xf numFmtId="177" fontId="37" fillId="0" borderId="0" xfId="17" applyNumberFormat="1" applyFont="1" applyAlignment="1">
      <alignment/>
    </xf>
    <xf numFmtId="0" fontId="33" fillId="0" borderId="0" xfId="0" applyFont="1" applyAlignment="1">
      <alignment horizontal="center" wrapText="1"/>
    </xf>
    <xf numFmtId="166" fontId="37" fillId="0" borderId="0" xfId="15" applyNumberFormat="1" applyFont="1" applyAlignment="1">
      <alignment/>
    </xf>
    <xf numFmtId="38" fontId="11" fillId="4" borderId="13" xfId="22" applyNumberFormat="1" applyFont="1" applyFill="1" applyBorder="1" applyAlignment="1" applyProtection="1">
      <alignment horizontal="right"/>
      <protection/>
    </xf>
    <xf numFmtId="38" fontId="11" fillId="0" borderId="0" xfId="22" applyNumberFormat="1" applyFont="1" applyFill="1" applyBorder="1" applyAlignment="1" applyProtection="1">
      <alignment horizontal="right"/>
      <protection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centerContinuous"/>
    </xf>
    <xf numFmtId="38" fontId="40" fillId="0" borderId="0" xfId="22" applyNumberFormat="1" applyFont="1" applyFill="1" applyBorder="1" applyAlignment="1" applyProtection="1">
      <alignment horizontal="centerContinuous"/>
      <protection/>
    </xf>
    <xf numFmtId="38" fontId="39" fillId="0" borderId="0" xfId="22" applyNumberFormat="1" applyFont="1" applyFill="1" applyBorder="1" applyAlignment="1" applyProtection="1">
      <alignment horizontal="center"/>
      <protection/>
    </xf>
    <xf numFmtId="38" fontId="39" fillId="0" borderId="8" xfId="22" applyNumberFormat="1" applyFont="1" applyFill="1" applyBorder="1" applyAlignment="1" applyProtection="1">
      <alignment horizontal="center"/>
      <protection/>
    </xf>
    <xf numFmtId="38" fontId="38" fillId="0" borderId="0" xfId="22" applyNumberFormat="1" applyFont="1" applyBorder="1" applyProtection="1">
      <alignment/>
      <protection/>
    </xf>
    <xf numFmtId="38" fontId="38" fillId="0" borderId="0" xfId="22" applyNumberFormat="1" applyFont="1" applyFill="1" applyBorder="1">
      <alignment/>
      <protection/>
    </xf>
    <xf numFmtId="38" fontId="38" fillId="0" borderId="0" xfId="22" applyNumberFormat="1" applyFont="1" applyBorder="1">
      <alignment/>
      <protection/>
    </xf>
    <xf numFmtId="38" fontId="38" fillId="0" borderId="0" xfId="22" applyNumberFormat="1" applyFont="1" applyFill="1" applyBorder="1" applyAlignment="1" applyProtection="1">
      <alignment horizontal="right"/>
      <protection/>
    </xf>
    <xf numFmtId="38" fontId="38" fillId="7" borderId="1" xfId="22" applyNumberFormat="1" applyFont="1" applyFill="1" applyBorder="1" applyProtection="1">
      <alignment/>
      <protection/>
    </xf>
    <xf numFmtId="38" fontId="38" fillId="0" borderId="0" xfId="0" applyNumberFormat="1" applyFont="1" applyAlignment="1">
      <alignment vertical="center"/>
    </xf>
    <xf numFmtId="38" fontId="38" fillId="0" borderId="0" xfId="0" applyNumberFormat="1" applyFont="1" applyBorder="1" applyAlignment="1">
      <alignment/>
    </xf>
    <xf numFmtId="38" fontId="38" fillId="4" borderId="1" xfId="22" applyNumberFormat="1" applyFont="1" applyFill="1" applyBorder="1" applyAlignment="1" applyProtection="1">
      <alignment horizontal="right"/>
      <protection/>
    </xf>
    <xf numFmtId="177" fontId="37" fillId="4" borderId="1" xfId="17" applyNumberFormat="1" applyFont="1" applyFill="1" applyBorder="1" applyAlignment="1">
      <alignment/>
    </xf>
    <xf numFmtId="9" fontId="37" fillId="9" borderId="1" xfId="25" applyFont="1" applyFill="1" applyBorder="1" applyAlignment="1">
      <alignment/>
    </xf>
    <xf numFmtId="0" fontId="42" fillId="0" borderId="0" xfId="21" applyFont="1">
      <alignment/>
      <protection/>
    </xf>
    <xf numFmtId="10" fontId="37" fillId="4" borderId="0" xfId="25" applyNumberFormat="1" applyFont="1" applyFill="1" applyBorder="1" applyAlignment="1">
      <alignment/>
    </xf>
    <xf numFmtId="10" fontId="37" fillId="4" borderId="14" xfId="25" applyNumberFormat="1" applyFont="1" applyFill="1" applyBorder="1" applyAlignment="1">
      <alignment/>
    </xf>
    <xf numFmtId="10" fontId="37" fillId="4" borderId="2" xfId="25" applyNumberFormat="1" applyFont="1" applyFill="1" applyBorder="1" applyAlignment="1">
      <alignment/>
    </xf>
    <xf numFmtId="10" fontId="37" fillId="4" borderId="3" xfId="25" applyNumberFormat="1" applyFont="1" applyFill="1" applyBorder="1" applyAlignment="1">
      <alignment/>
    </xf>
    <xf numFmtId="10" fontId="37" fillId="4" borderId="4" xfId="25" applyNumberFormat="1" applyFont="1" applyFill="1" applyBorder="1" applyAlignment="1">
      <alignment/>
    </xf>
    <xf numFmtId="10" fontId="37" fillId="4" borderId="5" xfId="25" applyNumberFormat="1" applyFont="1" applyFill="1" applyBorder="1" applyAlignment="1">
      <alignment/>
    </xf>
    <xf numFmtId="10" fontId="37" fillId="4" borderId="15" xfId="25" applyNumberFormat="1" applyFont="1" applyFill="1" applyBorder="1" applyAlignment="1">
      <alignment/>
    </xf>
    <xf numFmtId="10" fontId="37" fillId="4" borderId="6" xfId="25" applyNumberFormat="1" applyFont="1" applyFill="1" applyBorder="1" applyAlignment="1">
      <alignment/>
    </xf>
    <xf numFmtId="10" fontId="37" fillId="4" borderId="7" xfId="25" applyNumberFormat="1" applyFont="1" applyFill="1" applyBorder="1" applyAlignment="1">
      <alignment/>
    </xf>
    <xf numFmtId="0" fontId="37" fillId="7" borderId="0" xfId="21" applyFont="1" applyFill="1">
      <alignment/>
      <protection/>
    </xf>
    <xf numFmtId="43" fontId="6" fillId="0" borderId="0" xfId="15" applyFont="1" applyAlignment="1">
      <alignment/>
    </xf>
    <xf numFmtId="43" fontId="6" fillId="10" borderId="0" xfId="15" applyFont="1" applyFill="1" applyAlignment="1">
      <alignment/>
    </xf>
    <xf numFmtId="166" fontId="37" fillId="0" borderId="0" xfId="15" applyNumberFormat="1" applyFont="1" applyFill="1" applyAlignment="1">
      <alignment/>
    </xf>
    <xf numFmtId="0" fontId="11" fillId="7" borderId="0" xfId="24" applyFont="1" applyFill="1" applyBorder="1">
      <alignment/>
      <protection/>
    </xf>
    <xf numFmtId="0" fontId="6" fillId="7" borderId="0" xfId="24" applyFont="1" applyFill="1" applyAlignment="1">
      <alignment horizontal="center"/>
      <protection/>
    </xf>
    <xf numFmtId="0" fontId="6" fillId="7" borderId="0" xfId="24" applyFont="1" applyFill="1" applyAlignment="1" quotePrefix="1">
      <alignment horizontal="center"/>
      <protection/>
    </xf>
    <xf numFmtId="0" fontId="7" fillId="0" borderId="0" xfId="24" applyFont="1" applyBorder="1" applyAlignment="1">
      <alignment horizontal="center"/>
      <protection/>
    </xf>
    <xf numFmtId="167" fontId="0" fillId="0" borderId="0" xfId="25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22" applyFont="1" applyBorder="1" applyAlignment="1" applyProtection="1">
      <alignment horizontal="center"/>
      <protection/>
    </xf>
    <xf numFmtId="169" fontId="0" fillId="0" borderId="0" xfId="25" applyNumberFormat="1" applyFont="1" applyAlignment="1">
      <alignment/>
    </xf>
    <xf numFmtId="177" fontId="0" fillId="0" borderId="0" xfId="17" applyNumberFormat="1" applyFont="1" applyAlignment="1">
      <alignment/>
    </xf>
    <xf numFmtId="177" fontId="7" fillId="11" borderId="1" xfId="0" applyNumberFormat="1" applyFont="1" applyFill="1" applyBorder="1" applyAlignment="1">
      <alignment/>
    </xf>
    <xf numFmtId="176" fontId="7" fillId="4" borderId="1" xfId="0" applyNumberFormat="1" applyFont="1" applyFill="1" applyBorder="1" applyAlignment="1">
      <alignment horizontal="center"/>
    </xf>
    <xf numFmtId="167" fontId="0" fillId="4" borderId="1" xfId="25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169" fontId="0" fillId="0" borderId="0" xfId="25" applyNumberFormat="1" applyFont="1" applyBorder="1" applyAlignment="1">
      <alignment horizontal="center"/>
    </xf>
    <xf numFmtId="169" fontId="7" fillId="4" borderId="13" xfId="25" applyNumberFormat="1" applyFont="1" applyFill="1" applyBorder="1" applyAlignment="1">
      <alignment horizontal="center"/>
    </xf>
    <xf numFmtId="10" fontId="0" fillId="5" borderId="0" xfId="25" applyNumberFormat="1" applyFont="1" applyFill="1" applyBorder="1" applyAlignment="1">
      <alignment horizontal="center"/>
    </xf>
    <xf numFmtId="176" fontId="0" fillId="5" borderId="0" xfId="17" applyNumberFormat="1" applyFont="1" applyFill="1" applyBorder="1" applyAlignment="1">
      <alignment horizontal="center"/>
    </xf>
    <xf numFmtId="38" fontId="13" fillId="5" borderId="0" xfId="15" applyNumberFormat="1" applyFont="1" applyFill="1" applyAlignment="1" applyProtection="1">
      <alignment/>
      <protection/>
    </xf>
    <xf numFmtId="38" fontId="17" fillId="4" borderId="1" xfId="22" applyNumberFormat="1" applyFont="1" applyFill="1" applyBorder="1" applyProtection="1">
      <alignment/>
      <protection/>
    </xf>
    <xf numFmtId="38" fontId="13" fillId="5" borderId="0" xfId="15" applyNumberFormat="1" applyFont="1" applyFill="1" applyBorder="1" applyAlignment="1" applyProtection="1">
      <alignment/>
      <protection locked="0"/>
    </xf>
    <xf numFmtId="38" fontId="13" fillId="5" borderId="0" xfId="15" applyNumberFormat="1" applyFont="1" applyFill="1" applyAlignment="1">
      <alignment/>
    </xf>
    <xf numFmtId="166" fontId="37" fillId="5" borderId="0" xfId="15" applyNumberFormat="1" applyFont="1" applyFill="1" applyAlignment="1">
      <alignment/>
    </xf>
    <xf numFmtId="38" fontId="6" fillId="4" borderId="1" xfId="22" applyNumberFormat="1" applyFont="1" applyFill="1" applyBorder="1" applyProtection="1">
      <alignment/>
      <protection/>
    </xf>
    <xf numFmtId="38" fontId="38" fillId="4" borderId="1" xfId="22" applyNumberFormat="1" applyFont="1" applyFill="1" applyBorder="1">
      <alignment/>
      <protection/>
    </xf>
    <xf numFmtId="38" fontId="2" fillId="4" borderId="1" xfId="22" applyNumberFormat="1" applyFont="1" applyFill="1" applyBorder="1">
      <alignment/>
      <protection/>
    </xf>
    <xf numFmtId="38" fontId="13" fillId="4" borderId="1" xfId="22" applyNumberFormat="1" applyFont="1" applyFill="1" applyBorder="1">
      <alignment/>
      <protection/>
    </xf>
    <xf numFmtId="38" fontId="38" fillId="5" borderId="0" xfId="15" applyNumberFormat="1" applyFont="1" applyFill="1" applyAlignment="1">
      <alignment/>
    </xf>
    <xf numFmtId="38" fontId="41" fillId="5" borderId="0" xfId="15" applyNumberFormat="1" applyFont="1" applyFill="1" applyAlignment="1">
      <alignment/>
    </xf>
    <xf numFmtId="38" fontId="38" fillId="5" borderId="0" xfId="15" applyNumberFormat="1" applyFont="1" applyFill="1" applyAlignment="1" applyProtection="1">
      <alignment/>
      <protection/>
    </xf>
    <xf numFmtId="0" fontId="38" fillId="5" borderId="0" xfId="0" applyFont="1" applyFill="1" applyAlignment="1">
      <alignment/>
    </xf>
    <xf numFmtId="38" fontId="11" fillId="5" borderId="0" xfId="24" applyNumberFormat="1" applyFont="1" applyFill="1" applyBorder="1">
      <alignment/>
      <protection/>
    </xf>
    <xf numFmtId="38" fontId="11" fillId="5" borderId="0" xfId="24" applyNumberFormat="1" applyFont="1" applyFill="1">
      <alignment/>
      <protection/>
    </xf>
    <xf numFmtId="0" fontId="0" fillId="5" borderId="0" xfId="0" applyFill="1" applyAlignment="1">
      <alignment/>
    </xf>
    <xf numFmtId="38" fontId="13" fillId="5" borderId="0" xfId="22" applyNumberFormat="1" applyFont="1" applyFill="1" applyBorder="1" applyAlignment="1" applyProtection="1">
      <alignment horizontal="right"/>
      <protection/>
    </xf>
    <xf numFmtId="166" fontId="38" fillId="5" borderId="0" xfId="15" applyNumberFormat="1" applyFont="1" applyFill="1" applyAlignment="1">
      <alignment/>
    </xf>
    <xf numFmtId="38" fontId="38" fillId="2" borderId="1" xfId="22" applyNumberFormat="1" applyFont="1" applyFill="1" applyBorder="1" applyAlignment="1" applyProtection="1">
      <alignment horizontal="right"/>
      <protection/>
    </xf>
    <xf numFmtId="43" fontId="38" fillId="10" borderId="0" xfId="15" applyFont="1" applyFill="1" applyAlignment="1">
      <alignment/>
    </xf>
    <xf numFmtId="38" fontId="38" fillId="4" borderId="17" xfId="22" applyNumberFormat="1" applyFont="1" applyFill="1" applyBorder="1" applyAlignment="1" applyProtection="1">
      <alignment horizontal="right"/>
      <protection/>
    </xf>
    <xf numFmtId="38" fontId="38" fillId="4" borderId="18" xfId="22" applyNumberFormat="1" applyFont="1" applyFill="1" applyBorder="1" applyAlignment="1" applyProtection="1">
      <alignment horizontal="right"/>
      <protection/>
    </xf>
    <xf numFmtId="38" fontId="38" fillId="4" borderId="19" xfId="22" applyNumberFormat="1" applyFont="1" applyFill="1" applyBorder="1" applyAlignment="1" applyProtection="1">
      <alignment horizontal="right"/>
      <protection/>
    </xf>
    <xf numFmtId="38" fontId="38" fillId="2" borderId="19" xfId="22" applyNumberFormat="1" applyFont="1" applyFill="1" applyBorder="1" applyAlignment="1" applyProtection="1">
      <alignment horizontal="right"/>
      <protection/>
    </xf>
    <xf numFmtId="43" fontId="38" fillId="0" borderId="0" xfId="15" applyFont="1" applyAlignment="1">
      <alignment/>
    </xf>
    <xf numFmtId="38" fontId="6" fillId="0" borderId="0" xfId="15" applyNumberFormat="1" applyFont="1" applyFill="1" applyAlignment="1" applyProtection="1">
      <alignment/>
      <protection/>
    </xf>
    <xf numFmtId="38" fontId="6" fillId="0" borderId="0" xfId="15" applyNumberFormat="1" applyFont="1" applyFill="1" applyBorder="1" applyAlignment="1" applyProtection="1">
      <alignment/>
      <protection/>
    </xf>
    <xf numFmtId="44" fontId="43" fillId="12" borderId="13" xfId="17" applyFont="1" applyFill="1" applyBorder="1" applyAlignment="1" applyProtection="1">
      <alignment horizontal="center"/>
      <protection/>
    </xf>
    <xf numFmtId="38" fontId="11" fillId="0" borderId="20" xfId="22" applyNumberFormat="1" applyFont="1" applyBorder="1" applyAlignment="1" applyProtection="1">
      <alignment horizontal="right"/>
      <protection/>
    </xf>
    <xf numFmtId="38" fontId="11" fillId="0" borderId="21" xfId="22" applyNumberFormat="1" applyFont="1" applyBorder="1" applyAlignment="1" applyProtection="1">
      <alignment horizontal="right"/>
      <protection/>
    </xf>
    <xf numFmtId="38" fontId="11" fillId="5" borderId="21" xfId="22" applyNumberFormat="1" applyFont="1" applyFill="1" applyBorder="1" applyAlignment="1" applyProtection="1">
      <alignment horizontal="center"/>
      <protection/>
    </xf>
    <xf numFmtId="38" fontId="11" fillId="0" borderId="0" xfId="22" applyNumberFormat="1" applyFont="1" applyBorder="1" applyAlignment="1" applyProtection="1">
      <alignment horizontal="center"/>
      <protection/>
    </xf>
    <xf numFmtId="38" fontId="11" fillId="5" borderId="20" xfId="22" applyNumberFormat="1" applyFont="1" applyFill="1" applyBorder="1" applyAlignment="1" applyProtection="1">
      <alignment horizontal="right"/>
      <protection/>
    </xf>
    <xf numFmtId="38" fontId="11" fillId="5" borderId="21" xfId="22" applyNumberFormat="1" applyFont="1" applyFill="1" applyBorder="1" applyAlignment="1" applyProtection="1">
      <alignment horizontal="righ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Last Approved" xfId="22"/>
    <cellStyle name="Normal_Sheet2" xfId="23"/>
    <cellStyle name="Normal_Sheet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%202007%20Supplemental%20Power%20Rate%20Case\_2008%20ASC%20Cookbooks\Avista%20ASC%202006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Y%202007%20Supplemental%20Power%20Rate%20Case\_2008%20ASC%20Cookbooks\ASCs_%205%20IOUs_2002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2006 COOKBOOK"/>
      <sheetName val="Other Reg Asst &amp; Misc Def Debit"/>
      <sheetName val="Other Def Credits &amp; Reg Liab"/>
      <sheetName val="Taxes Functionalized"/>
      <sheetName val="110-111 Bal Sht Assets &amp; Debits"/>
      <sheetName val="112-113 Bal Sht Liablts &amp; Crdts"/>
      <sheetName val="114-117 Statement of Income"/>
      <sheetName val="200 Utly Plnt Dep, Amort, Depl"/>
      <sheetName val="204-207 Elect Plnt-In-Service"/>
      <sheetName val="219 Accum Prov for Depr of E Pl"/>
      <sheetName val="232 Other Reg Assets"/>
      <sheetName val="233 Misc Deferred Debit"/>
      <sheetName val="257 Long-Term Debt"/>
      <sheetName val="262 Taxes"/>
      <sheetName val="269 Other Deferred Credits"/>
      <sheetName val="278 Other Reg Liabilities"/>
      <sheetName val="300-301 Elect Oper Revenues"/>
      <sheetName val="310-311 Sales for Resale"/>
      <sheetName val="320-323 Electric O&amp;M"/>
      <sheetName val="330 Trans Elec to others"/>
      <sheetName val="336 Elec Plnt Depr &amp; Amort"/>
      <sheetName val="354 Labor"/>
      <sheetName val="In-Lieu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C"/>
      <sheetName val="AVISTA, IPC, NW, PGE, PSE"/>
    </sheetNames>
    <sheetDataSet>
      <sheetData sheetId="2">
        <row r="424">
          <cell r="F424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543"/>
  <sheetViews>
    <sheetView zoomScale="75" zoomScaleNormal="75" workbookViewId="0" topLeftCell="A102">
      <selection activeCell="L34" sqref="L34"/>
    </sheetView>
  </sheetViews>
  <sheetFormatPr defaultColWidth="9.00390625" defaultRowHeight="15" customHeight="1"/>
  <cols>
    <col min="1" max="1" width="5.375" style="110" customWidth="1"/>
    <col min="2" max="2" width="40.50390625" style="110" customWidth="1"/>
    <col min="3" max="3" width="12.00390625" style="105" customWidth="1"/>
    <col min="4" max="4" width="11.375" style="105" customWidth="1"/>
    <col min="5" max="5" width="13.00390625" style="1" customWidth="1"/>
    <col min="6" max="6" width="11.125" style="71" customWidth="1"/>
    <col min="7" max="7" width="11.125" style="111" customWidth="1"/>
    <col min="8" max="8" width="11.875" style="111" customWidth="1"/>
    <col min="9" max="9" width="11.125" style="111" customWidth="1"/>
    <col min="10" max="10" width="7.25390625" style="129" customWidth="1"/>
    <col min="11" max="17" width="17.625" style="1" customWidth="1"/>
    <col min="18" max="16384" width="9.00390625" style="1" customWidth="1"/>
  </cols>
  <sheetData>
    <row r="1" spans="7:9" ht="15" customHeight="1">
      <c r="G1" s="111">
        <v>2</v>
      </c>
      <c r="H1" s="111">
        <v>3</v>
      </c>
      <c r="I1" s="111">
        <v>4</v>
      </c>
    </row>
    <row r="2" spans="1:11" ht="24.75" customHeight="1">
      <c r="A2" s="131" t="s">
        <v>107</v>
      </c>
      <c r="B2" s="131"/>
      <c r="C2" s="131"/>
      <c r="D2" s="131"/>
      <c r="E2" s="131"/>
      <c r="F2" s="131"/>
      <c r="G2" s="131"/>
      <c r="H2" s="131"/>
      <c r="I2" s="131"/>
      <c r="J2" s="31"/>
      <c r="K2" s="32"/>
    </row>
    <row r="3" spans="1:11" ht="15" customHeight="1">
      <c r="A3" s="132" t="s">
        <v>109</v>
      </c>
      <c r="B3" s="132"/>
      <c r="C3" s="132"/>
      <c r="D3" s="132"/>
      <c r="E3" s="132"/>
      <c r="F3" s="132"/>
      <c r="G3" s="132"/>
      <c r="H3" s="132"/>
      <c r="I3" s="132"/>
      <c r="J3" s="31"/>
      <c r="K3" s="32"/>
    </row>
    <row r="4" spans="1:11" ht="15" customHeight="1">
      <c r="A4" s="2" t="s">
        <v>285</v>
      </c>
      <c r="B4" s="2"/>
      <c r="C4" s="3"/>
      <c r="D4" s="3"/>
      <c r="E4" s="4"/>
      <c r="F4" s="5"/>
      <c r="G4" s="6"/>
      <c r="H4" s="34"/>
      <c r="I4" s="35"/>
      <c r="J4" s="31"/>
      <c r="K4" s="32"/>
    </row>
    <row r="5" spans="1:11" ht="15" customHeight="1">
      <c r="A5" s="2"/>
      <c r="B5" s="2"/>
      <c r="C5" s="3"/>
      <c r="D5" s="3"/>
      <c r="E5" s="4"/>
      <c r="F5" s="5"/>
      <c r="G5" s="6"/>
      <c r="H5" s="34"/>
      <c r="I5" s="35"/>
      <c r="J5" s="31"/>
      <c r="K5" s="32"/>
    </row>
    <row r="6" spans="1:11" ht="15" customHeight="1">
      <c r="A6" s="7" t="s">
        <v>201</v>
      </c>
      <c r="B6" s="8"/>
      <c r="C6" s="9"/>
      <c r="D6" s="9"/>
      <c r="E6" s="10"/>
      <c r="F6" s="11"/>
      <c r="G6" s="12"/>
      <c r="H6" s="36"/>
      <c r="I6" s="37"/>
      <c r="J6" s="31"/>
      <c r="K6" s="32"/>
    </row>
    <row r="7" spans="1:11" ht="15" customHeight="1">
      <c r="A7" s="38"/>
      <c r="B7" s="39" t="s">
        <v>10</v>
      </c>
      <c r="C7" s="40"/>
      <c r="D7" s="41" t="s">
        <v>11</v>
      </c>
      <c r="E7" s="42" t="s">
        <v>12</v>
      </c>
      <c r="F7" s="43" t="s">
        <v>13</v>
      </c>
      <c r="G7" s="44" t="s">
        <v>14</v>
      </c>
      <c r="H7" s="44" t="s">
        <v>15</v>
      </c>
      <c r="I7" s="44" t="s">
        <v>16</v>
      </c>
      <c r="J7" s="45"/>
      <c r="K7" s="38"/>
    </row>
    <row r="8" spans="1:11" ht="15" customHeight="1">
      <c r="A8" s="163"/>
      <c r="B8" s="178"/>
      <c r="C8" s="179" t="s">
        <v>199</v>
      </c>
      <c r="D8" s="180" t="s">
        <v>18</v>
      </c>
      <c r="E8" s="178" t="s">
        <v>19</v>
      </c>
      <c r="F8" s="181" t="s">
        <v>20</v>
      </c>
      <c r="G8" s="182"/>
      <c r="H8" s="182"/>
      <c r="I8" s="182" t="s">
        <v>21</v>
      </c>
      <c r="J8" s="47"/>
      <c r="K8" s="42"/>
    </row>
    <row r="9" spans="1:11" ht="15" customHeight="1" thickBot="1">
      <c r="A9" s="226"/>
      <c r="B9" s="183" t="s">
        <v>23</v>
      </c>
      <c r="C9" s="184" t="s">
        <v>123</v>
      </c>
      <c r="D9" s="185" t="s">
        <v>337</v>
      </c>
      <c r="E9" s="186" t="s">
        <v>24</v>
      </c>
      <c r="F9" s="187" t="s">
        <v>25</v>
      </c>
      <c r="G9" s="188" t="s">
        <v>26</v>
      </c>
      <c r="H9" s="188" t="s">
        <v>27</v>
      </c>
      <c r="I9" s="188" t="s">
        <v>28</v>
      </c>
      <c r="J9" s="48"/>
      <c r="K9" s="42"/>
    </row>
    <row r="10" spans="1:11" ht="15" customHeight="1" thickTop="1">
      <c r="A10" s="26" t="s">
        <v>65</v>
      </c>
      <c r="B10" s="52"/>
      <c r="C10" s="46"/>
      <c r="D10" s="41"/>
      <c r="E10" s="42"/>
      <c r="F10" s="53"/>
      <c r="G10" s="54"/>
      <c r="H10" s="54"/>
      <c r="I10" s="54"/>
      <c r="J10" s="45"/>
      <c r="K10" s="50"/>
    </row>
    <row r="11" spans="1:19" ht="15" customHeight="1">
      <c r="A11" s="17"/>
      <c r="B11" s="166" t="s">
        <v>213</v>
      </c>
      <c r="C11" s="164" t="s">
        <v>125</v>
      </c>
      <c r="D11" s="164">
        <v>301</v>
      </c>
      <c r="E11" s="167" t="s">
        <v>2</v>
      </c>
      <c r="F11" s="346">
        <v>0</v>
      </c>
      <c r="G11" s="296">
        <f>VLOOKUP($E11,Ratio,2,FALSE)*$F11</f>
        <v>0</v>
      </c>
      <c r="H11" s="296">
        <f>VLOOKUP($E11,Ratio,3,FALSE)*$F11</f>
        <v>0</v>
      </c>
      <c r="I11" s="296">
        <f>VLOOKUP($E11,Ratio,4,FALSE)*$F11</f>
        <v>0</v>
      </c>
      <c r="J11" s="56"/>
      <c r="K11" s="57"/>
      <c r="L11" s="29"/>
      <c r="M11" s="29"/>
      <c r="N11" s="29"/>
      <c r="O11" s="58"/>
      <c r="P11" s="58"/>
      <c r="Q11" s="58"/>
      <c r="R11" s="58"/>
      <c r="S11" s="58"/>
    </row>
    <row r="12" spans="1:19" ht="15" customHeight="1">
      <c r="A12" s="17"/>
      <c r="B12" s="166" t="s">
        <v>214</v>
      </c>
      <c r="C12" s="164" t="s">
        <v>125</v>
      </c>
      <c r="D12" s="164">
        <v>302</v>
      </c>
      <c r="E12" s="167" t="s">
        <v>5</v>
      </c>
      <c r="F12" s="346">
        <v>15259132</v>
      </c>
      <c r="G12" s="350"/>
      <c r="H12" s="350"/>
      <c r="I12" s="350"/>
      <c r="J12" s="56"/>
      <c r="K12" s="59"/>
      <c r="L12" s="29"/>
      <c r="M12" s="29"/>
      <c r="N12" s="29"/>
      <c r="O12" s="58"/>
      <c r="P12" s="58"/>
      <c r="Q12" s="58"/>
      <c r="R12" s="58"/>
      <c r="S12" s="58"/>
    </row>
    <row r="13" spans="1:19" ht="15" customHeight="1">
      <c r="A13" s="17"/>
      <c r="B13" s="166" t="s">
        <v>215</v>
      </c>
      <c r="C13" s="164" t="s">
        <v>125</v>
      </c>
      <c r="D13" s="164">
        <v>303</v>
      </c>
      <c r="E13" s="167" t="s">
        <v>5</v>
      </c>
      <c r="F13" s="346">
        <v>4420269</v>
      </c>
      <c r="G13" s="350"/>
      <c r="H13" s="350"/>
      <c r="I13" s="350"/>
      <c r="J13" s="56"/>
      <c r="K13" s="57"/>
      <c r="L13" s="29"/>
      <c r="M13" s="29"/>
      <c r="N13" s="29"/>
      <c r="O13" s="58"/>
      <c r="P13" s="58"/>
      <c r="Q13" s="58"/>
      <c r="R13" s="58"/>
      <c r="S13" s="58"/>
    </row>
    <row r="14" spans="1:19" ht="15" customHeight="1">
      <c r="A14" s="251" t="s">
        <v>187</v>
      </c>
      <c r="B14" s="58"/>
      <c r="C14" s="164"/>
      <c r="D14" s="164"/>
      <c r="E14" s="163"/>
      <c r="F14" s="347">
        <f>SUM(F11:F13)</f>
        <v>19679401</v>
      </c>
      <c r="G14" s="347">
        <f>SUM(G11:G13)</f>
        <v>0</v>
      </c>
      <c r="H14" s="347">
        <f>SUM(H11:H13)</f>
        <v>0</v>
      </c>
      <c r="I14" s="347">
        <f>SUM(I11:I13)</f>
        <v>0</v>
      </c>
      <c r="J14" s="60"/>
      <c r="K14" s="61"/>
      <c r="L14" s="29"/>
      <c r="M14" s="29"/>
      <c r="N14" s="29"/>
      <c r="O14" s="58"/>
      <c r="P14" s="58"/>
      <c r="Q14" s="58"/>
      <c r="R14" s="58"/>
      <c r="S14" s="58"/>
    </row>
    <row r="15" spans="1:19" s="21" customFormat="1" ht="15" customHeight="1">
      <c r="A15" s="62"/>
      <c r="B15" s="58"/>
      <c r="C15" s="164"/>
      <c r="D15" s="164"/>
      <c r="E15" s="163"/>
      <c r="F15" s="63"/>
      <c r="G15" s="64"/>
      <c r="H15" s="63"/>
      <c r="I15" s="63"/>
      <c r="J15" s="56"/>
      <c r="K15" s="57"/>
      <c r="L15" s="65"/>
      <c r="M15" s="65"/>
      <c r="N15" s="65"/>
      <c r="O15" s="58"/>
      <c r="P15" s="58"/>
      <c r="Q15" s="58"/>
      <c r="R15" s="58"/>
      <c r="S15" s="58"/>
    </row>
    <row r="16" spans="1:11" ht="15" customHeight="1">
      <c r="A16" s="26" t="s">
        <v>31</v>
      </c>
      <c r="B16" s="51"/>
      <c r="C16" s="164"/>
      <c r="D16" s="164"/>
      <c r="E16" s="163"/>
      <c r="F16" s="53"/>
      <c r="G16" s="54"/>
      <c r="H16" s="54"/>
      <c r="I16" s="54"/>
      <c r="J16" s="45"/>
      <c r="K16" s="50"/>
    </row>
    <row r="17" spans="1:14" ht="15" customHeight="1">
      <c r="A17" s="41"/>
      <c r="B17" s="168" t="s">
        <v>32</v>
      </c>
      <c r="C17" s="164" t="s">
        <v>125</v>
      </c>
      <c r="D17" s="18" t="s">
        <v>33</v>
      </c>
      <c r="E17" s="169" t="s">
        <v>3</v>
      </c>
      <c r="F17" s="346">
        <v>378625101</v>
      </c>
      <c r="G17" s="296">
        <f>VLOOKUP($E17,Ratio,2,FALSE)*$F17</f>
        <v>378625101</v>
      </c>
      <c r="H17" s="296">
        <f>VLOOKUP($E17,Ratio,3,FALSE)*$F17</f>
        <v>0</v>
      </c>
      <c r="I17" s="296">
        <f>VLOOKUP($E17,Ratio,4,FALSE)*$F17</f>
        <v>0</v>
      </c>
      <c r="J17" s="60"/>
      <c r="K17" s="61"/>
      <c r="L17" s="66"/>
      <c r="M17" s="66"/>
      <c r="N17" s="66"/>
    </row>
    <row r="18" spans="1:19" ht="15" customHeight="1">
      <c r="A18" s="41"/>
      <c r="B18" s="168" t="s">
        <v>34</v>
      </c>
      <c r="C18" s="164" t="s">
        <v>125</v>
      </c>
      <c r="D18" s="18" t="s">
        <v>35</v>
      </c>
      <c r="E18" s="169" t="s">
        <v>3</v>
      </c>
      <c r="F18" s="346">
        <v>0</v>
      </c>
      <c r="G18" s="296">
        <f>VLOOKUP($E18,Ratio,2,FALSE)*$F18</f>
        <v>0</v>
      </c>
      <c r="H18" s="296">
        <f>VLOOKUP($E18,Ratio,3,FALSE)*$F18</f>
        <v>0</v>
      </c>
      <c r="I18" s="296">
        <f>VLOOKUP($E18,Ratio,4,FALSE)*$F18</f>
        <v>0</v>
      </c>
      <c r="J18" s="60"/>
      <c r="K18" s="61"/>
      <c r="L18" s="67"/>
      <c r="M18" s="68"/>
      <c r="N18" s="66"/>
      <c r="O18" s="58"/>
      <c r="P18" s="58"/>
      <c r="Q18" s="58"/>
      <c r="R18" s="58"/>
      <c r="S18" s="58"/>
    </row>
    <row r="19" spans="1:19" ht="15" customHeight="1">
      <c r="A19" s="41"/>
      <c r="B19" s="168" t="s">
        <v>36</v>
      </c>
      <c r="C19" s="164" t="s">
        <v>125</v>
      </c>
      <c r="D19" s="18" t="s">
        <v>37</v>
      </c>
      <c r="E19" s="169" t="s">
        <v>3</v>
      </c>
      <c r="F19" s="346">
        <v>340480980</v>
      </c>
      <c r="G19" s="296">
        <f>VLOOKUP($E19,Ratio,2,FALSE)*$F19</f>
        <v>340480980</v>
      </c>
      <c r="H19" s="296">
        <f>VLOOKUP($E19,Ratio,3,FALSE)*$F19</f>
        <v>0</v>
      </c>
      <c r="I19" s="296">
        <f>VLOOKUP($E19,Ratio,4,FALSE)*$F19</f>
        <v>0</v>
      </c>
      <c r="J19" s="60"/>
      <c r="K19" s="61"/>
      <c r="L19" s="29"/>
      <c r="M19" s="29"/>
      <c r="N19" s="29"/>
      <c r="O19" s="58"/>
      <c r="P19" s="58"/>
      <c r="Q19" s="58"/>
      <c r="R19" s="58"/>
      <c r="S19" s="58"/>
    </row>
    <row r="20" spans="1:19" ht="15" customHeight="1">
      <c r="A20" s="41" t="s">
        <v>360</v>
      </c>
      <c r="B20" s="168" t="s">
        <v>38</v>
      </c>
      <c r="C20" s="164" t="s">
        <v>125</v>
      </c>
      <c r="D20" s="18" t="s">
        <v>39</v>
      </c>
      <c r="E20" s="169" t="s">
        <v>3</v>
      </c>
      <c r="F20" s="346">
        <v>272688068</v>
      </c>
      <c r="G20" s="296">
        <f>VLOOKUP($E20,Ratio,2,FALSE)*$F20</f>
        <v>272688068</v>
      </c>
      <c r="H20" s="296">
        <f>VLOOKUP($E20,Ratio,3,FALSE)*$F20</f>
        <v>0</v>
      </c>
      <c r="I20" s="296">
        <f>VLOOKUP($E20,Ratio,4,FALSE)*$F20</f>
        <v>0</v>
      </c>
      <c r="J20" s="60"/>
      <c r="K20" s="61"/>
      <c r="L20" s="29"/>
      <c r="M20" s="29"/>
      <c r="N20" s="29"/>
      <c r="O20" s="58"/>
      <c r="P20" s="58"/>
      <c r="Q20" s="58"/>
      <c r="R20" s="58"/>
      <c r="S20" s="58"/>
    </row>
    <row r="21" spans="1:19" ht="15" customHeight="1">
      <c r="A21" s="251" t="s">
        <v>40</v>
      </c>
      <c r="B21" s="58"/>
      <c r="C21" s="164"/>
      <c r="D21" s="164"/>
      <c r="E21" s="163"/>
      <c r="F21" s="347">
        <f>SUM(F17:F20)</f>
        <v>991794149</v>
      </c>
      <c r="G21" s="347">
        <f>SUM(G17:G20)</f>
        <v>991794149</v>
      </c>
      <c r="H21" s="347">
        <f>SUM(H17:H20)</f>
        <v>0</v>
      </c>
      <c r="I21" s="347">
        <f>SUM(I17:I20)</f>
        <v>0</v>
      </c>
      <c r="J21" s="60"/>
      <c r="K21" s="61"/>
      <c r="L21" s="29"/>
      <c r="M21" s="29"/>
      <c r="N21" s="29"/>
      <c r="O21" s="58"/>
      <c r="P21" s="58"/>
      <c r="Q21" s="58"/>
      <c r="R21" s="58"/>
      <c r="S21" s="58"/>
    </row>
    <row r="22" spans="1:14" ht="15" customHeight="1">
      <c r="A22" s="62"/>
      <c r="B22" s="58"/>
      <c r="C22" s="164"/>
      <c r="D22" s="164"/>
      <c r="E22" s="163"/>
      <c r="G22" s="72"/>
      <c r="H22" s="72"/>
      <c r="I22" s="72"/>
      <c r="J22" s="60"/>
      <c r="K22" s="61"/>
      <c r="L22" s="29"/>
      <c r="M22" s="29"/>
      <c r="N22" s="29"/>
    </row>
    <row r="23" spans="1:14" ht="15" customHeight="1">
      <c r="A23" s="26" t="s">
        <v>366</v>
      </c>
      <c r="B23" s="172"/>
      <c r="C23" s="164"/>
      <c r="D23" s="164"/>
      <c r="E23" s="290"/>
      <c r="F23" s="63"/>
      <c r="G23" s="72"/>
      <c r="H23" s="72"/>
      <c r="I23" s="72"/>
      <c r="J23" s="60"/>
      <c r="K23" s="61"/>
      <c r="L23" s="29"/>
      <c r="M23" s="29"/>
      <c r="N23" s="29"/>
    </row>
    <row r="24" spans="1:19" ht="15" customHeight="1">
      <c r="A24" s="41"/>
      <c r="B24" s="168" t="s">
        <v>363</v>
      </c>
      <c r="C24" s="164" t="s">
        <v>125</v>
      </c>
      <c r="D24" s="18" t="s">
        <v>41</v>
      </c>
      <c r="E24" s="169" t="s">
        <v>4</v>
      </c>
      <c r="F24" s="348">
        <v>383823745</v>
      </c>
      <c r="G24" s="296">
        <f>VLOOKUP($E24,Ratio,2,FALSE)*$F24</f>
        <v>0</v>
      </c>
      <c r="H24" s="296">
        <f>VLOOKUP($E24,Ratio,3,FALSE)*$F24</f>
        <v>383823745</v>
      </c>
      <c r="I24" s="296">
        <f>VLOOKUP($E24,Ratio,4,FALSE)*$F24</f>
        <v>0</v>
      </c>
      <c r="J24" s="60"/>
      <c r="K24" s="61"/>
      <c r="L24" s="29"/>
      <c r="M24" s="29"/>
      <c r="N24" s="29"/>
      <c r="O24" s="58"/>
      <c r="P24" s="58"/>
      <c r="Q24" s="58"/>
      <c r="R24" s="58"/>
      <c r="S24" s="58"/>
    </row>
    <row r="25" spans="1:19" ht="15" customHeight="1">
      <c r="A25" s="252" t="s">
        <v>42</v>
      </c>
      <c r="B25" s="65"/>
      <c r="C25" s="173"/>
      <c r="D25" s="164"/>
      <c r="E25" s="163"/>
      <c r="F25" s="347">
        <f>SUM(F24)</f>
        <v>383823745</v>
      </c>
      <c r="G25" s="347">
        <f>SUM(G24)</f>
        <v>0</v>
      </c>
      <c r="H25" s="347">
        <f>SUM(H24)</f>
        <v>383823745</v>
      </c>
      <c r="I25" s="347">
        <f>SUM(I24)</f>
        <v>0</v>
      </c>
      <c r="J25" s="60"/>
      <c r="K25" s="61"/>
      <c r="L25" s="29"/>
      <c r="M25" s="29"/>
      <c r="N25" s="29"/>
      <c r="O25" s="58"/>
      <c r="P25" s="58"/>
      <c r="Q25" s="58"/>
      <c r="R25" s="58"/>
      <c r="S25" s="58"/>
    </row>
    <row r="26" spans="1:19" s="21" customFormat="1" ht="15" customHeight="1">
      <c r="A26" s="62"/>
      <c r="B26" s="65"/>
      <c r="C26" s="173"/>
      <c r="D26" s="164"/>
      <c r="E26" s="163"/>
      <c r="F26" s="77"/>
      <c r="G26" s="77"/>
      <c r="H26" s="77"/>
      <c r="I26" s="77"/>
      <c r="J26" s="56"/>
      <c r="K26" s="57"/>
      <c r="L26" s="65"/>
      <c r="M26" s="65"/>
      <c r="N26" s="65"/>
      <c r="O26" s="58"/>
      <c r="P26" s="58"/>
      <c r="Q26" s="58"/>
      <c r="R26" s="58"/>
      <c r="S26" s="58"/>
    </row>
    <row r="27" spans="1:14" ht="15" customHeight="1">
      <c r="A27" s="26" t="s">
        <v>64</v>
      </c>
      <c r="B27" s="172"/>
      <c r="C27" s="164"/>
      <c r="D27" s="164"/>
      <c r="E27" s="58"/>
      <c r="F27" s="63"/>
      <c r="G27" s="72"/>
      <c r="H27" s="72"/>
      <c r="I27" s="72"/>
      <c r="J27" s="60"/>
      <c r="K27" s="61"/>
      <c r="L27" s="29"/>
      <c r="M27" s="29"/>
      <c r="N27" s="29"/>
    </row>
    <row r="28" spans="1:19" ht="15" customHeight="1">
      <c r="A28" s="41"/>
      <c r="B28" s="168" t="s">
        <v>364</v>
      </c>
      <c r="C28" s="164" t="s">
        <v>125</v>
      </c>
      <c r="D28" s="18" t="s">
        <v>44</v>
      </c>
      <c r="E28" s="169" t="s">
        <v>2</v>
      </c>
      <c r="F28" s="348">
        <v>832094240</v>
      </c>
      <c r="G28" s="296">
        <f>VLOOKUP($E28,Ratio,2,FALSE)*$F28</f>
        <v>0</v>
      </c>
      <c r="H28" s="296">
        <f>VLOOKUP($E28,Ratio,3,FALSE)*$F28</f>
        <v>0</v>
      </c>
      <c r="I28" s="296">
        <f>VLOOKUP($E28,Ratio,4,FALSE)*$F28</f>
        <v>832094240</v>
      </c>
      <c r="J28" s="60"/>
      <c r="K28" s="61"/>
      <c r="L28" s="29"/>
      <c r="M28" s="29"/>
      <c r="N28" s="29"/>
      <c r="O28" s="58"/>
      <c r="P28" s="58"/>
      <c r="Q28" s="58"/>
      <c r="R28" s="58"/>
      <c r="S28" s="58"/>
    </row>
    <row r="29" spans="1:19" ht="15" customHeight="1">
      <c r="A29" s="253" t="s">
        <v>43</v>
      </c>
      <c r="B29" s="166"/>
      <c r="C29" s="164"/>
      <c r="D29" s="164"/>
      <c r="E29" s="169"/>
      <c r="F29" s="347">
        <f>SUM(F28)</f>
        <v>832094240</v>
      </c>
      <c r="G29" s="347">
        <f>SUM(G28)</f>
        <v>0</v>
      </c>
      <c r="H29" s="347">
        <f>SUM(H28)</f>
        <v>0</v>
      </c>
      <c r="I29" s="347">
        <f>SUM(I28)</f>
        <v>832094240</v>
      </c>
      <c r="J29" s="60"/>
      <c r="K29" s="61"/>
      <c r="L29" s="29"/>
      <c r="M29" s="29"/>
      <c r="N29" s="29"/>
      <c r="O29" s="58"/>
      <c r="P29" s="58"/>
      <c r="Q29" s="58"/>
      <c r="R29" s="58"/>
      <c r="S29" s="58"/>
    </row>
    <row r="30" spans="1:19" s="21" customFormat="1" ht="15" customHeight="1">
      <c r="A30" s="78"/>
      <c r="B30" s="166"/>
      <c r="C30" s="164"/>
      <c r="D30" s="164"/>
      <c r="E30" s="169"/>
      <c r="F30" s="74"/>
      <c r="G30" s="74"/>
      <c r="H30" s="74"/>
      <c r="I30" s="74"/>
      <c r="J30" s="56"/>
      <c r="K30" s="57"/>
      <c r="L30" s="65"/>
      <c r="M30" s="65"/>
      <c r="N30" s="65"/>
      <c r="O30" s="58"/>
      <c r="P30" s="58"/>
      <c r="Q30" s="58"/>
      <c r="R30" s="58"/>
      <c r="S30" s="58"/>
    </row>
    <row r="31" spans="1:14" ht="15" customHeight="1">
      <c r="A31" s="26" t="s">
        <v>46</v>
      </c>
      <c r="B31" s="65"/>
      <c r="C31" s="164"/>
      <c r="D31" s="18"/>
      <c r="E31" s="167"/>
      <c r="F31" s="80"/>
      <c r="G31" s="81"/>
      <c r="H31" s="81"/>
      <c r="I31" s="81"/>
      <c r="J31" s="60"/>
      <c r="K31" s="61"/>
      <c r="L31" s="29"/>
      <c r="M31" s="29"/>
      <c r="N31" s="29"/>
    </row>
    <row r="32" spans="1:14" ht="15" customHeight="1">
      <c r="A32" s="41"/>
      <c r="B32" s="190" t="s">
        <v>47</v>
      </c>
      <c r="C32" s="164" t="s">
        <v>125</v>
      </c>
      <c r="D32" s="18">
        <v>389</v>
      </c>
      <c r="E32" s="167" t="s">
        <v>22</v>
      </c>
      <c r="F32" s="349">
        <v>124681</v>
      </c>
      <c r="G32" s="296">
        <f>VLOOKUP($E32,Ratio,2,FALSE)*$F32</f>
        <v>56011.77997215691</v>
      </c>
      <c r="H32" s="296">
        <f>VLOOKUP($E32,Ratio,3,FALSE)*$F32</f>
        <v>21676.52549140947</v>
      </c>
      <c r="I32" s="296">
        <f>VLOOKUP($E32,Ratio,4,FALSE)*$F32</f>
        <v>46992.69453643362</v>
      </c>
      <c r="J32" s="60"/>
      <c r="K32" s="61"/>
      <c r="L32" s="29"/>
      <c r="M32" s="29"/>
      <c r="N32" s="29"/>
    </row>
    <row r="33" spans="1:14" ht="15" customHeight="1">
      <c r="A33" s="41"/>
      <c r="B33" s="190" t="s">
        <v>48</v>
      </c>
      <c r="C33" s="164" t="s">
        <v>125</v>
      </c>
      <c r="D33" s="18">
        <v>390</v>
      </c>
      <c r="E33" s="167" t="s">
        <v>22</v>
      </c>
      <c r="F33" s="349">
        <v>2042518</v>
      </c>
      <c r="G33" s="296">
        <f>VLOOKUP($E33,Ratio,2,FALSE)*$F33</f>
        <v>917582.2202674826</v>
      </c>
      <c r="H33" s="296">
        <f>VLOOKUP($E33,Ratio,3,FALSE)*$F33</f>
        <v>355103.7727774295</v>
      </c>
      <c r="I33" s="296">
        <f>VLOOKUP($E33,Ratio,4,FALSE)*$F33</f>
        <v>769832.0069550879</v>
      </c>
      <c r="J33" s="60"/>
      <c r="K33" s="61"/>
      <c r="L33" s="29"/>
      <c r="M33" s="29"/>
      <c r="N33" s="29"/>
    </row>
    <row r="34" spans="1:14" ht="15" customHeight="1">
      <c r="A34" s="41"/>
      <c r="B34" s="190" t="s">
        <v>49</v>
      </c>
      <c r="C34" s="164" t="s">
        <v>125</v>
      </c>
      <c r="D34" s="18">
        <v>391</v>
      </c>
      <c r="E34" s="167" t="s">
        <v>17</v>
      </c>
      <c r="F34" s="349">
        <v>136601</v>
      </c>
      <c r="G34" s="296">
        <f>VLOOKUP($E34,Ratio,2,FALSE)*$F34</f>
        <v>61328.119435064014</v>
      </c>
      <c r="H34" s="296">
        <f>VLOOKUP($E34,Ratio,3,FALSE)*$F34</f>
        <v>23712.69020291583</v>
      </c>
      <c r="I34" s="296">
        <f>VLOOKUP($E34,Ratio,4,FALSE)*$F34</f>
        <v>51560.19036202017</v>
      </c>
      <c r="J34" s="60"/>
      <c r="K34" s="61"/>
      <c r="L34" s="29"/>
      <c r="M34" s="29"/>
      <c r="N34" s="29"/>
    </row>
    <row r="35" spans="1:14" ht="15" customHeight="1">
      <c r="A35" s="41"/>
      <c r="B35" s="190" t="s">
        <v>50</v>
      </c>
      <c r="C35" s="164" t="s">
        <v>125</v>
      </c>
      <c r="D35" s="18">
        <v>392</v>
      </c>
      <c r="E35" s="167" t="s">
        <v>30</v>
      </c>
      <c r="F35" s="349">
        <v>8275752</v>
      </c>
      <c r="G35" s="296">
        <f>VLOOKUP($E35,Ratio,2,FALSE)*$F35</f>
        <v>0</v>
      </c>
      <c r="H35" s="296">
        <f>VLOOKUP($E35,Ratio,3,FALSE)*$F35</f>
        <v>2612372.0222225683</v>
      </c>
      <c r="I35" s="296">
        <f>VLOOKUP($E35,Ratio,4,FALSE)*$F35</f>
        <v>5663379.977777433</v>
      </c>
      <c r="J35" s="60"/>
      <c r="K35" s="61"/>
      <c r="L35" s="29"/>
      <c r="M35" s="29"/>
      <c r="N35" s="29"/>
    </row>
    <row r="36" spans="1:14" ht="15" customHeight="1">
      <c r="A36" s="41"/>
      <c r="B36" s="190" t="s">
        <v>51</v>
      </c>
      <c r="C36" s="164" t="s">
        <v>125</v>
      </c>
      <c r="D36" s="18">
        <v>393</v>
      </c>
      <c r="E36" s="167" t="s">
        <v>22</v>
      </c>
      <c r="F36" s="349">
        <v>120561</v>
      </c>
      <c r="G36" s="296">
        <f>VLOOKUP($E36,Ratio,2,FALSE)*$F36</f>
        <v>54160.90827971551</v>
      </c>
      <c r="H36" s="296">
        <f>VLOOKUP($E36,Ratio,3,FALSE)*$F36</f>
        <v>20960.239248721275</v>
      </c>
      <c r="I36" s="296">
        <f>VLOOKUP($E36,Ratio,4,FALSE)*$F36</f>
        <v>45439.852471563216</v>
      </c>
      <c r="J36" s="60"/>
      <c r="K36" s="61"/>
      <c r="L36" s="29"/>
      <c r="M36" s="29"/>
      <c r="N36" s="29"/>
    </row>
    <row r="37" spans="1:14" ht="15" customHeight="1">
      <c r="A37" s="41"/>
      <c r="B37" s="190" t="s">
        <v>52</v>
      </c>
      <c r="C37" s="164" t="s">
        <v>125</v>
      </c>
      <c r="D37" s="18">
        <v>394</v>
      </c>
      <c r="E37" s="167" t="s">
        <v>22</v>
      </c>
      <c r="F37" s="349">
        <v>2988365</v>
      </c>
      <c r="G37" s="296">
        <f>VLOOKUP($E37,Ratio,2,FALSE)*$F37</f>
        <v>1342495.1905783133</v>
      </c>
      <c r="H37" s="296">
        <f>VLOOKUP($E37,Ratio,3,FALSE)*$F37</f>
        <v>519544.8392308039</v>
      </c>
      <c r="I37" s="296">
        <f>VLOOKUP($E37,Ratio,4,FALSE)*$F37</f>
        <v>1126324.9701908827</v>
      </c>
      <c r="J37" s="60"/>
      <c r="K37" s="61"/>
      <c r="L37" s="29"/>
      <c r="M37" s="29"/>
      <c r="N37" s="29"/>
    </row>
    <row r="38" spans="1:14" ht="15" customHeight="1">
      <c r="A38" s="41"/>
      <c r="B38" s="190" t="s">
        <v>53</v>
      </c>
      <c r="C38" s="164" t="s">
        <v>125</v>
      </c>
      <c r="D38" s="18">
        <v>395</v>
      </c>
      <c r="E38" s="167" t="s">
        <v>22</v>
      </c>
      <c r="F38" s="349">
        <v>3039673</v>
      </c>
      <c r="G38" s="296">
        <f>VLOOKUP($E38,Ratio,2,FALSE)*$F38</f>
        <v>1365544.8325190376</v>
      </c>
      <c r="H38" s="296">
        <f>VLOOKUP($E38,Ratio,3,FALSE)*$F38</f>
        <v>528465.03693465</v>
      </c>
      <c r="I38" s="296">
        <f>VLOOKUP($E38,Ratio,4,FALSE)*$F38</f>
        <v>1145663.1305463125</v>
      </c>
      <c r="J38" s="60"/>
      <c r="K38" s="61"/>
      <c r="L38" s="29"/>
      <c r="M38" s="29"/>
      <c r="N38" s="29"/>
    </row>
    <row r="39" spans="1:14" ht="15" customHeight="1">
      <c r="A39" s="41"/>
      <c r="B39" s="190" t="s">
        <v>54</v>
      </c>
      <c r="C39" s="164" t="s">
        <v>125</v>
      </c>
      <c r="D39" s="18">
        <v>396</v>
      </c>
      <c r="E39" s="167" t="s">
        <v>30</v>
      </c>
      <c r="F39" s="349">
        <v>19674347</v>
      </c>
      <c r="G39" s="296">
        <f>VLOOKUP($E39,Ratio,2,FALSE)*$F39</f>
        <v>0</v>
      </c>
      <c r="H39" s="296">
        <f>VLOOKUP($E39,Ratio,3,FALSE)*$F39</f>
        <v>6210518.833611557</v>
      </c>
      <c r="I39" s="296">
        <f>VLOOKUP($E39,Ratio,4,FALSE)*$F39</f>
        <v>13463828.166388443</v>
      </c>
      <c r="J39" s="60"/>
      <c r="K39" s="61"/>
      <c r="L39" s="29"/>
      <c r="M39" s="29"/>
      <c r="N39" s="29"/>
    </row>
    <row r="40" spans="1:14" ht="15" customHeight="1">
      <c r="A40" s="41"/>
      <c r="B40" s="190" t="s">
        <v>55</v>
      </c>
      <c r="C40" s="164" t="s">
        <v>125</v>
      </c>
      <c r="D40" s="18">
        <v>397</v>
      </c>
      <c r="E40" s="167" t="s">
        <v>22</v>
      </c>
      <c r="F40" s="349">
        <v>28330864</v>
      </c>
      <c r="G40" s="296">
        <f>VLOOKUP($E40,Ratio,2,FALSE)*$F40</f>
        <v>12727377.233011456</v>
      </c>
      <c r="H40" s="296">
        <f>VLOOKUP($E40,Ratio,3,FALSE)*$F40</f>
        <v>4925487.409385992</v>
      </c>
      <c r="I40" s="296">
        <f>VLOOKUP($E40,Ratio,4,FALSE)*$F40</f>
        <v>10677999.357602553</v>
      </c>
      <c r="J40" s="60"/>
      <c r="K40" s="61"/>
      <c r="L40" s="29"/>
      <c r="M40" s="29"/>
      <c r="N40" s="29"/>
    </row>
    <row r="41" spans="1:14" ht="15" customHeight="1">
      <c r="A41" s="41"/>
      <c r="B41" s="190" t="s">
        <v>56</v>
      </c>
      <c r="C41" s="164" t="s">
        <v>125</v>
      </c>
      <c r="D41" s="18">
        <v>398</v>
      </c>
      <c r="E41" s="167" t="s">
        <v>22</v>
      </c>
      <c r="F41" s="349">
        <v>3973</v>
      </c>
      <c r="G41" s="296">
        <f>VLOOKUP($E41,Ratio,2,FALSE)*$F41</f>
        <v>1784.8333092402163</v>
      </c>
      <c r="H41" s="296">
        <f>VLOOKUP($E41,Ratio,3,FALSE)*$F41</f>
        <v>690.7294277184961</v>
      </c>
      <c r="I41" s="296">
        <f>VLOOKUP($E41,Ratio,4,FALSE)*$F41</f>
        <v>1497.4372630412875</v>
      </c>
      <c r="J41" s="60"/>
      <c r="K41" s="61"/>
      <c r="L41" s="29"/>
      <c r="M41" s="29"/>
      <c r="N41" s="29"/>
    </row>
    <row r="42" spans="1:14" ht="15" customHeight="1">
      <c r="A42" s="41"/>
      <c r="B42" s="190" t="s">
        <v>345</v>
      </c>
      <c r="C42" s="164" t="s">
        <v>125</v>
      </c>
      <c r="D42" s="18">
        <v>399</v>
      </c>
      <c r="E42" s="167" t="s">
        <v>5</v>
      </c>
      <c r="F42" s="349"/>
      <c r="G42" s="350"/>
      <c r="H42" s="350"/>
      <c r="I42" s="350"/>
      <c r="J42" s="60"/>
      <c r="K42" s="61"/>
      <c r="L42" s="29"/>
      <c r="M42" s="29"/>
      <c r="N42" s="29"/>
    </row>
    <row r="43" spans="1:14" ht="15" customHeight="1">
      <c r="A43" s="41"/>
      <c r="B43" s="190" t="s">
        <v>191</v>
      </c>
      <c r="C43" s="164" t="s">
        <v>192</v>
      </c>
      <c r="D43" s="18">
        <v>399.1</v>
      </c>
      <c r="E43" s="167" t="s">
        <v>22</v>
      </c>
      <c r="F43" s="349"/>
      <c r="G43" s="296">
        <f>VLOOKUP($E43,Ratio,2,FALSE)*$F43</f>
        <v>0</v>
      </c>
      <c r="H43" s="296">
        <f>VLOOKUP($E43,Ratio,3,FALSE)*$F43</f>
        <v>0</v>
      </c>
      <c r="I43" s="296">
        <f>VLOOKUP($E43,Ratio,4,FALSE)*$F43</f>
        <v>0</v>
      </c>
      <c r="J43" s="60"/>
      <c r="K43" s="61"/>
      <c r="L43" s="29"/>
      <c r="M43" s="29"/>
      <c r="N43" s="29"/>
    </row>
    <row r="44" spans="1:14" ht="15" customHeight="1">
      <c r="A44" s="254"/>
      <c r="B44" s="255"/>
      <c r="C44" s="41"/>
      <c r="D44" s="16"/>
      <c r="E44" s="90"/>
      <c r="F44" s="83"/>
      <c r="G44" s="55"/>
      <c r="H44" s="55"/>
      <c r="I44" s="55"/>
      <c r="J44" s="60"/>
      <c r="K44" s="61"/>
      <c r="L44" s="29"/>
      <c r="M44" s="29"/>
      <c r="N44" s="29"/>
    </row>
    <row r="45" spans="1:14" ht="15" customHeight="1">
      <c r="A45" s="256" t="s">
        <v>57</v>
      </c>
      <c r="B45" s="257"/>
      <c r="C45" s="41"/>
      <c r="D45" s="41"/>
      <c r="E45" s="19"/>
      <c r="F45" s="146">
        <f>SUM(F32:F44)</f>
        <v>64737335</v>
      </c>
      <c r="G45" s="146">
        <f>SUM(G32:G44)</f>
        <v>16526285.117372466</v>
      </c>
      <c r="H45" s="146">
        <f>SUM(H32:H44)</f>
        <v>15218532.098533766</v>
      </c>
      <c r="I45" s="146">
        <f>SUM(I32:I44)</f>
        <v>32992517.784093767</v>
      </c>
      <c r="J45" s="60"/>
      <c r="K45" s="61"/>
      <c r="L45" s="29"/>
      <c r="M45" s="29"/>
      <c r="N45" s="29"/>
    </row>
    <row r="46" spans="1:14" ht="15" customHeight="1">
      <c r="A46" s="258"/>
      <c r="B46" s="86"/>
      <c r="C46" s="41"/>
      <c r="D46" s="41"/>
      <c r="E46" s="19"/>
      <c r="F46" s="20"/>
      <c r="G46" s="20"/>
      <c r="H46" s="20"/>
      <c r="I46" s="20"/>
      <c r="J46" s="60"/>
      <c r="K46" s="61"/>
      <c r="L46" s="29"/>
      <c r="M46" s="29"/>
      <c r="N46" s="29"/>
    </row>
    <row r="47" spans="1:14" ht="15" customHeight="1">
      <c r="A47" s="253" t="s">
        <v>58</v>
      </c>
      <c r="B47" s="86"/>
      <c r="C47" s="41"/>
      <c r="D47" s="41"/>
      <c r="E47" s="87"/>
      <c r="F47" s="147">
        <f>F14+F21+F25+F29+F45</f>
        <v>2292128870</v>
      </c>
      <c r="G47" s="147">
        <f>G14+G21+G25+G29+G45</f>
        <v>1008320434.1173725</v>
      </c>
      <c r="H47" s="147">
        <f>H14+H21+H25+H29+H45</f>
        <v>399042277.09853375</v>
      </c>
      <c r="I47" s="147">
        <f>I14+I21+I25+I29+I45</f>
        <v>865086757.7840937</v>
      </c>
      <c r="J47" s="60"/>
      <c r="K47" s="61"/>
      <c r="L47" s="29"/>
      <c r="M47" s="29"/>
      <c r="N47" s="29"/>
    </row>
    <row r="48" spans="1:14" s="21" customFormat="1" ht="15" customHeight="1">
      <c r="A48" s="85" t="s">
        <v>188</v>
      </c>
      <c r="B48" s="86"/>
      <c r="C48" s="41"/>
      <c r="D48" s="41"/>
      <c r="E48" s="87"/>
      <c r="F48" s="64"/>
      <c r="G48" s="64"/>
      <c r="H48" s="64"/>
      <c r="I48" s="64"/>
      <c r="J48" s="56"/>
      <c r="K48" s="57"/>
      <c r="L48" s="65"/>
      <c r="M48" s="65"/>
      <c r="N48" s="65"/>
    </row>
    <row r="49" spans="1:14" ht="15" customHeight="1">
      <c r="A49" s="52"/>
      <c r="B49" s="259"/>
      <c r="C49" s="41"/>
      <c r="D49" s="41"/>
      <c r="E49" s="19"/>
      <c r="F49" s="80"/>
      <c r="G49" s="80"/>
      <c r="H49" s="80"/>
      <c r="I49" s="80"/>
      <c r="J49" s="60"/>
      <c r="K49" s="61"/>
      <c r="L49" s="29"/>
      <c r="M49" s="29"/>
      <c r="N49" s="29"/>
    </row>
    <row r="50" spans="1:14" ht="15" customHeight="1">
      <c r="A50" s="26" t="s">
        <v>66</v>
      </c>
      <c r="B50" s="259"/>
      <c r="C50" s="41"/>
      <c r="D50" s="41"/>
      <c r="E50" s="19"/>
      <c r="F50" s="88"/>
      <c r="G50" s="72"/>
      <c r="H50" s="72"/>
      <c r="I50" s="72"/>
      <c r="J50" s="60"/>
      <c r="K50" s="61"/>
      <c r="L50" s="29"/>
      <c r="M50" s="29"/>
      <c r="N50" s="29"/>
    </row>
    <row r="51" spans="1:14" ht="15" customHeight="1">
      <c r="A51" s="26" t="s">
        <v>67</v>
      </c>
      <c r="B51" s="259"/>
      <c r="C51" s="41"/>
      <c r="D51" s="41"/>
      <c r="E51" s="19"/>
      <c r="F51" s="88"/>
      <c r="G51" s="72"/>
      <c r="H51" s="72"/>
      <c r="I51" s="72"/>
      <c r="J51" s="60"/>
      <c r="K51" s="61"/>
      <c r="L51" s="29"/>
      <c r="M51" s="29"/>
      <c r="N51" s="29"/>
    </row>
    <row r="52" spans="1:14" ht="15" customHeight="1">
      <c r="A52" s="41"/>
      <c r="B52" s="168" t="s">
        <v>0</v>
      </c>
      <c r="C52" s="164">
        <v>219</v>
      </c>
      <c r="D52" s="18" t="s">
        <v>59</v>
      </c>
      <c r="E52" s="167" t="str">
        <f>E17</f>
        <v>DIR-P</v>
      </c>
      <c r="F52" s="348">
        <v>223287652</v>
      </c>
      <c r="G52" s="296">
        <f>VLOOKUP($E52,Ratio,2,FALSE)*$F52</f>
        <v>223287652</v>
      </c>
      <c r="H52" s="296">
        <f>VLOOKUP($E52,Ratio,3,FALSE)*$F52</f>
        <v>0</v>
      </c>
      <c r="I52" s="296">
        <f>VLOOKUP($E52,Ratio,4,FALSE)*$F52</f>
        <v>0</v>
      </c>
      <c r="J52" s="60"/>
      <c r="K52" s="61"/>
      <c r="L52" s="29"/>
      <c r="M52" s="29"/>
      <c r="N52" s="29"/>
    </row>
    <row r="53" spans="1:14" ht="15" customHeight="1">
      <c r="A53" s="41"/>
      <c r="B53" s="168" t="s">
        <v>1</v>
      </c>
      <c r="C53" s="164">
        <v>219</v>
      </c>
      <c r="D53" s="18" t="s">
        <v>59</v>
      </c>
      <c r="E53" s="167" t="str">
        <f>E18</f>
        <v>DIR-P</v>
      </c>
      <c r="F53" s="348">
        <v>0</v>
      </c>
      <c r="G53" s="296">
        <f>VLOOKUP($E53,Ratio,2,FALSE)*$F53</f>
        <v>0</v>
      </c>
      <c r="H53" s="296">
        <f>VLOOKUP($E53,Ratio,3,FALSE)*$F53</f>
        <v>0</v>
      </c>
      <c r="I53" s="296">
        <f>VLOOKUP($E53,Ratio,4,FALSE)*$F53</f>
        <v>0</v>
      </c>
      <c r="J53" s="60"/>
      <c r="K53" s="61"/>
      <c r="L53" s="29"/>
      <c r="M53" s="29"/>
      <c r="N53" s="29"/>
    </row>
    <row r="54" spans="1:14" ht="15" customHeight="1">
      <c r="A54" s="41"/>
      <c r="B54" s="168" t="s">
        <v>202</v>
      </c>
      <c r="C54" s="164">
        <v>219</v>
      </c>
      <c r="D54" s="18">
        <v>108</v>
      </c>
      <c r="E54" s="167" t="str">
        <f>E19</f>
        <v>DIR-P</v>
      </c>
      <c r="F54" s="348">
        <v>79097867</v>
      </c>
      <c r="G54" s="296">
        <f>VLOOKUP($E54,Ratio,2,FALSE)*$F54</f>
        <v>79097867</v>
      </c>
      <c r="H54" s="296">
        <f>VLOOKUP($E54,Ratio,3,FALSE)*$F54</f>
        <v>0</v>
      </c>
      <c r="I54" s="296">
        <f>VLOOKUP($E54,Ratio,4,FALSE)*$F54</f>
        <v>0</v>
      </c>
      <c r="J54" s="60"/>
      <c r="K54" s="61"/>
      <c r="L54" s="29"/>
      <c r="M54" s="29"/>
      <c r="N54" s="29"/>
    </row>
    <row r="55" spans="1:14" ht="15" customHeight="1">
      <c r="A55" s="41"/>
      <c r="B55" s="168" t="s">
        <v>60</v>
      </c>
      <c r="C55" s="164">
        <v>219</v>
      </c>
      <c r="D55" s="18" t="s">
        <v>59</v>
      </c>
      <c r="E55" s="167" t="str">
        <f>E20</f>
        <v>DIR-P</v>
      </c>
      <c r="F55" s="348">
        <v>36139145</v>
      </c>
      <c r="G55" s="296">
        <f>VLOOKUP($E55,Ratio,2,FALSE)*$F55</f>
        <v>36139145</v>
      </c>
      <c r="H55" s="296">
        <f>VLOOKUP($E55,Ratio,3,FALSE)*$F55</f>
        <v>0</v>
      </c>
      <c r="I55" s="296">
        <f>VLOOKUP($E55,Ratio,4,FALSE)*$F55</f>
        <v>0</v>
      </c>
      <c r="J55" s="60"/>
      <c r="K55" s="61"/>
      <c r="L55" s="29"/>
      <c r="M55" s="29"/>
      <c r="N55" s="29"/>
    </row>
    <row r="56" spans="1:14" ht="15" customHeight="1">
      <c r="A56" s="41"/>
      <c r="B56" s="168" t="s">
        <v>367</v>
      </c>
      <c r="C56" s="164">
        <v>219</v>
      </c>
      <c r="D56" s="18" t="s">
        <v>59</v>
      </c>
      <c r="E56" s="169" t="s">
        <v>4</v>
      </c>
      <c r="F56" s="348">
        <v>136875953</v>
      </c>
      <c r="G56" s="296">
        <f>VLOOKUP($E56,Ratio,2,FALSE)*$F56</f>
        <v>0</v>
      </c>
      <c r="H56" s="296">
        <f>VLOOKUP($E56,Ratio,3,FALSE)*$F56</f>
        <v>136875953</v>
      </c>
      <c r="I56" s="296">
        <f>VLOOKUP($E56,Ratio,4,FALSE)*$F56</f>
        <v>0</v>
      </c>
      <c r="J56" s="60"/>
      <c r="K56" s="61"/>
      <c r="L56" s="29"/>
      <c r="M56" s="29"/>
      <c r="N56" s="29"/>
    </row>
    <row r="57" spans="1:14" ht="15" customHeight="1">
      <c r="A57" s="41"/>
      <c r="B57" s="168" t="s">
        <v>61</v>
      </c>
      <c r="C57" s="164">
        <v>219</v>
      </c>
      <c r="D57" s="18" t="s">
        <v>59</v>
      </c>
      <c r="E57" s="167" t="s">
        <v>2</v>
      </c>
      <c r="F57" s="348">
        <v>256150345</v>
      </c>
      <c r="G57" s="296">
        <f>VLOOKUP($E57,Ratio,2,FALSE)*$F57</f>
        <v>0</v>
      </c>
      <c r="H57" s="296">
        <f>VLOOKUP($E57,Ratio,3,FALSE)*$F57</f>
        <v>0</v>
      </c>
      <c r="I57" s="296">
        <f>VLOOKUP($E57,Ratio,4,FALSE)*$F57</f>
        <v>256150345</v>
      </c>
      <c r="J57" s="60"/>
      <c r="K57" s="61"/>
      <c r="L57" s="29"/>
      <c r="M57" s="29"/>
      <c r="N57" s="29"/>
    </row>
    <row r="58" spans="1:14" ht="15" customHeight="1">
      <c r="A58" s="41"/>
      <c r="B58" s="168" t="s">
        <v>7</v>
      </c>
      <c r="C58" s="164">
        <v>219</v>
      </c>
      <c r="D58" s="18" t="s">
        <v>59</v>
      </c>
      <c r="E58" s="167" t="s">
        <v>6</v>
      </c>
      <c r="F58" s="348">
        <v>39680634</v>
      </c>
      <c r="G58" s="296">
        <f>VLOOKUP($E58,Ratio,2,FALSE)*$F58</f>
        <v>10129756.980606383</v>
      </c>
      <c r="H58" s="296">
        <f>VLOOKUP($E58,Ratio,3,FALSE)*$F58</f>
        <v>9328172.10067684</v>
      </c>
      <c r="I58" s="296">
        <f>VLOOKUP($E58,Ratio,4,FALSE)*$F58</f>
        <v>20222704.918716777</v>
      </c>
      <c r="J58" s="60"/>
      <c r="K58" s="61"/>
      <c r="L58" s="29"/>
      <c r="M58" s="29"/>
      <c r="N58" s="29"/>
    </row>
    <row r="59" spans="1:14" ht="15" customHeight="1">
      <c r="A59" s="41"/>
      <c r="B59" s="168" t="s">
        <v>286</v>
      </c>
      <c r="C59" s="164">
        <v>219</v>
      </c>
      <c r="D59" s="18" t="s">
        <v>59</v>
      </c>
      <c r="E59" s="167" t="s">
        <v>5</v>
      </c>
      <c r="F59" s="348"/>
      <c r="G59" s="350"/>
      <c r="H59" s="350"/>
      <c r="I59" s="350"/>
      <c r="J59" s="60"/>
      <c r="K59" s="61"/>
      <c r="L59" s="29"/>
      <c r="M59" s="29"/>
      <c r="N59" s="29"/>
    </row>
    <row r="60" spans="1:14" ht="15" customHeight="1">
      <c r="A60" s="41"/>
      <c r="B60" s="168" t="s">
        <v>338</v>
      </c>
      <c r="C60" s="164">
        <v>219</v>
      </c>
      <c r="D60" s="18" t="s">
        <v>59</v>
      </c>
      <c r="E60" s="167" t="s">
        <v>3</v>
      </c>
      <c r="F60" s="348"/>
      <c r="G60" s="296">
        <f>VLOOKUP($E60,Ratio,2,FALSE)*$F60</f>
        <v>0</v>
      </c>
      <c r="H60" s="296">
        <f>VLOOKUP($E60,Ratio,3,FALSE)*$F60</f>
        <v>0</v>
      </c>
      <c r="I60" s="296">
        <f>VLOOKUP($E60,Ratio,4,FALSE)*$F60</f>
        <v>0</v>
      </c>
      <c r="J60" s="60"/>
      <c r="K60" s="61"/>
      <c r="L60" s="29"/>
      <c r="M60" s="29"/>
      <c r="N60" s="29"/>
    </row>
    <row r="61" spans="1:14" ht="15" customHeight="1">
      <c r="A61" s="41"/>
      <c r="B61" s="168" t="s">
        <v>287</v>
      </c>
      <c r="C61" s="164">
        <v>219</v>
      </c>
      <c r="D61" s="18" t="s">
        <v>59</v>
      </c>
      <c r="E61" s="167" t="s">
        <v>2</v>
      </c>
      <c r="F61" s="348"/>
      <c r="G61" s="296">
        <f>VLOOKUP($E61,Ratio,2,FALSE)*$F61</f>
        <v>0</v>
      </c>
      <c r="H61" s="296">
        <f>VLOOKUP($E61,Ratio,3,FALSE)*$F61</f>
        <v>0</v>
      </c>
      <c r="I61" s="296">
        <f>VLOOKUP($E61,Ratio,4,FALSE)*$F61</f>
        <v>0</v>
      </c>
      <c r="J61" s="60"/>
      <c r="K61" s="61"/>
      <c r="L61" s="29"/>
      <c r="M61" s="29"/>
      <c r="N61" s="29"/>
    </row>
    <row r="62" spans="1:14" ht="15" customHeight="1">
      <c r="A62" s="41"/>
      <c r="B62" s="168" t="s">
        <v>288</v>
      </c>
      <c r="C62" s="164">
        <v>219</v>
      </c>
      <c r="D62" s="18" t="s">
        <v>59</v>
      </c>
      <c r="E62" s="167" t="s">
        <v>5</v>
      </c>
      <c r="F62" s="348"/>
      <c r="G62" s="350"/>
      <c r="H62" s="350"/>
      <c r="I62" s="350"/>
      <c r="J62" s="60"/>
      <c r="K62" s="61"/>
      <c r="L62" s="29"/>
      <c r="M62" s="29"/>
      <c r="N62" s="29"/>
    </row>
    <row r="63" spans="1:14" ht="15" customHeight="1">
      <c r="A63" s="41"/>
      <c r="B63" s="168" t="s">
        <v>252</v>
      </c>
      <c r="C63" s="164" t="s">
        <v>124</v>
      </c>
      <c r="D63" s="18" t="s">
        <v>59</v>
      </c>
      <c r="E63" s="167" t="s">
        <v>5</v>
      </c>
      <c r="F63" s="348"/>
      <c r="G63" s="350"/>
      <c r="H63" s="350"/>
      <c r="I63" s="350"/>
      <c r="J63" s="60"/>
      <c r="K63" s="61"/>
      <c r="L63" s="29"/>
      <c r="M63" s="29"/>
      <c r="N63" s="29"/>
    </row>
    <row r="64" spans="1:14" s="21" customFormat="1" ht="15" customHeight="1">
      <c r="A64" s="41"/>
      <c r="B64" s="168" t="s">
        <v>203</v>
      </c>
      <c r="C64" s="164" t="s">
        <v>124</v>
      </c>
      <c r="D64" s="18">
        <v>108</v>
      </c>
      <c r="E64" s="167" t="s">
        <v>5</v>
      </c>
      <c r="F64" s="348">
        <v>23509449</v>
      </c>
      <c r="G64" s="350"/>
      <c r="H64" s="350"/>
      <c r="I64" s="350"/>
      <c r="J64" s="56"/>
      <c r="K64" s="57"/>
      <c r="L64" s="65"/>
      <c r="M64" s="65"/>
      <c r="N64" s="65"/>
    </row>
    <row r="65" spans="1:14" s="21" customFormat="1" ht="15" customHeight="1">
      <c r="A65" s="41"/>
      <c r="B65" s="168" t="s">
        <v>204</v>
      </c>
      <c r="C65" s="164" t="s">
        <v>124</v>
      </c>
      <c r="D65" s="18">
        <v>108</v>
      </c>
      <c r="E65" s="167" t="s">
        <v>5</v>
      </c>
      <c r="F65" s="348">
        <v>6987399</v>
      </c>
      <c r="G65" s="350"/>
      <c r="H65" s="350"/>
      <c r="I65" s="350"/>
      <c r="J65" s="56"/>
      <c r="K65" s="57"/>
      <c r="L65" s="65"/>
      <c r="M65" s="65"/>
      <c r="N65" s="65"/>
    </row>
    <row r="66" spans="1:14" s="21" customFormat="1" ht="15" customHeight="1">
      <c r="A66" s="41"/>
      <c r="B66" s="168"/>
      <c r="C66" s="164"/>
      <c r="D66" s="18"/>
      <c r="E66" s="167"/>
      <c r="F66" s="89"/>
      <c r="G66" s="91"/>
      <c r="H66" s="91"/>
      <c r="I66" s="91"/>
      <c r="J66" s="56"/>
      <c r="K66" s="57"/>
      <c r="L66" s="65"/>
      <c r="M66" s="65"/>
      <c r="N66" s="65"/>
    </row>
    <row r="67" spans="1:14" ht="15" customHeight="1">
      <c r="A67" s="26" t="s">
        <v>189</v>
      </c>
      <c r="B67" s="168"/>
      <c r="C67" s="164"/>
      <c r="D67" s="18"/>
      <c r="E67" s="167"/>
      <c r="F67" s="89"/>
      <c r="G67" s="55"/>
      <c r="H67" s="55"/>
      <c r="I67" s="55"/>
      <c r="J67" s="60"/>
      <c r="K67" s="61"/>
      <c r="L67" s="29"/>
      <c r="M67" s="29"/>
      <c r="N67" s="29"/>
    </row>
    <row r="68" spans="1:14" ht="15" customHeight="1">
      <c r="A68" s="73"/>
      <c r="B68" s="168"/>
      <c r="C68" s="164"/>
      <c r="D68" s="18"/>
      <c r="E68" s="167"/>
      <c r="F68" s="92"/>
      <c r="G68" s="55"/>
      <c r="H68" s="55"/>
      <c r="I68" s="55"/>
      <c r="J68" s="60"/>
      <c r="K68" s="61"/>
      <c r="L68" s="29"/>
      <c r="M68" s="29"/>
      <c r="N68" s="29"/>
    </row>
    <row r="69" spans="1:14" ht="15" customHeight="1">
      <c r="A69" s="253" t="s">
        <v>62</v>
      </c>
      <c r="B69" s="87"/>
      <c r="C69" s="164"/>
      <c r="D69" s="164"/>
      <c r="E69" s="169"/>
      <c r="F69" s="148">
        <f>SUM(F52:F65)</f>
        <v>801728444</v>
      </c>
      <c r="G69" s="148">
        <f>SUM(G52:G65)</f>
        <v>348654420.9806064</v>
      </c>
      <c r="H69" s="148">
        <f>SUM(H52:H65)</f>
        <v>146204125.10067683</v>
      </c>
      <c r="I69" s="148">
        <f>SUM(I52:I65)</f>
        <v>276373049.9187168</v>
      </c>
      <c r="J69" s="60"/>
      <c r="K69" s="61"/>
      <c r="L69" s="29"/>
      <c r="M69" s="29"/>
      <c r="N69" s="29"/>
    </row>
    <row r="70" spans="1:14" ht="15" customHeight="1">
      <c r="A70" s="73"/>
      <c r="B70" s="260"/>
      <c r="C70" s="164"/>
      <c r="D70" s="18"/>
      <c r="E70" s="167"/>
      <c r="F70" s="93"/>
      <c r="G70" s="93"/>
      <c r="H70" s="93"/>
      <c r="I70" s="93"/>
      <c r="J70" s="60"/>
      <c r="K70" s="61"/>
      <c r="L70" s="29"/>
      <c r="M70" s="29"/>
      <c r="N70" s="29"/>
    </row>
    <row r="71" spans="1:14" ht="15" customHeight="1">
      <c r="A71" s="261" t="s">
        <v>68</v>
      </c>
      <c r="B71" s="86"/>
      <c r="C71" s="262"/>
      <c r="D71" s="41"/>
      <c r="E71" s="87"/>
      <c r="F71" s="149">
        <f>F47-F69</f>
        <v>1490400426</v>
      </c>
      <c r="G71" s="149">
        <f>G47-G69</f>
        <v>659666013.1367662</v>
      </c>
      <c r="H71" s="149">
        <f>H47-H69</f>
        <v>252838151.99785691</v>
      </c>
      <c r="I71" s="149">
        <f>I47-I69</f>
        <v>588713707.865377</v>
      </c>
      <c r="J71" s="60"/>
      <c r="K71" s="61"/>
      <c r="L71" s="29"/>
      <c r="M71" s="29"/>
      <c r="N71" s="29"/>
    </row>
    <row r="72" spans="1:14" s="21" customFormat="1" ht="15" customHeight="1">
      <c r="A72" s="85" t="s">
        <v>146</v>
      </c>
      <c r="B72" s="86"/>
      <c r="C72" s="41"/>
      <c r="D72" s="41"/>
      <c r="E72" s="94"/>
      <c r="F72" s="53"/>
      <c r="G72" s="53"/>
      <c r="H72" s="53"/>
      <c r="I72" s="64"/>
      <c r="J72" s="56"/>
      <c r="K72" s="57"/>
      <c r="L72" s="65"/>
      <c r="M72" s="65"/>
      <c r="N72" s="65"/>
    </row>
    <row r="73" spans="1:14" s="21" customFormat="1" ht="15" customHeight="1">
      <c r="A73" s="85"/>
      <c r="B73" s="86"/>
      <c r="C73" s="41"/>
      <c r="D73" s="41"/>
      <c r="E73" s="94"/>
      <c r="F73" s="53"/>
      <c r="G73" s="53"/>
      <c r="H73" s="53"/>
      <c r="I73" s="64"/>
      <c r="J73" s="56"/>
      <c r="K73" s="57"/>
      <c r="L73" s="65"/>
      <c r="M73" s="65"/>
      <c r="N73" s="65"/>
    </row>
    <row r="74" spans="1:14" ht="15" customHeight="1">
      <c r="A74" s="263" t="s">
        <v>131</v>
      </c>
      <c r="B74" s="86"/>
      <c r="C74" s="41"/>
      <c r="D74" s="41"/>
      <c r="E74" s="94"/>
      <c r="F74" s="54"/>
      <c r="G74" s="54"/>
      <c r="H74" s="54"/>
      <c r="I74" s="80"/>
      <c r="J74" s="60"/>
      <c r="K74" s="61"/>
      <c r="L74" s="29"/>
      <c r="M74" s="29"/>
      <c r="N74" s="29"/>
    </row>
    <row r="75" spans="1:14" ht="15" customHeight="1">
      <c r="A75" s="264"/>
      <c r="B75" s="86"/>
      <c r="C75" s="41"/>
      <c r="D75" s="41"/>
      <c r="E75" s="94"/>
      <c r="F75" s="54"/>
      <c r="G75" s="54"/>
      <c r="H75" s="54"/>
      <c r="I75" s="80"/>
      <c r="J75" s="60"/>
      <c r="K75" s="61"/>
      <c r="L75" s="29"/>
      <c r="M75" s="29"/>
      <c r="N75" s="29"/>
    </row>
    <row r="76" spans="1:14" ht="15" customHeight="1">
      <c r="A76" s="41"/>
      <c r="B76" s="190" t="s">
        <v>368</v>
      </c>
      <c r="C76" s="164" t="s">
        <v>212</v>
      </c>
      <c r="D76" s="18"/>
      <c r="E76" s="225"/>
      <c r="F76" s="150">
        <f>'Sch 1A - Cash Working Capital'!D20</f>
        <v>29680030.375</v>
      </c>
      <c r="G76" s="150">
        <f>'Sch 1A - Cash Working Capital'!E20</f>
        <v>17546229.33259386</v>
      </c>
      <c r="H76" s="150">
        <f>'Sch 1A - Cash Working Capital'!F20</f>
        <v>3431466.3787923977</v>
      </c>
      <c r="I76" s="150">
        <f>'Sch 1A - Cash Working Capital'!G20</f>
        <v>8703624.343624052</v>
      </c>
      <c r="J76" s="60"/>
      <c r="K76" s="61"/>
      <c r="L76" s="29"/>
      <c r="M76" s="29"/>
      <c r="N76" s="29"/>
    </row>
    <row r="77" spans="1:14" ht="15" customHeight="1">
      <c r="A77" s="41"/>
      <c r="B77" s="189" t="s">
        <v>133</v>
      </c>
      <c r="C77" s="191"/>
      <c r="D77" s="18"/>
      <c r="E77" s="167"/>
      <c r="F77" s="83"/>
      <c r="G77" s="55"/>
      <c r="H77" s="55"/>
      <c r="I77" s="55"/>
      <c r="J77" s="61"/>
      <c r="K77" s="61"/>
      <c r="L77" s="29"/>
      <c r="M77" s="29"/>
      <c r="N77" s="29"/>
    </row>
    <row r="78" spans="1:14" ht="15" customHeight="1">
      <c r="A78" s="41"/>
      <c r="B78" s="190" t="s">
        <v>139</v>
      </c>
      <c r="C78" s="191" t="s">
        <v>124</v>
      </c>
      <c r="D78" s="289"/>
      <c r="E78" s="167" t="s">
        <v>5</v>
      </c>
      <c r="F78" s="96">
        <v>0</v>
      </c>
      <c r="G78" s="296">
        <f>VLOOKUP($E78,Ratio,2,FALSE)*$F78</f>
        <v>0</v>
      </c>
      <c r="H78" s="296">
        <f>VLOOKUP($E78,Ratio,3,FALSE)*$F78</f>
        <v>0</v>
      </c>
      <c r="I78" s="296">
        <f>VLOOKUP($E78,Ratio,4,FALSE)*$F78</f>
        <v>0</v>
      </c>
      <c r="J78" s="61"/>
      <c r="K78" s="61"/>
      <c r="L78" s="29"/>
      <c r="M78" s="29"/>
      <c r="N78" s="29"/>
    </row>
    <row r="79" spans="1:14" ht="15" customHeight="1">
      <c r="A79" s="41"/>
      <c r="B79" s="190" t="s">
        <v>180</v>
      </c>
      <c r="C79" s="191" t="s">
        <v>124</v>
      </c>
      <c r="D79" s="18">
        <v>105</v>
      </c>
      <c r="E79" s="167" t="s">
        <v>2</v>
      </c>
      <c r="F79" s="96">
        <v>0</v>
      </c>
      <c r="G79" s="296">
        <f>VLOOKUP($E79,Ratio,2,FALSE)*$F79</f>
        <v>0</v>
      </c>
      <c r="H79" s="296">
        <f>VLOOKUP($E79,Ratio,3,FALSE)*$F79</f>
        <v>0</v>
      </c>
      <c r="I79" s="296">
        <f>VLOOKUP($E79,Ratio,4,FALSE)*$F79</f>
        <v>0</v>
      </c>
      <c r="J79" s="61"/>
      <c r="K79" s="61"/>
      <c r="L79" s="29"/>
      <c r="M79" s="29"/>
      <c r="N79" s="29"/>
    </row>
    <row r="80" spans="1:14" ht="15" customHeight="1">
      <c r="A80" s="41"/>
      <c r="B80" s="190" t="s">
        <v>137</v>
      </c>
      <c r="C80" s="191" t="s">
        <v>124</v>
      </c>
      <c r="D80" s="18" t="s">
        <v>63</v>
      </c>
      <c r="E80" s="167" t="s">
        <v>5</v>
      </c>
      <c r="F80" s="96">
        <v>90777674</v>
      </c>
      <c r="G80" s="296">
        <f>VLOOKUP($E80,Ratio,2,FALSE)*$F80</f>
        <v>0</v>
      </c>
      <c r="H80" s="296">
        <f>VLOOKUP($E80,Ratio,3,FALSE)*$F80</f>
        <v>0</v>
      </c>
      <c r="I80" s="296">
        <f>VLOOKUP($E80,Ratio,4,FALSE)*$F80</f>
        <v>0</v>
      </c>
      <c r="J80" s="61"/>
      <c r="K80" s="61"/>
      <c r="L80" s="29"/>
      <c r="M80" s="29"/>
      <c r="N80" s="29"/>
    </row>
    <row r="81" spans="1:14" ht="15" customHeight="1">
      <c r="A81" s="41"/>
      <c r="B81" s="87" t="s">
        <v>69</v>
      </c>
      <c r="C81" s="164"/>
      <c r="D81" s="164" t="s">
        <v>346</v>
      </c>
      <c r="E81" s="167" t="s">
        <v>3</v>
      </c>
      <c r="F81" s="49"/>
      <c r="G81" s="296">
        <f>VLOOKUP($E81,Ratio,2,FALSE)*$F81</f>
        <v>0</v>
      </c>
      <c r="H81" s="296">
        <f>VLOOKUP($E81,Ratio,3,FALSE)*$F81</f>
        <v>0</v>
      </c>
      <c r="I81" s="296">
        <f>VLOOKUP($E81,Ratio,4,FALSE)*$F81</f>
        <v>0</v>
      </c>
      <c r="J81" s="60"/>
      <c r="K81" s="61"/>
      <c r="L81" s="29"/>
      <c r="M81" s="29"/>
      <c r="N81" s="29"/>
    </row>
    <row r="82" spans="1:14" ht="15" customHeight="1">
      <c r="A82" s="41"/>
      <c r="B82" s="190" t="s">
        <v>142</v>
      </c>
      <c r="C82" s="191" t="s">
        <v>124</v>
      </c>
      <c r="D82" s="18" t="s">
        <v>347</v>
      </c>
      <c r="E82" s="167" t="s">
        <v>2</v>
      </c>
      <c r="F82" s="96">
        <v>76081096</v>
      </c>
      <c r="G82" s="296">
        <f>VLOOKUP($E82,Ratio,2,FALSE)*$F82</f>
        <v>0</v>
      </c>
      <c r="H82" s="296">
        <f>VLOOKUP($E82,Ratio,3,FALSE)*$F82</f>
        <v>0</v>
      </c>
      <c r="I82" s="296">
        <f>VLOOKUP($E82,Ratio,4,FALSE)*$F82</f>
        <v>76081096</v>
      </c>
      <c r="J82" s="61"/>
      <c r="K82" s="61"/>
      <c r="L82" s="29"/>
      <c r="M82" s="29"/>
      <c r="N82" s="29"/>
    </row>
    <row r="83" spans="1:14" s="21" customFormat="1" ht="15" customHeight="1">
      <c r="A83" s="41"/>
      <c r="B83" s="190" t="s">
        <v>126</v>
      </c>
      <c r="C83" s="191" t="s">
        <v>124</v>
      </c>
      <c r="D83" s="18">
        <v>114</v>
      </c>
      <c r="E83" s="167" t="s">
        <v>2</v>
      </c>
      <c r="F83" s="96">
        <v>0</v>
      </c>
      <c r="G83" s="296">
        <f>VLOOKUP($E83,Ratio,2,FALSE)*$F83</f>
        <v>0</v>
      </c>
      <c r="H83" s="296">
        <f>VLOOKUP($E83,Ratio,3,FALSE)*$F83</f>
        <v>0</v>
      </c>
      <c r="I83" s="296">
        <f>VLOOKUP($E83,Ratio,4,FALSE)*$F83</f>
        <v>0</v>
      </c>
      <c r="J83" s="57"/>
      <c r="K83" s="57"/>
      <c r="L83" s="65"/>
      <c r="M83" s="65"/>
      <c r="N83" s="65"/>
    </row>
    <row r="84" spans="1:14" ht="15" customHeight="1">
      <c r="A84" s="41"/>
      <c r="B84" s="193" t="s">
        <v>25</v>
      </c>
      <c r="C84" s="191"/>
      <c r="D84" s="18"/>
      <c r="E84" s="167"/>
      <c r="F84" s="150">
        <f>SUM(F78:F83)</f>
        <v>166858770</v>
      </c>
      <c r="G84" s="150"/>
      <c r="H84" s="150"/>
      <c r="I84" s="150"/>
      <c r="J84" s="61"/>
      <c r="K84" s="61"/>
      <c r="L84" s="29"/>
      <c r="M84" s="29"/>
      <c r="N84" s="29"/>
    </row>
    <row r="85" spans="1:14" ht="15" customHeight="1">
      <c r="A85" s="41"/>
      <c r="B85" s="265" t="s">
        <v>134</v>
      </c>
      <c r="C85" s="191"/>
      <c r="D85" s="18"/>
      <c r="E85" s="167"/>
      <c r="F85" s="96"/>
      <c r="G85" s="97"/>
      <c r="H85" s="97"/>
      <c r="I85" s="97"/>
      <c r="J85" s="61"/>
      <c r="K85" s="61"/>
      <c r="L85" s="29"/>
      <c r="M85" s="29"/>
      <c r="N85" s="29"/>
    </row>
    <row r="86" spans="1:14" ht="15" customHeight="1">
      <c r="A86" s="41"/>
      <c r="B86" s="168" t="s">
        <v>193</v>
      </c>
      <c r="C86" s="191" t="s">
        <v>138</v>
      </c>
      <c r="D86" s="18">
        <v>123</v>
      </c>
      <c r="E86" s="167" t="s">
        <v>5</v>
      </c>
      <c r="F86" s="96">
        <v>31166335</v>
      </c>
      <c r="G86" s="296">
        <f>VLOOKUP($E86,Ratio,2,FALSE)*$F86</f>
        <v>0</v>
      </c>
      <c r="H86" s="296">
        <f>VLOOKUP($E86,Ratio,3,FALSE)*$F86</f>
        <v>0</v>
      </c>
      <c r="I86" s="296">
        <f>VLOOKUP($E86,Ratio,4,FALSE)*$F86</f>
        <v>0</v>
      </c>
      <c r="J86" s="61"/>
      <c r="K86" s="61"/>
      <c r="L86" s="29"/>
      <c r="M86" s="29"/>
      <c r="N86" s="29"/>
    </row>
    <row r="87" spans="1:14" ht="15" customHeight="1">
      <c r="A87" s="41"/>
      <c r="B87" s="190" t="s">
        <v>70</v>
      </c>
      <c r="C87" s="191" t="s">
        <v>138</v>
      </c>
      <c r="D87" s="18">
        <v>124</v>
      </c>
      <c r="E87" s="167" t="s">
        <v>2</v>
      </c>
      <c r="F87" s="98">
        <v>25574531</v>
      </c>
      <c r="G87" s="296">
        <f>VLOOKUP($E87,Ratio,2,FALSE)*$F87</f>
        <v>0</v>
      </c>
      <c r="H87" s="296">
        <f>VLOOKUP($E87,Ratio,3,FALSE)*$F87</f>
        <v>0</v>
      </c>
      <c r="I87" s="296">
        <f>VLOOKUP($E87,Ratio,4,FALSE)*$F87</f>
        <v>25574531</v>
      </c>
      <c r="J87" s="61"/>
      <c r="K87" s="61"/>
      <c r="L87" s="29"/>
      <c r="M87" s="29"/>
      <c r="N87" s="29"/>
    </row>
    <row r="88" spans="1:14" ht="15" customHeight="1">
      <c r="A88" s="41"/>
      <c r="B88" s="193" t="s">
        <v>260</v>
      </c>
      <c r="C88" s="191" t="s">
        <v>138</v>
      </c>
      <c r="D88" s="18" t="s">
        <v>340</v>
      </c>
      <c r="E88" s="167" t="s">
        <v>3</v>
      </c>
      <c r="F88" s="99">
        <v>0</v>
      </c>
      <c r="G88" s="296">
        <f>VLOOKUP($E88,Ratio,2,FALSE)*$F88</f>
        <v>0</v>
      </c>
      <c r="H88" s="296">
        <f>VLOOKUP($E88,Ratio,3,FALSE)*$F88</f>
        <v>0</v>
      </c>
      <c r="I88" s="296">
        <f>VLOOKUP($E88,Ratio,4,FALSE)*$F88</f>
        <v>0</v>
      </c>
      <c r="J88" s="61"/>
      <c r="K88" s="61"/>
      <c r="L88" s="29"/>
      <c r="M88" s="29"/>
      <c r="N88" s="29"/>
    </row>
    <row r="89" spans="1:14" ht="15" customHeight="1">
      <c r="A89" s="41"/>
      <c r="B89" s="193" t="s">
        <v>25</v>
      </c>
      <c r="C89" s="191"/>
      <c r="D89" s="18"/>
      <c r="E89" s="167"/>
      <c r="F89" s="151">
        <f>SUM(F86:F88)</f>
        <v>56740866</v>
      </c>
      <c r="G89" s="152"/>
      <c r="H89" s="152"/>
      <c r="I89" s="152"/>
      <c r="J89" s="61"/>
      <c r="K89" s="61"/>
      <c r="L89" s="29"/>
      <c r="M89" s="29"/>
      <c r="N89" s="29"/>
    </row>
    <row r="90" spans="1:14" s="21" customFormat="1" ht="15" customHeight="1">
      <c r="A90" s="41"/>
      <c r="B90" s="189" t="s">
        <v>135</v>
      </c>
      <c r="C90" s="191"/>
      <c r="D90" s="18"/>
      <c r="E90" s="167"/>
      <c r="F90" s="99"/>
      <c r="G90" s="99"/>
      <c r="H90" s="99"/>
      <c r="I90" s="99"/>
      <c r="J90" s="57"/>
      <c r="K90" s="57"/>
      <c r="L90" s="65"/>
      <c r="M90" s="65"/>
      <c r="N90" s="65"/>
    </row>
    <row r="91" spans="1:14" ht="15" customHeight="1">
      <c r="A91" s="41"/>
      <c r="B91" s="190" t="s">
        <v>183</v>
      </c>
      <c r="C91" s="191" t="s">
        <v>138</v>
      </c>
      <c r="D91" s="18">
        <v>151</v>
      </c>
      <c r="E91" s="167" t="s">
        <v>3</v>
      </c>
      <c r="F91" s="96">
        <v>2121931</v>
      </c>
      <c r="G91" s="296">
        <f>VLOOKUP($E91,Ratio,2,FALSE)*$F91</f>
        <v>2121931</v>
      </c>
      <c r="H91" s="296">
        <f>VLOOKUP($E91,Ratio,3,FALSE)*$F91</f>
        <v>0</v>
      </c>
      <c r="I91" s="296">
        <f>VLOOKUP($E91,Ratio,4,FALSE)*$F91</f>
        <v>0</v>
      </c>
      <c r="J91" s="61"/>
      <c r="K91" s="61"/>
      <c r="L91" s="29"/>
      <c r="M91" s="29"/>
      <c r="N91" s="29"/>
    </row>
    <row r="92" spans="1:14" ht="15" customHeight="1">
      <c r="A92" s="41"/>
      <c r="B92" s="193" t="s">
        <v>261</v>
      </c>
      <c r="C92" s="191" t="s">
        <v>138</v>
      </c>
      <c r="D92" s="18">
        <v>152</v>
      </c>
      <c r="E92" s="167" t="s">
        <v>3</v>
      </c>
      <c r="F92" s="96">
        <v>0</v>
      </c>
      <c r="G92" s="296">
        <f>VLOOKUP($E92,Ratio,2,FALSE)*$F92</f>
        <v>0</v>
      </c>
      <c r="H92" s="296">
        <f>VLOOKUP($E92,Ratio,3,FALSE)*$F92</f>
        <v>0</v>
      </c>
      <c r="I92" s="296">
        <f>VLOOKUP($E92,Ratio,4,FALSE)*$F92</f>
        <v>0</v>
      </c>
      <c r="J92" s="61"/>
      <c r="K92" s="61"/>
      <c r="L92" s="29"/>
      <c r="M92" s="29"/>
      <c r="N92" s="29"/>
    </row>
    <row r="93" spans="1:14" ht="15" customHeight="1">
      <c r="A93" s="41"/>
      <c r="B93" s="190" t="s">
        <v>140</v>
      </c>
      <c r="C93" s="191" t="s">
        <v>138</v>
      </c>
      <c r="D93" s="18">
        <v>154</v>
      </c>
      <c r="E93" s="167" t="s">
        <v>22</v>
      </c>
      <c r="F93" s="96">
        <v>14019070</v>
      </c>
      <c r="G93" s="296">
        <f>VLOOKUP($E93,Ratio,2,FALSE)*$F93</f>
        <v>6297936.848872449</v>
      </c>
      <c r="H93" s="296">
        <f>VLOOKUP($E93,Ratio,3,FALSE)*$F93</f>
        <v>2437297.809777382</v>
      </c>
      <c r="I93" s="296">
        <f>VLOOKUP($E93,Ratio,4,FALSE)*$F93</f>
        <v>5283835.341350169</v>
      </c>
      <c r="J93" s="61"/>
      <c r="K93" s="61"/>
      <c r="L93" s="29"/>
      <c r="M93" s="29"/>
      <c r="N93" s="29"/>
    </row>
    <row r="94" spans="1:14" ht="15" customHeight="1">
      <c r="A94" s="41"/>
      <c r="B94" s="190" t="s">
        <v>141</v>
      </c>
      <c r="C94" s="191" t="s">
        <v>138</v>
      </c>
      <c r="D94" s="18" t="s">
        <v>348</v>
      </c>
      <c r="E94" s="167" t="s">
        <v>29</v>
      </c>
      <c r="F94" s="96">
        <v>0</v>
      </c>
      <c r="G94" s="296">
        <f>VLOOKUP($E94,Ratio,2,FALSE)*$F94</f>
        <v>0</v>
      </c>
      <c r="H94" s="296">
        <f>VLOOKUP($E94,Ratio,3,FALSE)*$F94</f>
        <v>0</v>
      </c>
      <c r="I94" s="296">
        <f>VLOOKUP($E94,Ratio,4,FALSE)*$F94</f>
        <v>0</v>
      </c>
      <c r="J94" s="61"/>
      <c r="K94" s="61"/>
      <c r="L94" s="29"/>
      <c r="M94" s="29"/>
      <c r="N94" s="29"/>
    </row>
    <row r="95" spans="1:14" ht="15" customHeight="1">
      <c r="A95" s="41"/>
      <c r="B95" s="190" t="s">
        <v>342</v>
      </c>
      <c r="C95" s="191" t="s">
        <v>343</v>
      </c>
      <c r="D95" s="18" t="s">
        <v>344</v>
      </c>
      <c r="E95" s="167" t="s">
        <v>3</v>
      </c>
      <c r="F95" s="96"/>
      <c r="G95" s="296">
        <f>VLOOKUP($E95,Ratio,2,FALSE)*$F95</f>
        <v>0</v>
      </c>
      <c r="H95" s="296">
        <f>VLOOKUP($E95,Ratio,3,FALSE)*$F95</f>
        <v>0</v>
      </c>
      <c r="I95" s="296">
        <f>VLOOKUP($E95,Ratio,4,FALSE)*$F95</f>
        <v>0</v>
      </c>
      <c r="J95" s="61"/>
      <c r="K95" s="61"/>
      <c r="L95" s="29"/>
      <c r="M95" s="29"/>
      <c r="N95" s="29"/>
    </row>
    <row r="96" spans="1:14" ht="14.25" customHeight="1">
      <c r="A96" s="41"/>
      <c r="B96" s="190" t="s">
        <v>108</v>
      </c>
      <c r="C96" s="191" t="s">
        <v>138</v>
      </c>
      <c r="D96" s="18">
        <v>163</v>
      </c>
      <c r="E96" s="167" t="s">
        <v>22</v>
      </c>
      <c r="F96" s="96">
        <v>0</v>
      </c>
      <c r="G96" s="296">
        <f>VLOOKUP($E96,Ratio,2,FALSE)*$F96</f>
        <v>0</v>
      </c>
      <c r="H96" s="296">
        <f>VLOOKUP($E96,Ratio,3,FALSE)*$F96</f>
        <v>0</v>
      </c>
      <c r="I96" s="296">
        <f>VLOOKUP($E96,Ratio,4,FALSE)*$F96</f>
        <v>0</v>
      </c>
      <c r="J96" s="61"/>
      <c r="K96" s="61"/>
      <c r="L96" s="29"/>
      <c r="M96" s="29"/>
      <c r="N96" s="29"/>
    </row>
    <row r="97" spans="1:14" ht="15" customHeight="1">
      <c r="A97" s="41"/>
      <c r="B97" s="190" t="s">
        <v>262</v>
      </c>
      <c r="C97" s="191" t="s">
        <v>138</v>
      </c>
      <c r="D97" s="18">
        <v>165</v>
      </c>
      <c r="E97" s="167" t="s">
        <v>5</v>
      </c>
      <c r="F97" s="96">
        <v>6467948</v>
      </c>
      <c r="G97" s="296">
        <f>VLOOKUP($E97,Ratio,2,FALSE)*$F97</f>
        <v>0</v>
      </c>
      <c r="H97" s="296">
        <f>VLOOKUP($E97,Ratio,3,FALSE)*$F97</f>
        <v>0</v>
      </c>
      <c r="I97" s="296">
        <f>VLOOKUP($E97,Ratio,4,FALSE)*$F97</f>
        <v>0</v>
      </c>
      <c r="J97" s="57"/>
      <c r="K97" s="57"/>
      <c r="L97" s="29"/>
      <c r="M97" s="29"/>
      <c r="N97" s="29"/>
    </row>
    <row r="98" spans="1:14" ht="15" customHeight="1">
      <c r="A98" s="41"/>
      <c r="B98" s="193" t="s">
        <v>263</v>
      </c>
      <c r="C98" s="191" t="s">
        <v>138</v>
      </c>
      <c r="D98" s="18" t="s">
        <v>340</v>
      </c>
      <c r="E98" s="167" t="s">
        <v>3</v>
      </c>
      <c r="F98" s="96">
        <f>36402843-25574531</f>
        <v>10828312</v>
      </c>
      <c r="G98" s="296">
        <f>VLOOKUP($E98,Ratio,2,FALSE)*$F98</f>
        <v>10828312</v>
      </c>
      <c r="H98" s="296">
        <f>VLOOKUP($E98,Ratio,3,FALSE)*$F98</f>
        <v>0</v>
      </c>
      <c r="I98" s="296">
        <f>VLOOKUP($E98,Ratio,4,FALSE)*$F98</f>
        <v>0</v>
      </c>
      <c r="J98" s="61"/>
      <c r="K98" s="61"/>
      <c r="L98" s="29"/>
      <c r="M98" s="29"/>
      <c r="N98" s="29"/>
    </row>
    <row r="99" spans="1:14" ht="15" customHeight="1">
      <c r="A99" s="41"/>
      <c r="B99" s="193" t="s">
        <v>25</v>
      </c>
      <c r="C99" s="191"/>
      <c r="D99" s="18"/>
      <c r="E99" s="167"/>
      <c r="F99" s="151">
        <f>SUM(F91:F98)</f>
        <v>33437261</v>
      </c>
      <c r="G99" s="152"/>
      <c r="H99" s="152"/>
      <c r="I99" s="152"/>
      <c r="J99" s="61"/>
      <c r="K99" s="61"/>
      <c r="L99" s="29"/>
      <c r="M99" s="29"/>
      <c r="N99" s="29"/>
    </row>
    <row r="100" spans="1:14" ht="15" customHeight="1">
      <c r="A100" s="41"/>
      <c r="B100" s="189" t="s">
        <v>136</v>
      </c>
      <c r="C100" s="191"/>
      <c r="D100" s="18"/>
      <c r="E100" s="167"/>
      <c r="F100" s="83"/>
      <c r="G100" s="55"/>
      <c r="H100" s="55"/>
      <c r="I100" s="55"/>
      <c r="J100" s="61"/>
      <c r="K100" s="61"/>
      <c r="L100" s="29"/>
      <c r="M100" s="29"/>
      <c r="N100" s="29"/>
    </row>
    <row r="101" spans="1:14" ht="15" customHeight="1">
      <c r="A101" s="41"/>
      <c r="B101" s="193" t="s">
        <v>264</v>
      </c>
      <c r="C101" s="191" t="s">
        <v>138</v>
      </c>
      <c r="D101" s="18">
        <v>181</v>
      </c>
      <c r="E101" s="167" t="s">
        <v>29</v>
      </c>
      <c r="F101" s="96">
        <v>17931388</v>
      </c>
      <c r="G101" s="296">
        <f>VLOOKUP($E101,Ratio,2,FALSE)*$F101</f>
        <v>8026190.584098196</v>
      </c>
      <c r="H101" s="296">
        <f>VLOOKUP($E101,Ratio,3,FALSE)*$F101</f>
        <v>3175750.257020293</v>
      </c>
      <c r="I101" s="296">
        <f>VLOOKUP($E101,Ratio,4,FALSE)*$F101</f>
        <v>6884732.888994521</v>
      </c>
      <c r="J101" s="61"/>
      <c r="K101" s="61"/>
      <c r="L101" s="29"/>
      <c r="M101" s="29"/>
      <c r="N101" s="29"/>
    </row>
    <row r="102" spans="1:14" ht="15" customHeight="1">
      <c r="A102" s="41"/>
      <c r="B102" s="193" t="s">
        <v>265</v>
      </c>
      <c r="C102" s="191" t="s">
        <v>138</v>
      </c>
      <c r="D102" s="18">
        <v>182.1</v>
      </c>
      <c r="E102" s="167" t="s">
        <v>2</v>
      </c>
      <c r="F102" s="96">
        <v>0</v>
      </c>
      <c r="G102" s="296">
        <f>VLOOKUP($E102,Ratio,2,FALSE)*$F102</f>
        <v>0</v>
      </c>
      <c r="H102" s="296">
        <f>VLOOKUP($E102,Ratio,3,FALSE)*$F102</f>
        <v>0</v>
      </c>
      <c r="I102" s="296">
        <f>VLOOKUP($E102,Ratio,4,FALSE)*$F102</f>
        <v>0</v>
      </c>
      <c r="J102" s="61"/>
      <c r="K102" s="61"/>
      <c r="L102" s="29"/>
      <c r="M102" s="29"/>
      <c r="N102" s="29"/>
    </row>
    <row r="103" spans="1:14" ht="15" customHeight="1">
      <c r="A103" s="41"/>
      <c r="B103" s="193" t="s">
        <v>266</v>
      </c>
      <c r="C103" s="191" t="s">
        <v>138</v>
      </c>
      <c r="D103" s="18">
        <v>182.2</v>
      </c>
      <c r="E103" s="167" t="s">
        <v>2</v>
      </c>
      <c r="F103" s="96">
        <v>0</v>
      </c>
      <c r="G103" s="296">
        <f>VLOOKUP($E103,Ratio,2,FALSE)*$F103</f>
        <v>0</v>
      </c>
      <c r="H103" s="296">
        <f>VLOOKUP($E103,Ratio,3,FALSE)*$F103</f>
        <v>0</v>
      </c>
      <c r="I103" s="296">
        <f>VLOOKUP($E103,Ratio,4,FALSE)*$F103</f>
        <v>0</v>
      </c>
      <c r="J103" s="61"/>
      <c r="K103" s="61"/>
      <c r="L103" s="29"/>
      <c r="M103" s="29"/>
      <c r="N103" s="29"/>
    </row>
    <row r="104" spans="1:14" s="21" customFormat="1" ht="15" customHeight="1">
      <c r="A104" s="41"/>
      <c r="B104" s="193" t="s">
        <v>267</v>
      </c>
      <c r="C104" s="191" t="s">
        <v>138</v>
      </c>
      <c r="D104" s="18">
        <v>182.3</v>
      </c>
      <c r="E104" s="167" t="s">
        <v>2</v>
      </c>
      <c r="F104" s="96">
        <v>323816436</v>
      </c>
      <c r="G104" s="296">
        <f>VLOOKUP($E104,Ratio,2,FALSE)*$F104</f>
        <v>0</v>
      </c>
      <c r="H104" s="296">
        <f>VLOOKUP($E104,Ratio,3,FALSE)*$F104</f>
        <v>0</v>
      </c>
      <c r="I104" s="296">
        <f>VLOOKUP($E104,Ratio,4,FALSE)*$F104</f>
        <v>323816436</v>
      </c>
      <c r="J104" s="57"/>
      <c r="K104" s="57"/>
      <c r="L104" s="65"/>
      <c r="M104" s="65"/>
      <c r="N104" s="65"/>
    </row>
    <row r="105" spans="1:14" ht="15" customHeight="1">
      <c r="A105" s="41"/>
      <c r="B105" s="193" t="s">
        <v>268</v>
      </c>
      <c r="C105" s="191" t="s">
        <v>138</v>
      </c>
      <c r="D105" s="18">
        <v>183</v>
      </c>
      <c r="E105" s="167" t="s">
        <v>2</v>
      </c>
      <c r="F105" s="96">
        <v>8645616</v>
      </c>
      <c r="G105" s="296">
        <f>VLOOKUP($E105,Ratio,2,FALSE)*$F105</f>
        <v>0</v>
      </c>
      <c r="H105" s="296">
        <f>VLOOKUP($E105,Ratio,3,FALSE)*$F105</f>
        <v>0</v>
      </c>
      <c r="I105" s="296">
        <f>VLOOKUP($E105,Ratio,4,FALSE)*$F105</f>
        <v>8645616</v>
      </c>
      <c r="J105" s="61"/>
      <c r="K105" s="61"/>
      <c r="L105" s="29"/>
      <c r="M105" s="29"/>
      <c r="N105" s="29"/>
    </row>
    <row r="106" spans="1:14" ht="15" customHeight="1">
      <c r="A106" s="41"/>
      <c r="B106" s="193" t="s">
        <v>269</v>
      </c>
      <c r="C106" s="191" t="s">
        <v>138</v>
      </c>
      <c r="D106" s="18">
        <v>183.1</v>
      </c>
      <c r="E106" s="167" t="s">
        <v>2</v>
      </c>
      <c r="F106" s="96">
        <v>0</v>
      </c>
      <c r="G106" s="296">
        <f>VLOOKUP($E106,Ratio,2,FALSE)*$F106</f>
        <v>0</v>
      </c>
      <c r="H106" s="296">
        <f>VLOOKUP($E106,Ratio,3,FALSE)*$F106</f>
        <v>0</v>
      </c>
      <c r="I106" s="296">
        <f>VLOOKUP($E106,Ratio,4,FALSE)*$F106</f>
        <v>0</v>
      </c>
      <c r="J106" s="61"/>
      <c r="K106" s="61"/>
      <c r="L106" s="29"/>
      <c r="M106" s="29"/>
      <c r="N106" s="29"/>
    </row>
    <row r="107" spans="1:14" ht="15" customHeight="1">
      <c r="A107" s="41"/>
      <c r="B107" s="193" t="s">
        <v>194</v>
      </c>
      <c r="C107" s="191" t="s">
        <v>138</v>
      </c>
      <c r="D107" s="18">
        <v>183.2</v>
      </c>
      <c r="E107" s="167" t="s">
        <v>2</v>
      </c>
      <c r="F107" s="96">
        <v>0</v>
      </c>
      <c r="G107" s="296">
        <f>VLOOKUP($E107,Ratio,2,FALSE)*$F107</f>
        <v>0</v>
      </c>
      <c r="H107" s="296">
        <f>VLOOKUP($E107,Ratio,3,FALSE)*$F107</f>
        <v>0</v>
      </c>
      <c r="I107" s="296">
        <f>VLOOKUP($E107,Ratio,4,FALSE)*$F107</f>
        <v>0</v>
      </c>
      <c r="J107" s="61"/>
      <c r="K107" s="61"/>
      <c r="L107" s="29"/>
      <c r="M107" s="29"/>
      <c r="N107" s="29"/>
    </row>
    <row r="108" spans="1:14" ht="15" customHeight="1">
      <c r="A108" s="41"/>
      <c r="B108" s="193" t="s">
        <v>270</v>
      </c>
      <c r="C108" s="191" t="s">
        <v>138</v>
      </c>
      <c r="D108" s="18">
        <v>184</v>
      </c>
      <c r="E108" s="167" t="s">
        <v>2</v>
      </c>
      <c r="F108" s="96">
        <v>8046</v>
      </c>
      <c r="G108" s="296">
        <f>VLOOKUP($E108,Ratio,2,FALSE)*$F108</f>
        <v>0</v>
      </c>
      <c r="H108" s="296">
        <f>VLOOKUP($E108,Ratio,3,FALSE)*$F108</f>
        <v>0</v>
      </c>
      <c r="I108" s="296">
        <f>VLOOKUP($E108,Ratio,4,FALSE)*$F108</f>
        <v>8046</v>
      </c>
      <c r="J108" s="61"/>
      <c r="K108" s="61"/>
      <c r="L108" s="29"/>
      <c r="M108" s="29"/>
      <c r="N108" s="29"/>
    </row>
    <row r="109" spans="1:14" ht="15" customHeight="1">
      <c r="A109" s="41"/>
      <c r="B109" s="193" t="s">
        <v>271</v>
      </c>
      <c r="C109" s="191" t="s">
        <v>138</v>
      </c>
      <c r="D109" s="18">
        <v>185</v>
      </c>
      <c r="E109" s="167" t="s">
        <v>29</v>
      </c>
      <c r="F109" s="96">
        <v>0</v>
      </c>
      <c r="G109" s="296">
        <f>VLOOKUP($E109,Ratio,2,FALSE)*$F109</f>
        <v>0</v>
      </c>
      <c r="H109" s="296">
        <f>VLOOKUP($E109,Ratio,3,FALSE)*$F109</f>
        <v>0</v>
      </c>
      <c r="I109" s="296">
        <f>VLOOKUP($E109,Ratio,4,FALSE)*$F109</f>
        <v>0</v>
      </c>
      <c r="J109" s="61"/>
      <c r="K109" s="61"/>
      <c r="L109" s="29"/>
      <c r="M109" s="29"/>
      <c r="N109" s="29"/>
    </row>
    <row r="110" spans="1:14" s="21" customFormat="1" ht="15" customHeight="1">
      <c r="A110" s="41"/>
      <c r="B110" s="193" t="s">
        <v>272</v>
      </c>
      <c r="C110" s="191" t="s">
        <v>138</v>
      </c>
      <c r="D110" s="18">
        <v>186</v>
      </c>
      <c r="E110" s="167" t="s">
        <v>5</v>
      </c>
      <c r="F110" s="96">
        <v>31297127</v>
      </c>
      <c r="G110" s="296">
        <f>VLOOKUP($E110,Ratio,2,FALSE)*$F110</f>
        <v>0</v>
      </c>
      <c r="H110" s="296">
        <f>VLOOKUP($E110,Ratio,3,FALSE)*$F110</f>
        <v>0</v>
      </c>
      <c r="I110" s="296">
        <f>VLOOKUP($E110,Ratio,4,FALSE)*$F110</f>
        <v>0</v>
      </c>
      <c r="J110" s="57"/>
      <c r="K110" s="57"/>
      <c r="L110" s="65"/>
      <c r="M110" s="65"/>
      <c r="N110" s="65"/>
    </row>
    <row r="111" spans="1:14" ht="15" customHeight="1">
      <c r="A111" s="41"/>
      <c r="B111" s="193" t="s">
        <v>273</v>
      </c>
      <c r="C111" s="191" t="s">
        <v>138</v>
      </c>
      <c r="D111" s="18">
        <v>187</v>
      </c>
      <c r="E111" s="167" t="s">
        <v>5</v>
      </c>
      <c r="F111" s="96">
        <v>0</v>
      </c>
      <c r="G111" s="296">
        <f>VLOOKUP($E111,Ratio,2,FALSE)*$F111</f>
        <v>0</v>
      </c>
      <c r="H111" s="296">
        <f>VLOOKUP($E111,Ratio,3,FALSE)*$F111</f>
        <v>0</v>
      </c>
      <c r="I111" s="296">
        <f>VLOOKUP($E111,Ratio,4,FALSE)*$F111</f>
        <v>0</v>
      </c>
      <c r="J111" s="61"/>
      <c r="K111" s="61"/>
      <c r="L111" s="29"/>
      <c r="M111" s="29"/>
      <c r="N111" s="29"/>
    </row>
    <row r="112" spans="1:14" ht="15" customHeight="1">
      <c r="A112" s="41"/>
      <c r="B112" s="193" t="s">
        <v>274</v>
      </c>
      <c r="C112" s="191" t="s">
        <v>138</v>
      </c>
      <c r="D112" s="18">
        <v>188</v>
      </c>
      <c r="E112" s="167" t="s">
        <v>2</v>
      </c>
      <c r="F112" s="96">
        <v>0</v>
      </c>
      <c r="G112" s="296">
        <f>VLOOKUP($E112,Ratio,2,FALSE)*$F112</f>
        <v>0</v>
      </c>
      <c r="H112" s="296">
        <f>VLOOKUP($E112,Ratio,3,FALSE)*$F112</f>
        <v>0</v>
      </c>
      <c r="I112" s="296">
        <f>VLOOKUP($E112,Ratio,4,FALSE)*$F112</f>
        <v>0</v>
      </c>
      <c r="J112" s="61"/>
      <c r="K112" s="61"/>
      <c r="L112" s="29"/>
      <c r="M112" s="29"/>
      <c r="N112" s="29"/>
    </row>
    <row r="113" spans="1:14" ht="15" customHeight="1">
      <c r="A113" s="41"/>
      <c r="B113" s="193" t="s">
        <v>275</v>
      </c>
      <c r="C113" s="191" t="s">
        <v>138</v>
      </c>
      <c r="D113" s="18">
        <v>189</v>
      </c>
      <c r="E113" s="167" t="s">
        <v>29</v>
      </c>
      <c r="F113" s="96">
        <v>28622766</v>
      </c>
      <c r="G113" s="296">
        <f>VLOOKUP($E113,Ratio,2,FALSE)*$F113</f>
        <v>12811711.784946375</v>
      </c>
      <c r="H113" s="296">
        <f>VLOOKUP($E113,Ratio,3,FALSE)*$F113</f>
        <v>5069253.784544269</v>
      </c>
      <c r="I113" s="296">
        <f>VLOOKUP($E113,Ratio,4,FALSE)*$F113</f>
        <v>10989673.440460615</v>
      </c>
      <c r="J113" s="61"/>
      <c r="K113" s="61"/>
      <c r="L113" s="29"/>
      <c r="M113" s="29"/>
      <c r="N113" s="29"/>
    </row>
    <row r="114" spans="1:14" ht="15" customHeight="1">
      <c r="A114" s="41"/>
      <c r="B114" s="193" t="s">
        <v>276</v>
      </c>
      <c r="C114" s="191" t="s">
        <v>138</v>
      </c>
      <c r="D114" s="18">
        <v>190</v>
      </c>
      <c r="E114" s="167" t="s">
        <v>2</v>
      </c>
      <c r="F114" s="96">
        <v>55602315</v>
      </c>
      <c r="G114" s="296">
        <f>VLOOKUP($E114,Ratio,2,FALSE)*$F114</f>
        <v>0</v>
      </c>
      <c r="H114" s="296">
        <f>VLOOKUP($E114,Ratio,3,FALSE)*$F114</f>
        <v>0</v>
      </c>
      <c r="I114" s="296">
        <f>VLOOKUP($E114,Ratio,4,FALSE)*$F114</f>
        <v>55602315</v>
      </c>
      <c r="J114" s="57"/>
      <c r="K114" s="57"/>
      <c r="L114" s="29"/>
      <c r="M114" s="29"/>
      <c r="N114" s="29"/>
    </row>
    <row r="115" spans="1:14" ht="15" customHeight="1">
      <c r="A115" s="254"/>
      <c r="B115" s="193" t="s">
        <v>25</v>
      </c>
      <c r="C115" s="191"/>
      <c r="D115" s="18"/>
      <c r="E115" s="167"/>
      <c r="F115" s="153">
        <f>SUM(F101:F114)</f>
        <v>465923694</v>
      </c>
      <c r="G115" s="153">
        <f>SUM(G101:G114)</f>
        <v>20837902.369044572</v>
      </c>
      <c r="H115" s="153">
        <f>SUM(H101:H114)</f>
        <v>8245004.041564561</v>
      </c>
      <c r="I115" s="153">
        <f>SUM(I101:I114)</f>
        <v>405946819.32945514</v>
      </c>
      <c r="J115" s="57"/>
      <c r="K115" s="57"/>
      <c r="L115" s="29"/>
      <c r="M115" s="29"/>
      <c r="N115" s="29"/>
    </row>
    <row r="116" spans="1:14" ht="15" customHeight="1">
      <c r="A116" s="254"/>
      <c r="B116" s="266"/>
      <c r="C116" s="267"/>
      <c r="D116" s="16"/>
      <c r="E116" s="90"/>
      <c r="F116" s="100"/>
      <c r="G116" s="55"/>
      <c r="H116" s="55"/>
      <c r="I116" s="55"/>
      <c r="J116" s="57"/>
      <c r="K116" s="57"/>
      <c r="L116" s="29"/>
      <c r="M116" s="29"/>
      <c r="N116" s="29"/>
    </row>
    <row r="117" spans="1:14" ht="15" customHeight="1">
      <c r="A117" s="261" t="s">
        <v>129</v>
      </c>
      <c r="B117" s="86"/>
      <c r="C117" s="41"/>
      <c r="D117" s="41"/>
      <c r="E117" s="87"/>
      <c r="F117" s="154">
        <f>+F76+F84+F89+F99+F115</f>
        <v>752640621.375</v>
      </c>
      <c r="G117" s="154">
        <f>+G76+G84+G89+G99+G115</f>
        <v>38384131.70163843</v>
      </c>
      <c r="H117" s="154">
        <f>+H76+H84+H89+H99+H115</f>
        <v>11676470.42035696</v>
      </c>
      <c r="I117" s="154">
        <f>+I76+I84+I89+I99+I115</f>
        <v>414650443.6730792</v>
      </c>
      <c r="J117" s="56"/>
      <c r="K117" s="57"/>
      <c r="L117" s="29"/>
      <c r="M117" s="29"/>
      <c r="N117" s="29"/>
    </row>
    <row r="118" spans="1:14" s="21" customFormat="1" ht="15" customHeight="1">
      <c r="A118" s="85"/>
      <c r="B118" s="86"/>
      <c r="C118" s="41"/>
      <c r="D118" s="41"/>
      <c r="E118" s="87"/>
      <c r="F118" s="102"/>
      <c r="G118" s="102"/>
      <c r="H118" s="102"/>
      <c r="I118" s="102"/>
      <c r="J118" s="56"/>
      <c r="K118" s="57"/>
      <c r="L118" s="65"/>
      <c r="M118" s="65"/>
      <c r="N118" s="65"/>
    </row>
    <row r="119" spans="1:14" ht="15" customHeight="1">
      <c r="A119" s="263" t="s">
        <v>130</v>
      </c>
      <c r="B119" s="86"/>
      <c r="C119" s="41"/>
      <c r="D119" s="16"/>
      <c r="E119" s="90"/>
      <c r="F119" s="103"/>
      <c r="G119" s="104"/>
      <c r="H119" s="104"/>
      <c r="I119" s="104"/>
      <c r="J119" s="56"/>
      <c r="K119" s="57"/>
      <c r="L119" s="29"/>
      <c r="M119" s="29"/>
      <c r="N119" s="29"/>
    </row>
    <row r="120" spans="1:14" ht="15" customHeight="1">
      <c r="A120" s="41"/>
      <c r="B120" s="189" t="s">
        <v>181</v>
      </c>
      <c r="C120" s="18"/>
      <c r="D120" s="194"/>
      <c r="E120" s="167"/>
      <c r="F120" s="106"/>
      <c r="G120" s="55"/>
      <c r="H120" s="55"/>
      <c r="I120" s="55"/>
      <c r="J120" s="56"/>
      <c r="K120" s="57"/>
      <c r="L120" s="29"/>
      <c r="M120" s="29"/>
      <c r="N120" s="29"/>
    </row>
    <row r="121" spans="1:14" ht="15" customHeight="1">
      <c r="A121" s="41"/>
      <c r="B121" s="193" t="s">
        <v>277</v>
      </c>
      <c r="C121" s="18" t="s">
        <v>143</v>
      </c>
      <c r="D121" s="194" t="s">
        <v>278</v>
      </c>
      <c r="E121" s="167" t="s">
        <v>5</v>
      </c>
      <c r="F121" s="106">
        <f>73478456+15318835</f>
        <v>88797291</v>
      </c>
      <c r="G121" s="296">
        <f>VLOOKUP($E121,Ratio,2,FALSE)*$F121</f>
        <v>0</v>
      </c>
      <c r="H121" s="296">
        <f>VLOOKUP($E121,Ratio,3,FALSE)*$F121</f>
        <v>0</v>
      </c>
      <c r="I121" s="296">
        <f>VLOOKUP($E121,Ratio,4,FALSE)*$F121</f>
        <v>0</v>
      </c>
      <c r="J121" s="56"/>
      <c r="K121" s="57"/>
      <c r="L121" s="29"/>
      <c r="M121" s="29"/>
      <c r="N121" s="29"/>
    </row>
    <row r="122" spans="1:14" ht="15" customHeight="1">
      <c r="A122" s="41"/>
      <c r="B122" s="193" t="s">
        <v>25</v>
      </c>
      <c r="C122" s="18"/>
      <c r="D122" s="194"/>
      <c r="E122" s="167"/>
      <c r="F122" s="155">
        <f>SUM(F121)</f>
        <v>88797291</v>
      </c>
      <c r="G122" s="155">
        <f>SUM(G121)</f>
        <v>0</v>
      </c>
      <c r="H122" s="155">
        <f>SUM(H121)</f>
        <v>0</v>
      </c>
      <c r="I122" s="155">
        <f>SUM(I121)</f>
        <v>0</v>
      </c>
      <c r="J122" s="56"/>
      <c r="K122" s="57"/>
      <c r="L122" s="29"/>
      <c r="M122" s="29"/>
      <c r="N122" s="29"/>
    </row>
    <row r="123" spans="1:14" ht="15" customHeight="1">
      <c r="A123" s="41"/>
      <c r="B123" s="189" t="s">
        <v>182</v>
      </c>
      <c r="C123" s="18"/>
      <c r="D123" s="194"/>
      <c r="E123" s="167"/>
      <c r="F123" s="103"/>
      <c r="G123" s="55"/>
      <c r="H123" s="55"/>
      <c r="I123" s="55"/>
      <c r="J123" s="56"/>
      <c r="K123" s="57"/>
      <c r="L123" s="29"/>
      <c r="M123" s="29"/>
      <c r="N123" s="29"/>
    </row>
    <row r="124" spans="1:14" ht="15" customHeight="1">
      <c r="A124" s="41"/>
      <c r="B124" s="193" t="s">
        <v>341</v>
      </c>
      <c r="C124" s="18" t="s">
        <v>143</v>
      </c>
      <c r="D124" s="194" t="s">
        <v>278</v>
      </c>
      <c r="E124" s="167" t="s">
        <v>3</v>
      </c>
      <c r="F124" s="103"/>
      <c r="G124" s="296">
        <f>VLOOKUP($E124,Ratio,2,FALSE)*$F124</f>
        <v>0</v>
      </c>
      <c r="H124" s="296">
        <f>VLOOKUP($E124,Ratio,3,FALSE)*$F124</f>
        <v>0</v>
      </c>
      <c r="I124" s="296">
        <f>VLOOKUP($E124,Ratio,4,FALSE)*$F124</f>
        <v>0</v>
      </c>
      <c r="J124" s="56"/>
      <c r="K124" s="57"/>
      <c r="L124" s="29"/>
      <c r="M124" s="29"/>
      <c r="N124" s="29"/>
    </row>
    <row r="125" spans="1:14" ht="15" customHeight="1">
      <c r="A125" s="41"/>
      <c r="B125" s="193" t="s">
        <v>279</v>
      </c>
      <c r="C125" s="18" t="s">
        <v>143</v>
      </c>
      <c r="D125" s="194">
        <v>252</v>
      </c>
      <c r="E125" s="167" t="s">
        <v>2</v>
      </c>
      <c r="F125" s="107">
        <v>1087069</v>
      </c>
      <c r="G125" s="296">
        <f>VLOOKUP($E125,Ratio,2,FALSE)*$F125</f>
        <v>0</v>
      </c>
      <c r="H125" s="296">
        <f>VLOOKUP($E125,Ratio,3,FALSE)*$F125</f>
        <v>0</v>
      </c>
      <c r="I125" s="296">
        <f>VLOOKUP($E125,Ratio,4,FALSE)*$F125</f>
        <v>1087069</v>
      </c>
      <c r="J125" s="56"/>
      <c r="K125" s="57"/>
      <c r="L125" s="29"/>
      <c r="M125" s="29"/>
      <c r="N125" s="29"/>
    </row>
    <row r="126" spans="1:14" ht="15" customHeight="1">
      <c r="A126" s="41"/>
      <c r="B126" s="193" t="s">
        <v>282</v>
      </c>
      <c r="C126" s="18" t="s">
        <v>143</v>
      </c>
      <c r="D126" s="194">
        <v>253</v>
      </c>
      <c r="E126" s="167" t="s">
        <v>5</v>
      </c>
      <c r="F126" s="107">
        <v>36280631</v>
      </c>
      <c r="G126" s="296">
        <f>VLOOKUP($E126,Ratio,2,FALSE)*$F126</f>
        <v>0</v>
      </c>
      <c r="H126" s="296">
        <f>VLOOKUP($E126,Ratio,3,FALSE)*$F126</f>
        <v>0</v>
      </c>
      <c r="I126" s="296">
        <f>VLOOKUP($E126,Ratio,4,FALSE)*$F126</f>
        <v>0</v>
      </c>
      <c r="J126" s="56"/>
      <c r="K126" s="57"/>
      <c r="L126" s="29"/>
      <c r="M126" s="29"/>
      <c r="N126" s="29"/>
    </row>
    <row r="127" spans="1:14" ht="15" customHeight="1">
      <c r="A127" s="41"/>
      <c r="B127" s="193" t="s">
        <v>283</v>
      </c>
      <c r="C127" s="18" t="s">
        <v>143</v>
      </c>
      <c r="D127" s="194">
        <v>254</v>
      </c>
      <c r="E127" s="167" t="s">
        <v>2</v>
      </c>
      <c r="F127" s="107">
        <v>18246960</v>
      </c>
      <c r="G127" s="296">
        <f>VLOOKUP($E127,Ratio,2,FALSE)*$F127</f>
        <v>0</v>
      </c>
      <c r="H127" s="296">
        <f>VLOOKUP($E127,Ratio,3,FALSE)*$F127</f>
        <v>0</v>
      </c>
      <c r="I127" s="296">
        <f>VLOOKUP($E127,Ratio,4,FALSE)*$F127</f>
        <v>18246960</v>
      </c>
      <c r="J127" s="56"/>
      <c r="K127" s="57"/>
      <c r="L127" s="29"/>
      <c r="M127" s="29"/>
      <c r="N127" s="29"/>
    </row>
    <row r="128" spans="1:14" ht="15" customHeight="1">
      <c r="A128" s="41"/>
      <c r="B128" s="193" t="s">
        <v>280</v>
      </c>
      <c r="C128" s="18" t="s">
        <v>143</v>
      </c>
      <c r="D128" s="194">
        <v>255</v>
      </c>
      <c r="E128" s="167" t="s">
        <v>2</v>
      </c>
      <c r="F128" s="107">
        <v>472344</v>
      </c>
      <c r="G128" s="296">
        <f>VLOOKUP($E128,Ratio,2,FALSE)*$F128</f>
        <v>0</v>
      </c>
      <c r="H128" s="296">
        <f>VLOOKUP($E128,Ratio,3,FALSE)*$F128</f>
        <v>0</v>
      </c>
      <c r="I128" s="296">
        <f>VLOOKUP($E128,Ratio,4,FALSE)*$F128</f>
        <v>472344</v>
      </c>
      <c r="J128" s="56"/>
      <c r="K128" s="57"/>
      <c r="L128" s="29"/>
      <c r="M128" s="29"/>
      <c r="N128" s="29"/>
    </row>
    <row r="129" spans="1:14" ht="15" customHeight="1">
      <c r="A129" s="41"/>
      <c r="B129" s="193" t="s">
        <v>281</v>
      </c>
      <c r="C129" s="18" t="s">
        <v>143</v>
      </c>
      <c r="D129" s="194">
        <v>256</v>
      </c>
      <c r="E129" s="167" t="s">
        <v>2</v>
      </c>
      <c r="F129" s="107">
        <v>0</v>
      </c>
      <c r="G129" s="296">
        <f>VLOOKUP($E129,Ratio,2,FALSE)*$F129</f>
        <v>0</v>
      </c>
      <c r="H129" s="296">
        <f>VLOOKUP($E129,Ratio,3,FALSE)*$F129</f>
        <v>0</v>
      </c>
      <c r="I129" s="296">
        <f>VLOOKUP($E129,Ratio,4,FALSE)*$F129</f>
        <v>0</v>
      </c>
      <c r="J129" s="56"/>
      <c r="K129" s="57"/>
      <c r="L129" s="29"/>
      <c r="M129" s="29"/>
      <c r="N129" s="29"/>
    </row>
    <row r="130" spans="1:14" ht="15.75" customHeight="1">
      <c r="A130" s="41"/>
      <c r="B130" s="193" t="s">
        <v>284</v>
      </c>
      <c r="C130" s="18" t="s">
        <v>143</v>
      </c>
      <c r="D130" s="194">
        <v>257</v>
      </c>
      <c r="E130" s="167" t="s">
        <v>29</v>
      </c>
      <c r="F130" s="107">
        <v>3282969</v>
      </c>
      <c r="G130" s="296">
        <f>VLOOKUP($E130,Ratio,2,FALSE)*$F130</f>
        <v>1469475.4737160488</v>
      </c>
      <c r="H130" s="296">
        <f>VLOOKUP($E130,Ratio,3,FALSE)*$F130</f>
        <v>581432.3824535866</v>
      </c>
      <c r="I130" s="296">
        <f>VLOOKUP($E130,Ratio,4,FALSE)*$F130</f>
        <v>1260491.6388987543</v>
      </c>
      <c r="J130" s="56"/>
      <c r="K130" s="57"/>
      <c r="L130" s="29"/>
      <c r="M130" s="29"/>
      <c r="N130" s="29"/>
    </row>
    <row r="131" spans="1:14" ht="15" customHeight="1">
      <c r="A131" s="41"/>
      <c r="B131" s="193" t="s">
        <v>290</v>
      </c>
      <c r="C131" s="18" t="s">
        <v>143</v>
      </c>
      <c r="D131" s="194">
        <v>281</v>
      </c>
      <c r="E131" s="167" t="s">
        <v>2</v>
      </c>
      <c r="F131" s="107">
        <v>0</v>
      </c>
      <c r="G131" s="296">
        <f>VLOOKUP($E131,Ratio,2,FALSE)*$F131</f>
        <v>0</v>
      </c>
      <c r="H131" s="296">
        <f>VLOOKUP($E131,Ratio,3,FALSE)*$F131</f>
        <v>0</v>
      </c>
      <c r="I131" s="296">
        <f>VLOOKUP($E131,Ratio,4,FALSE)*$F131</f>
        <v>0</v>
      </c>
      <c r="J131" s="56"/>
      <c r="K131" s="57"/>
      <c r="L131" s="29"/>
      <c r="M131" s="29"/>
      <c r="N131" s="29"/>
    </row>
    <row r="132" spans="1:14" ht="15" customHeight="1">
      <c r="A132" s="41"/>
      <c r="B132" s="193" t="s">
        <v>291</v>
      </c>
      <c r="C132" s="18" t="s">
        <v>143</v>
      </c>
      <c r="D132" s="194">
        <v>282</v>
      </c>
      <c r="E132" s="167" t="s">
        <v>2</v>
      </c>
      <c r="F132" s="107">
        <v>305474214</v>
      </c>
      <c r="G132" s="296">
        <f>VLOOKUP($E132,Ratio,2,FALSE)*$F132</f>
        <v>0</v>
      </c>
      <c r="H132" s="296">
        <f>VLOOKUP($E132,Ratio,3,FALSE)*$F132</f>
        <v>0</v>
      </c>
      <c r="I132" s="296">
        <f>VLOOKUP($E132,Ratio,4,FALSE)*$F132</f>
        <v>305474214</v>
      </c>
      <c r="J132" s="56"/>
      <c r="K132" s="57"/>
      <c r="L132" s="29"/>
      <c r="M132" s="29"/>
      <c r="N132" s="29"/>
    </row>
    <row r="133" spans="1:14" ht="15" customHeight="1">
      <c r="A133" s="41"/>
      <c r="B133" s="193" t="s">
        <v>292</v>
      </c>
      <c r="C133" s="18" t="s">
        <v>143</v>
      </c>
      <c r="D133" s="194">
        <v>283</v>
      </c>
      <c r="E133" s="167" t="s">
        <v>2</v>
      </c>
      <c r="F133" s="107">
        <v>211989043</v>
      </c>
      <c r="G133" s="296">
        <f>VLOOKUP($E133,Ratio,2,FALSE)*$F133</f>
        <v>0</v>
      </c>
      <c r="H133" s="296">
        <f>VLOOKUP($E133,Ratio,3,FALSE)*$F133</f>
        <v>0</v>
      </c>
      <c r="I133" s="296">
        <f>VLOOKUP($E133,Ratio,4,FALSE)*$F133</f>
        <v>211989043</v>
      </c>
      <c r="J133" s="56"/>
      <c r="K133" s="57"/>
      <c r="L133" s="29"/>
      <c r="M133" s="29"/>
      <c r="N133" s="29"/>
    </row>
    <row r="134" spans="1:14" ht="15" customHeight="1">
      <c r="A134" s="41"/>
      <c r="B134" s="193" t="s">
        <v>25</v>
      </c>
      <c r="C134" s="18"/>
      <c r="D134" s="194"/>
      <c r="E134" s="167"/>
      <c r="F134" s="150">
        <f>SUM(F125:F133)</f>
        <v>576833230</v>
      </c>
      <c r="G134" s="150">
        <f>SUM(G125:G133)</f>
        <v>1469475.4737160488</v>
      </c>
      <c r="H134" s="150">
        <f>SUM(H125:H133)</f>
        <v>581432.3824535866</v>
      </c>
      <c r="I134" s="150">
        <f>SUM(I125:I133)</f>
        <v>538530121.6388987</v>
      </c>
      <c r="J134" s="56"/>
      <c r="K134" s="57"/>
      <c r="L134" s="29"/>
      <c r="M134" s="29"/>
      <c r="N134" s="29"/>
    </row>
    <row r="135" spans="1:14" ht="15" customHeight="1">
      <c r="A135" s="41"/>
      <c r="B135" s="269"/>
      <c r="C135" s="16"/>
      <c r="D135" s="17"/>
      <c r="E135" s="90"/>
      <c r="F135" s="107"/>
      <c r="G135" s="55"/>
      <c r="H135" s="55"/>
      <c r="I135" s="55"/>
      <c r="J135" s="56"/>
      <c r="K135" s="57"/>
      <c r="L135" s="29"/>
      <c r="M135" s="29"/>
      <c r="N135" s="29"/>
    </row>
    <row r="136" spans="1:14" ht="15" customHeight="1">
      <c r="A136" s="261" t="s">
        <v>128</v>
      </c>
      <c r="B136" s="86"/>
      <c r="C136" s="41"/>
      <c r="D136" s="41"/>
      <c r="E136" s="268"/>
      <c r="F136" s="108">
        <f>+F134+F122</f>
        <v>665630521</v>
      </c>
      <c r="G136" s="108">
        <f>+G134+G122</f>
        <v>1469475.4737160488</v>
      </c>
      <c r="H136" s="108">
        <f>+H134+H122</f>
        <v>581432.3824535866</v>
      </c>
      <c r="I136" s="108">
        <f>+I134+I122</f>
        <v>538530121.6388987</v>
      </c>
      <c r="J136" s="109"/>
      <c r="K136" s="56"/>
      <c r="L136" s="29"/>
      <c r="M136" s="29"/>
      <c r="N136" s="29"/>
    </row>
    <row r="137" spans="1:14" ht="15" customHeight="1">
      <c r="A137" s="270"/>
      <c r="B137" s="86"/>
      <c r="C137" s="41"/>
      <c r="D137" s="41"/>
      <c r="E137" s="19"/>
      <c r="F137" s="54"/>
      <c r="G137" s="54"/>
      <c r="H137" s="54"/>
      <c r="I137" s="54"/>
      <c r="J137" s="109"/>
      <c r="K137" s="56"/>
      <c r="L137" s="29"/>
      <c r="M137" s="29"/>
      <c r="N137" s="29"/>
    </row>
    <row r="138" spans="1:11" ht="15" customHeight="1">
      <c r="A138" s="21"/>
      <c r="B138" s="143"/>
      <c r="C138" s="17"/>
      <c r="D138" s="17"/>
      <c r="E138" s="21"/>
      <c r="J138" s="109"/>
      <c r="K138" s="21"/>
    </row>
    <row r="139" spans="1:14" ht="15" customHeight="1">
      <c r="A139" s="256" t="s">
        <v>71</v>
      </c>
      <c r="B139" s="86"/>
      <c r="C139" s="41"/>
      <c r="D139" s="41"/>
      <c r="E139" s="19"/>
      <c r="F139" s="112">
        <f>F71+F117-F136</f>
        <v>1577410526.375</v>
      </c>
      <c r="G139" s="112">
        <f>G71+G117-G136</f>
        <v>696580669.3646886</v>
      </c>
      <c r="H139" s="112">
        <f>H71+H117-H136</f>
        <v>263933190.03576028</v>
      </c>
      <c r="I139" s="112">
        <f>I71+I117-I136</f>
        <v>464834029.8995575</v>
      </c>
      <c r="J139" s="109"/>
      <c r="K139" s="113"/>
      <c r="L139" s="29"/>
      <c r="M139" s="29"/>
      <c r="N139" s="29"/>
    </row>
    <row r="140" spans="1:12" ht="15" customHeight="1">
      <c r="A140" s="101" t="s">
        <v>145</v>
      </c>
      <c r="B140" s="84"/>
      <c r="C140" s="46"/>
      <c r="D140" s="46"/>
      <c r="E140" s="70"/>
      <c r="F140" s="114"/>
      <c r="G140" s="53"/>
      <c r="H140" s="80"/>
      <c r="I140" s="115"/>
      <c r="J140" s="29"/>
      <c r="K140" s="29"/>
      <c r="L140" s="29"/>
    </row>
    <row r="141" spans="1:12" ht="15" customHeight="1">
      <c r="A141" s="101"/>
      <c r="B141" s="84"/>
      <c r="C141" s="46"/>
      <c r="D141" s="46"/>
      <c r="E141" s="70"/>
      <c r="F141" s="114"/>
      <c r="G141" s="53"/>
      <c r="H141" s="80"/>
      <c r="I141" s="115"/>
      <c r="J141" s="29"/>
      <c r="K141" s="29"/>
      <c r="L141" s="29"/>
    </row>
    <row r="142" spans="1:12" ht="1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29"/>
      <c r="K142" s="29"/>
      <c r="L142" s="29"/>
    </row>
    <row r="143" spans="1:14" ht="1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09"/>
      <c r="K143" s="56"/>
      <c r="L143" s="29"/>
      <c r="M143" s="29"/>
      <c r="N143" s="29"/>
    </row>
    <row r="144" spans="1:14" ht="1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09"/>
      <c r="K144" s="56"/>
      <c r="L144" s="29"/>
      <c r="M144" s="29"/>
      <c r="N144" s="29"/>
    </row>
    <row r="145" spans="1:14" ht="1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09"/>
      <c r="K145" s="56"/>
      <c r="L145" s="29"/>
      <c r="M145" s="29"/>
      <c r="N145" s="29"/>
    </row>
    <row r="146" spans="1:14" ht="1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09"/>
      <c r="K146" s="56"/>
      <c r="L146" s="29"/>
      <c r="M146" s="29"/>
      <c r="N146" s="29"/>
    </row>
    <row r="147" spans="1:14" ht="1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09"/>
      <c r="K147" s="56"/>
      <c r="L147" s="29"/>
      <c r="M147" s="29"/>
      <c r="N147" s="29"/>
    </row>
    <row r="148" spans="1:14" ht="1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09"/>
      <c r="K148" s="56"/>
      <c r="L148" s="29"/>
      <c r="M148" s="29"/>
      <c r="N148" s="29"/>
    </row>
    <row r="149" spans="1:14" s="21" customFormat="1" ht="1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09"/>
      <c r="K149" s="56"/>
      <c r="L149" s="65"/>
      <c r="M149" s="65"/>
      <c r="N149" s="65"/>
    </row>
    <row r="150" spans="1:14" s="21" customFormat="1" ht="1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09"/>
      <c r="K150" s="56"/>
      <c r="L150" s="65"/>
      <c r="M150" s="65"/>
      <c r="N150" s="65"/>
    </row>
    <row r="151" spans="1:14" ht="1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09"/>
      <c r="K151" s="56"/>
      <c r="L151" s="29"/>
      <c r="M151" s="29"/>
      <c r="N151" s="29"/>
    </row>
    <row r="152" spans="1:14" ht="1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09"/>
      <c r="K152" s="56"/>
      <c r="L152" s="29"/>
      <c r="M152" s="29"/>
      <c r="N152" s="29"/>
    </row>
    <row r="153" spans="1:14" ht="1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09"/>
      <c r="K153" s="56"/>
      <c r="L153" s="29"/>
      <c r="M153" s="29"/>
      <c r="N153" s="29"/>
    </row>
    <row r="154" spans="1:14" ht="1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09"/>
      <c r="K154" s="56"/>
      <c r="L154" s="29"/>
      <c r="M154" s="29"/>
      <c r="N154" s="29"/>
    </row>
    <row r="155" spans="1:14" ht="1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09"/>
      <c r="K155" s="56"/>
      <c r="L155" s="29"/>
      <c r="M155" s="29"/>
      <c r="N155" s="29"/>
    </row>
    <row r="156" spans="1:14" ht="1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09"/>
      <c r="K156" s="56"/>
      <c r="L156" s="29"/>
      <c r="M156" s="29"/>
      <c r="N156" s="29"/>
    </row>
    <row r="157" spans="1:14" ht="1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09"/>
      <c r="K157" s="56"/>
      <c r="L157" s="29"/>
      <c r="M157" s="29"/>
      <c r="N157" s="29"/>
    </row>
    <row r="158" spans="1:14" ht="1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09"/>
      <c r="K158" s="56"/>
      <c r="L158" s="29"/>
      <c r="M158" s="29"/>
      <c r="N158" s="29"/>
    </row>
    <row r="159" spans="1:14" ht="1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09"/>
      <c r="K159" s="56"/>
      <c r="L159" s="29"/>
      <c r="M159" s="29"/>
      <c r="N159" s="29"/>
    </row>
    <row r="160" spans="1:14" s="21" customFormat="1" ht="1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09"/>
      <c r="K160" s="56"/>
      <c r="L160" s="65"/>
      <c r="M160" s="65"/>
      <c r="N160" s="65"/>
    </row>
    <row r="161" spans="1:14" s="21" customFormat="1" ht="1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09"/>
      <c r="K161" s="56"/>
      <c r="L161" s="65"/>
      <c r="M161" s="65"/>
      <c r="N161" s="65"/>
    </row>
    <row r="162" spans="1:14" ht="1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09"/>
      <c r="K162" s="56"/>
      <c r="L162" s="29"/>
      <c r="M162" s="29"/>
      <c r="N162" s="29"/>
    </row>
    <row r="163" spans="1:14" ht="1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09"/>
      <c r="K163" s="56"/>
      <c r="L163" s="29"/>
      <c r="M163" s="29"/>
      <c r="N163" s="29"/>
    </row>
    <row r="164" spans="1:14" ht="1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09"/>
      <c r="K164" s="116"/>
      <c r="L164" s="29"/>
      <c r="M164" s="29"/>
      <c r="N164" s="29"/>
    </row>
    <row r="165" spans="1:14" ht="1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09"/>
      <c r="K165" s="56"/>
      <c r="L165" s="29"/>
      <c r="M165" s="29"/>
      <c r="N165" s="29"/>
    </row>
    <row r="166" spans="1:14" ht="1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09"/>
      <c r="K166" s="56"/>
      <c r="L166" s="29"/>
      <c r="M166" s="29"/>
      <c r="N166" s="29"/>
    </row>
    <row r="167" spans="1:14" ht="1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09"/>
      <c r="K167" s="56"/>
      <c r="L167" s="29"/>
      <c r="M167" s="29"/>
      <c r="N167" s="29"/>
    </row>
    <row r="168" spans="1:14" ht="1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09"/>
      <c r="K168" s="56"/>
      <c r="L168" s="29"/>
      <c r="M168" s="29"/>
      <c r="N168" s="29"/>
    </row>
    <row r="169" spans="1:14" ht="1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09"/>
      <c r="K169" s="56"/>
      <c r="L169" s="29"/>
      <c r="M169" s="29"/>
      <c r="N169" s="29"/>
    </row>
    <row r="170" spans="1:14" ht="1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09"/>
      <c r="K170" s="56"/>
      <c r="L170" s="29"/>
      <c r="M170" s="29"/>
      <c r="N170" s="29"/>
    </row>
    <row r="171" spans="1:14" ht="1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09"/>
      <c r="K171" s="56"/>
      <c r="L171" s="29"/>
      <c r="M171" s="29"/>
      <c r="N171" s="29"/>
    </row>
    <row r="172" spans="1:14" ht="1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09"/>
      <c r="K172" s="56"/>
      <c r="L172" s="29"/>
      <c r="M172" s="29"/>
      <c r="N172" s="29"/>
    </row>
    <row r="173" spans="1:14" ht="1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09"/>
      <c r="K173" s="56"/>
      <c r="L173" s="29"/>
      <c r="M173" s="29"/>
      <c r="N173" s="29"/>
    </row>
    <row r="174" spans="1:14" ht="1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09"/>
      <c r="K174" s="56"/>
      <c r="L174" s="29"/>
      <c r="M174" s="29"/>
      <c r="N174" s="29"/>
    </row>
    <row r="175" spans="1:14" ht="1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09"/>
      <c r="K175" s="116"/>
      <c r="L175" s="29"/>
      <c r="M175" s="29"/>
      <c r="N175" s="29"/>
    </row>
    <row r="176" spans="1:14" ht="1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09"/>
      <c r="K176" s="56"/>
      <c r="L176" s="29"/>
      <c r="M176" s="29"/>
      <c r="N176" s="29"/>
    </row>
    <row r="177" spans="1:14" ht="1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09"/>
      <c r="K177" s="56"/>
      <c r="L177" s="29"/>
      <c r="M177" s="29"/>
      <c r="N177" s="29"/>
    </row>
    <row r="178" spans="1:14" ht="1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09"/>
      <c r="K178" s="56"/>
      <c r="L178" s="29"/>
      <c r="M178" s="29"/>
      <c r="N178" s="29"/>
    </row>
    <row r="179" spans="1:14" s="21" customFormat="1" ht="1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09"/>
      <c r="K179" s="56"/>
      <c r="L179" s="65"/>
      <c r="M179" s="65"/>
      <c r="N179" s="65"/>
    </row>
    <row r="180" spans="1:14" ht="1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09"/>
      <c r="K180" s="56"/>
      <c r="L180" s="29"/>
      <c r="M180" s="29"/>
      <c r="N180" s="29"/>
    </row>
    <row r="181" spans="1:14" ht="1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09"/>
      <c r="K181" s="56"/>
      <c r="L181" s="29"/>
      <c r="M181" s="29"/>
      <c r="N181" s="29"/>
    </row>
    <row r="182" spans="1:14" s="21" customFormat="1" ht="1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09"/>
      <c r="K182" s="117"/>
      <c r="L182" s="65"/>
      <c r="M182" s="65"/>
      <c r="N182" s="65"/>
    </row>
    <row r="183" spans="1:14" s="21" customFormat="1" ht="1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09"/>
      <c r="K183" s="56"/>
      <c r="L183" s="65"/>
      <c r="M183" s="65"/>
      <c r="N183" s="65"/>
    </row>
    <row r="184" spans="1:14" ht="1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09"/>
      <c r="K184" s="56"/>
      <c r="L184" s="29"/>
      <c r="M184" s="29"/>
      <c r="N184" s="29"/>
    </row>
    <row r="185" spans="1:14" ht="1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09"/>
      <c r="K185" s="56"/>
      <c r="L185" s="29"/>
      <c r="M185" s="29"/>
      <c r="N185" s="29"/>
    </row>
    <row r="186" spans="1:14" ht="1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09"/>
      <c r="K186" s="56"/>
      <c r="L186" s="29"/>
      <c r="M186" s="29"/>
      <c r="N186" s="29"/>
    </row>
    <row r="187" spans="1:14" ht="1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09"/>
      <c r="K187" s="56"/>
      <c r="L187" s="29"/>
      <c r="M187" s="29"/>
      <c r="N187" s="29"/>
    </row>
    <row r="188" spans="1:14" ht="1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09"/>
      <c r="K188" s="56"/>
      <c r="L188" s="29"/>
      <c r="M188" s="29"/>
      <c r="N188" s="29"/>
    </row>
    <row r="189" spans="1:14" ht="1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09"/>
      <c r="K189" s="56"/>
      <c r="L189" s="29"/>
      <c r="M189" s="29"/>
      <c r="N189" s="29"/>
    </row>
    <row r="190" spans="1:14" ht="1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09"/>
      <c r="K190" s="56"/>
      <c r="L190" s="29"/>
      <c r="M190" s="29"/>
      <c r="N190" s="29"/>
    </row>
    <row r="191" spans="1:14" ht="1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09"/>
      <c r="K191" s="56"/>
      <c r="L191" s="29"/>
      <c r="M191" s="29"/>
      <c r="N191" s="29"/>
    </row>
    <row r="192" spans="1:14" ht="1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09"/>
      <c r="K192" s="56"/>
      <c r="L192" s="29"/>
      <c r="M192" s="29"/>
      <c r="N192" s="29"/>
    </row>
    <row r="193" spans="1:14" s="21" customFormat="1" ht="1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09"/>
      <c r="K193" s="56"/>
      <c r="L193" s="65"/>
      <c r="M193" s="65"/>
      <c r="N193" s="65"/>
    </row>
    <row r="194" spans="1:14" ht="1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09"/>
      <c r="K194" s="56"/>
      <c r="L194" s="29"/>
      <c r="M194" s="29"/>
      <c r="N194" s="29"/>
    </row>
    <row r="195" spans="1:14" ht="1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09"/>
      <c r="K195" s="56"/>
      <c r="L195" s="29"/>
      <c r="M195" s="29"/>
      <c r="N195" s="29"/>
    </row>
    <row r="196" spans="1:14" ht="1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09"/>
      <c r="K196" s="56"/>
      <c r="L196" s="29"/>
      <c r="M196" s="29"/>
      <c r="N196" s="29"/>
    </row>
    <row r="197" spans="1:14" ht="1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09"/>
      <c r="K197" s="56"/>
      <c r="L197" s="29"/>
      <c r="M197" s="29"/>
      <c r="N197" s="29"/>
    </row>
    <row r="198" spans="1:14" ht="1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09"/>
      <c r="K198" s="56"/>
      <c r="L198" s="29"/>
      <c r="M198" s="29"/>
      <c r="N198" s="29"/>
    </row>
    <row r="199" spans="1:14" ht="1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09"/>
      <c r="K199" s="56"/>
      <c r="L199" s="29"/>
      <c r="M199" s="29"/>
      <c r="N199" s="29"/>
    </row>
    <row r="200" spans="1:14" ht="1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09"/>
      <c r="K200" s="56"/>
      <c r="L200" s="29"/>
      <c r="M200" s="29"/>
      <c r="N200" s="29"/>
    </row>
    <row r="201" spans="1:14" ht="1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09"/>
      <c r="K201" s="56"/>
      <c r="L201" s="29"/>
      <c r="M201" s="29"/>
      <c r="N201" s="29"/>
    </row>
    <row r="202" spans="1:14" ht="1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09"/>
      <c r="K202" s="56"/>
      <c r="L202" s="29"/>
      <c r="M202" s="29"/>
      <c r="N202" s="29"/>
    </row>
    <row r="203" spans="1:14" ht="1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09"/>
      <c r="K203" s="56"/>
      <c r="L203" s="29"/>
      <c r="M203" s="29"/>
      <c r="N203" s="29"/>
    </row>
    <row r="204" spans="1:14" ht="1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09"/>
      <c r="K204" s="56"/>
      <c r="L204" s="29"/>
      <c r="M204" s="29"/>
      <c r="N204" s="29"/>
    </row>
    <row r="205" spans="1:14" ht="1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09"/>
      <c r="K205" s="56"/>
      <c r="L205" s="29"/>
      <c r="M205" s="29"/>
      <c r="N205" s="29"/>
    </row>
    <row r="206" spans="1:14" ht="1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09"/>
      <c r="K206" s="56"/>
      <c r="L206" s="29"/>
      <c r="M206" s="29"/>
      <c r="N206" s="29"/>
    </row>
    <row r="207" spans="1:14" ht="1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09"/>
      <c r="K207" s="56"/>
      <c r="L207" s="29"/>
      <c r="M207" s="29"/>
      <c r="N207" s="29"/>
    </row>
    <row r="208" spans="1:14" ht="1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09"/>
      <c r="K208" s="56"/>
      <c r="L208" s="29"/>
      <c r="M208" s="29"/>
      <c r="N208" s="29"/>
    </row>
    <row r="209" spans="1:14" ht="1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09"/>
      <c r="K209" s="56"/>
      <c r="L209" s="29"/>
      <c r="M209" s="29"/>
      <c r="N209" s="29"/>
    </row>
    <row r="210" spans="1:14" ht="1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09"/>
      <c r="K210" s="56"/>
      <c r="L210" s="29"/>
      <c r="M210" s="29"/>
      <c r="N210" s="29"/>
    </row>
    <row r="211" spans="1:14" ht="1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09"/>
      <c r="K211" s="56"/>
      <c r="L211" s="29"/>
      <c r="M211" s="29"/>
      <c r="N211" s="29"/>
    </row>
    <row r="212" spans="1:14" ht="1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09"/>
      <c r="K212" s="56"/>
      <c r="L212" s="29"/>
      <c r="M212" s="29"/>
      <c r="N212" s="29"/>
    </row>
    <row r="213" spans="1:14" ht="1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09"/>
      <c r="K213" s="56"/>
      <c r="L213" s="29"/>
      <c r="M213" s="29"/>
      <c r="N213" s="29"/>
    </row>
    <row r="214" spans="1:14" ht="1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09"/>
      <c r="K214" s="56"/>
      <c r="L214" s="29"/>
      <c r="M214" s="29"/>
      <c r="N214" s="29"/>
    </row>
    <row r="215" spans="1:14" ht="1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09"/>
      <c r="K215" s="56"/>
      <c r="L215" s="29"/>
      <c r="M215" s="29"/>
      <c r="N215" s="29"/>
    </row>
    <row r="216" spans="1:14" ht="1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09"/>
      <c r="K216" s="56"/>
      <c r="L216" s="29"/>
      <c r="M216" s="29"/>
      <c r="N216" s="29"/>
    </row>
    <row r="217" spans="1:14" ht="1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09"/>
      <c r="K217" s="56"/>
      <c r="L217" s="29"/>
      <c r="M217" s="29"/>
      <c r="N217" s="29"/>
    </row>
    <row r="218" spans="1:14" ht="1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09"/>
      <c r="K218" s="56"/>
      <c r="L218" s="29"/>
      <c r="M218" s="29"/>
      <c r="N218" s="29"/>
    </row>
    <row r="219" spans="1:14" ht="1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09"/>
      <c r="K219" s="56"/>
      <c r="L219" s="29"/>
      <c r="M219" s="29"/>
      <c r="N219" s="29"/>
    </row>
    <row r="220" spans="1:14" ht="1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09"/>
      <c r="K220" s="56"/>
      <c r="L220" s="29"/>
      <c r="M220" s="29"/>
      <c r="N220" s="29"/>
    </row>
    <row r="221" spans="1:14" ht="1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09"/>
      <c r="K221" s="56"/>
      <c r="L221" s="29"/>
      <c r="M221" s="29"/>
      <c r="N221" s="29"/>
    </row>
    <row r="222" spans="1:14" ht="1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09"/>
      <c r="K222" s="56"/>
      <c r="L222" s="29"/>
      <c r="M222" s="29"/>
      <c r="N222" s="29"/>
    </row>
    <row r="223" spans="1:14" ht="1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09"/>
      <c r="K223" s="56"/>
      <c r="L223" s="29"/>
      <c r="M223" s="29"/>
      <c r="N223" s="29"/>
    </row>
    <row r="224" spans="1:14" ht="1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09"/>
      <c r="K224" s="56"/>
      <c r="L224" s="29"/>
      <c r="M224" s="29"/>
      <c r="N224" s="29"/>
    </row>
    <row r="225" spans="1:14" ht="1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09"/>
      <c r="K225" s="56"/>
      <c r="L225" s="29"/>
      <c r="M225" s="29"/>
      <c r="N225" s="29"/>
    </row>
    <row r="226" spans="1:14" ht="1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09"/>
      <c r="K226" s="56"/>
      <c r="L226" s="29"/>
      <c r="M226" s="29"/>
      <c r="N226" s="29"/>
    </row>
    <row r="227" spans="1:14" ht="1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09"/>
      <c r="K227" s="118"/>
      <c r="L227" s="29"/>
      <c r="M227" s="29"/>
      <c r="N227" s="29"/>
    </row>
    <row r="228" spans="1:14" ht="1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09"/>
      <c r="K228" s="118"/>
      <c r="L228" s="29"/>
      <c r="M228" s="29"/>
      <c r="N228" s="29"/>
    </row>
    <row r="229" spans="1:14" ht="1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09"/>
      <c r="K229" s="109"/>
      <c r="L229" s="29"/>
      <c r="M229" s="29"/>
      <c r="N229" s="29"/>
    </row>
    <row r="230" spans="1:14" ht="1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09"/>
      <c r="K230" s="118"/>
      <c r="L230" s="29"/>
      <c r="M230" s="29"/>
      <c r="N230" s="29"/>
    </row>
    <row r="231" spans="1:14" ht="1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09"/>
      <c r="K231" s="118"/>
      <c r="L231" s="29"/>
      <c r="M231" s="29"/>
      <c r="N231" s="29"/>
    </row>
    <row r="232" spans="1:14" ht="1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09"/>
      <c r="K232" s="118"/>
      <c r="L232" s="29"/>
      <c r="M232" s="29"/>
      <c r="N232" s="29"/>
    </row>
    <row r="233" spans="1:14" ht="1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09"/>
      <c r="K233" s="118"/>
      <c r="L233" s="29"/>
      <c r="M233" s="29"/>
      <c r="N233" s="29"/>
    </row>
    <row r="234" spans="1:14" ht="1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09"/>
      <c r="K234" s="118"/>
      <c r="L234" s="29"/>
      <c r="M234" s="29"/>
      <c r="N234" s="29"/>
    </row>
    <row r="235" spans="1:14" s="21" customFormat="1" ht="1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09"/>
      <c r="K235" s="118"/>
      <c r="L235" s="65"/>
      <c r="M235" s="65"/>
      <c r="N235" s="65"/>
    </row>
    <row r="236" spans="1:14" ht="1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09"/>
      <c r="K236" s="118"/>
      <c r="L236" s="29"/>
      <c r="M236" s="29"/>
      <c r="N236" s="29"/>
    </row>
    <row r="237" spans="1:14" ht="1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56"/>
      <c r="K237" s="57"/>
      <c r="L237" s="29"/>
      <c r="M237" s="29"/>
      <c r="N237" s="29"/>
    </row>
    <row r="238" spans="1:14" ht="1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56"/>
      <c r="K238" s="57"/>
      <c r="L238" s="29"/>
      <c r="M238" s="29"/>
      <c r="N238" s="29"/>
    </row>
    <row r="239" spans="1:14" ht="1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56"/>
      <c r="K239" s="57"/>
      <c r="L239" s="29"/>
      <c r="M239" s="29"/>
      <c r="N239" s="29"/>
    </row>
    <row r="240" spans="1:14" ht="1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09"/>
      <c r="K240" s="56"/>
      <c r="L240" s="29"/>
      <c r="M240" s="29"/>
      <c r="N240" s="29"/>
    </row>
    <row r="241" spans="1:14" ht="1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09"/>
      <c r="K241" s="56"/>
      <c r="L241" s="29"/>
      <c r="M241" s="29"/>
      <c r="N241" s="29"/>
    </row>
    <row r="242" spans="1:14" ht="1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09"/>
      <c r="K242" s="119"/>
      <c r="L242" s="29"/>
      <c r="M242" s="29"/>
      <c r="N242" s="29"/>
    </row>
    <row r="243" spans="1:14" ht="1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09"/>
      <c r="K243" s="119"/>
      <c r="L243" s="29"/>
      <c r="M243" s="29"/>
      <c r="N243" s="29"/>
    </row>
    <row r="244" spans="1:14" ht="1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56"/>
      <c r="K244" s="57"/>
      <c r="L244" s="29"/>
      <c r="M244" s="29"/>
      <c r="N244" s="29"/>
    </row>
    <row r="245" spans="1:14" ht="1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09"/>
      <c r="K245" s="120"/>
      <c r="L245" s="29"/>
      <c r="M245" s="29"/>
      <c r="N245" s="29"/>
    </row>
    <row r="246" spans="1:18" ht="1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56"/>
      <c r="K246"/>
      <c r="L246"/>
      <c r="M246"/>
      <c r="N246"/>
      <c r="O246"/>
      <c r="P246"/>
      <c r="Q246"/>
      <c r="R246"/>
    </row>
    <row r="247" spans="1:18" ht="1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56"/>
      <c r="K247"/>
      <c r="L247"/>
      <c r="M247"/>
      <c r="N247"/>
      <c r="O247"/>
      <c r="P247"/>
      <c r="Q247"/>
      <c r="R247"/>
    </row>
    <row r="248" spans="1:18" ht="1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56"/>
      <c r="K248"/>
      <c r="L248"/>
      <c r="M248"/>
      <c r="N248"/>
      <c r="O248"/>
      <c r="P248"/>
      <c r="Q248"/>
      <c r="R248"/>
    </row>
    <row r="249" spans="1:18" ht="1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56"/>
      <c r="K249"/>
      <c r="L249"/>
      <c r="M249"/>
      <c r="N249"/>
      <c r="O249"/>
      <c r="P249"/>
      <c r="Q249"/>
      <c r="R249"/>
    </row>
    <row r="250" spans="1:18" ht="1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56"/>
      <c r="K250"/>
      <c r="L250"/>
      <c r="M250"/>
      <c r="N250"/>
      <c r="O250"/>
      <c r="P250"/>
      <c r="Q250"/>
      <c r="R250"/>
    </row>
    <row r="251" spans="1:18" ht="1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18"/>
      <c r="K251"/>
      <c r="L251"/>
      <c r="M251"/>
      <c r="N251"/>
      <c r="O251"/>
      <c r="P251"/>
      <c r="Q251"/>
      <c r="R251"/>
    </row>
    <row r="252" spans="1:18" ht="1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18"/>
      <c r="K252"/>
      <c r="L252"/>
      <c r="M252"/>
      <c r="N252"/>
      <c r="O252"/>
      <c r="P252"/>
      <c r="Q252"/>
      <c r="R252"/>
    </row>
    <row r="253" spans="1:14" ht="1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18"/>
      <c r="K253" s="56"/>
      <c r="L253" s="29"/>
      <c r="M253" s="29"/>
      <c r="N253" s="29"/>
    </row>
    <row r="254" spans="1:14" ht="1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18"/>
      <c r="K254" s="56"/>
      <c r="L254" s="29"/>
      <c r="M254" s="29"/>
      <c r="N254" s="29"/>
    </row>
    <row r="255" spans="1:14" ht="1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56"/>
      <c r="K255" s="57"/>
      <c r="L255" s="29"/>
      <c r="M255" s="29"/>
      <c r="N255" s="29"/>
    </row>
    <row r="256" spans="1:14" s="110" customFormat="1" ht="1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56"/>
      <c r="K256" s="57"/>
      <c r="L256" s="79"/>
      <c r="M256" s="79"/>
      <c r="N256" s="79"/>
    </row>
    <row r="257" spans="1:14" s="21" customFormat="1" ht="1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56"/>
      <c r="K257" s="57"/>
      <c r="L257" s="65"/>
      <c r="M257" s="65"/>
      <c r="N257" s="65"/>
    </row>
    <row r="258" spans="1:14" ht="1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56"/>
      <c r="K258" s="57"/>
      <c r="L258" s="29"/>
      <c r="M258" s="29"/>
      <c r="N258" s="29"/>
    </row>
    <row r="259" spans="1:14" ht="1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56"/>
      <c r="K259" s="57"/>
      <c r="L259" s="29"/>
      <c r="M259" s="29"/>
      <c r="N259" s="29"/>
    </row>
    <row r="260" spans="1:14" ht="1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56"/>
      <c r="K260" s="57"/>
      <c r="L260" s="29"/>
      <c r="M260" s="29"/>
      <c r="N260" s="29"/>
    </row>
    <row r="261" spans="1:14" ht="1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21"/>
      <c r="K261" s="122"/>
      <c r="L261" s="29"/>
      <c r="M261" s="29"/>
      <c r="N261" s="29"/>
    </row>
    <row r="262" spans="1:14" ht="1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21"/>
      <c r="K262" s="122"/>
      <c r="L262" s="29"/>
      <c r="M262" s="29"/>
      <c r="N262" s="29"/>
    </row>
    <row r="263" spans="1:14" ht="1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21"/>
      <c r="K263" s="122"/>
      <c r="L263" s="29"/>
      <c r="M263" s="29"/>
      <c r="N263" s="29"/>
    </row>
    <row r="264" spans="1:14" ht="1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21"/>
      <c r="K264" s="122"/>
      <c r="L264" s="29"/>
      <c r="M264" s="29"/>
      <c r="N264" s="29"/>
    </row>
    <row r="265" spans="1:14" ht="1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21"/>
      <c r="K265" s="122"/>
      <c r="L265" s="29"/>
      <c r="M265" s="29"/>
      <c r="N265" s="29"/>
    </row>
    <row r="266" spans="1:14" ht="1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21"/>
      <c r="K266" s="122"/>
      <c r="L266" s="29"/>
      <c r="M266" s="29"/>
      <c r="N266" s="29"/>
    </row>
    <row r="267" spans="1:14" ht="1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23"/>
      <c r="K267" s="124"/>
      <c r="L267" s="29"/>
      <c r="M267" s="29"/>
      <c r="N267" s="29"/>
    </row>
    <row r="268" spans="1:14" ht="1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23"/>
      <c r="K268" s="124"/>
      <c r="L268" s="29"/>
      <c r="M268" s="29"/>
      <c r="N268" s="29"/>
    </row>
    <row r="269" spans="1:14" ht="1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23"/>
      <c r="K269" s="124"/>
      <c r="L269" s="29"/>
      <c r="M269" s="29"/>
      <c r="N269" s="29"/>
    </row>
    <row r="270" spans="1:14" ht="1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23"/>
      <c r="K270" s="124"/>
      <c r="L270" s="29"/>
      <c r="M270" s="29"/>
      <c r="N270" s="29"/>
    </row>
    <row r="271" spans="1:14" ht="1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23"/>
      <c r="K271" s="124"/>
      <c r="L271" s="29"/>
      <c r="M271" s="29"/>
      <c r="N271" s="29"/>
    </row>
    <row r="272" spans="1:14" ht="1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23"/>
      <c r="K272" s="124"/>
      <c r="L272" s="29"/>
      <c r="M272" s="29"/>
      <c r="N272" s="29"/>
    </row>
    <row r="273" spans="1:14" ht="1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23"/>
      <c r="K273" s="124"/>
      <c r="L273" s="29"/>
      <c r="M273" s="29"/>
      <c r="N273" s="29"/>
    </row>
    <row r="274" spans="1:14" ht="1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23"/>
      <c r="K274" s="124"/>
      <c r="L274" s="29"/>
      <c r="M274" s="29"/>
      <c r="N274" s="29"/>
    </row>
    <row r="275" spans="1:14" ht="1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23"/>
      <c r="K275" s="124"/>
      <c r="L275" s="29"/>
      <c r="M275" s="29"/>
      <c r="N275" s="29"/>
    </row>
    <row r="276" spans="1:14" ht="1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23"/>
      <c r="K276" s="124"/>
      <c r="L276" s="29"/>
      <c r="M276" s="29"/>
      <c r="N276" s="29"/>
    </row>
    <row r="277" spans="1:14" ht="1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23"/>
      <c r="K277" s="124"/>
      <c r="L277" s="29"/>
      <c r="M277" s="29"/>
      <c r="N277" s="29"/>
    </row>
    <row r="278" spans="1:14" ht="1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23"/>
      <c r="K278" s="124"/>
      <c r="L278" s="29"/>
      <c r="M278" s="29"/>
      <c r="N278" s="29"/>
    </row>
    <row r="279" spans="1:14" ht="1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23"/>
      <c r="K279" s="124"/>
      <c r="L279" s="29"/>
      <c r="M279" s="29"/>
      <c r="N279" s="29"/>
    </row>
    <row r="280" spans="1:14" ht="1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23"/>
      <c r="K280" s="124"/>
      <c r="L280" s="29"/>
      <c r="M280" s="29"/>
      <c r="N280" s="29"/>
    </row>
    <row r="281" spans="1:14" s="21" customFormat="1" ht="1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23"/>
      <c r="K281" s="124"/>
      <c r="L281" s="65"/>
      <c r="M281" s="65"/>
      <c r="N281" s="65"/>
    </row>
    <row r="282" spans="1:14" s="21" customFormat="1" ht="1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23"/>
      <c r="K282" s="124"/>
      <c r="L282" s="65"/>
      <c r="M282" s="65"/>
      <c r="N282" s="65"/>
    </row>
    <row r="283" spans="1:14" ht="1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23"/>
      <c r="K283" s="124"/>
      <c r="L283" s="29"/>
      <c r="M283" s="29"/>
      <c r="N283" s="29"/>
    </row>
    <row r="284" spans="1:14" ht="1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23"/>
      <c r="K284" s="124"/>
      <c r="L284" s="29"/>
      <c r="M284" s="29"/>
      <c r="N284" s="29"/>
    </row>
    <row r="285" spans="1:14" ht="1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23"/>
      <c r="K285" s="124"/>
      <c r="L285" s="29"/>
      <c r="M285" s="29"/>
      <c r="N285" s="29"/>
    </row>
    <row r="286" spans="1:14" ht="1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09"/>
      <c r="K286" s="21"/>
      <c r="L286" s="29"/>
      <c r="M286" s="29"/>
      <c r="N286" s="29"/>
    </row>
    <row r="287" spans="1:14" ht="1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09"/>
      <c r="K287" s="21"/>
      <c r="L287" s="29"/>
      <c r="M287" s="29"/>
      <c r="N287" s="29"/>
    </row>
    <row r="288" spans="1:14" ht="1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09"/>
      <c r="K288" s="21"/>
      <c r="L288" s="29"/>
      <c r="M288" s="29"/>
      <c r="N288" s="29"/>
    </row>
    <row r="289" spans="1:14" ht="1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23"/>
      <c r="K289" s="42"/>
      <c r="L289" s="29"/>
      <c r="M289" s="29"/>
      <c r="N289" s="29"/>
    </row>
    <row r="290" spans="1:14" ht="1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23"/>
      <c r="K290" s="42"/>
      <c r="L290" s="29"/>
      <c r="M290" s="29"/>
      <c r="N290" s="29"/>
    </row>
    <row r="291" spans="1:14" ht="1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23"/>
      <c r="K291" s="42"/>
      <c r="L291" s="29"/>
      <c r="M291" s="29"/>
      <c r="N291" s="29"/>
    </row>
    <row r="292" spans="1:14" ht="1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23"/>
      <c r="K292" s="42"/>
      <c r="L292" s="29"/>
      <c r="M292" s="29"/>
      <c r="N292" s="29"/>
    </row>
    <row r="293" spans="1:14" ht="1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56"/>
      <c r="K293" s="57"/>
      <c r="L293" s="29"/>
      <c r="M293" s="29"/>
      <c r="N293" s="29"/>
    </row>
    <row r="294" spans="1:14" ht="1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56"/>
      <c r="K294" s="57"/>
      <c r="L294" s="29"/>
      <c r="M294" s="29"/>
      <c r="N294" s="29"/>
    </row>
    <row r="295" spans="1:14" ht="1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57"/>
      <c r="K295" s="57"/>
      <c r="L295" s="65"/>
      <c r="M295" s="65"/>
      <c r="N295" s="65"/>
    </row>
    <row r="296" spans="1:14" ht="1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56"/>
      <c r="K296" s="57"/>
      <c r="L296" s="29"/>
      <c r="M296" s="29"/>
      <c r="N296" s="29"/>
    </row>
    <row r="297" spans="1:14" ht="1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56"/>
      <c r="K297" s="57"/>
      <c r="L297" s="29"/>
      <c r="M297" s="29"/>
      <c r="N297" s="29"/>
    </row>
    <row r="298" spans="1:14" ht="1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56"/>
      <c r="K298" s="57"/>
      <c r="L298" s="29"/>
      <c r="M298" s="29"/>
      <c r="N298" s="29"/>
    </row>
    <row r="299" spans="1:14" ht="1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21"/>
      <c r="K299" s="122"/>
      <c r="L299" s="29"/>
      <c r="M299" s="29"/>
      <c r="N299" s="29"/>
    </row>
    <row r="300" spans="1:14" ht="1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23"/>
      <c r="K300" s="124"/>
      <c r="L300" s="29"/>
      <c r="M300" s="29"/>
      <c r="N300" s="29"/>
    </row>
    <row r="301" spans="1:14" ht="1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23"/>
      <c r="K301" s="124"/>
      <c r="L301" s="29"/>
      <c r="M301" s="29"/>
      <c r="N301" s="29"/>
    </row>
    <row r="302" spans="1:14" ht="1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23"/>
      <c r="K302" s="124"/>
      <c r="L302" s="29"/>
      <c r="M302" s="29"/>
      <c r="N302" s="29"/>
    </row>
    <row r="303" spans="1:14" ht="1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23"/>
      <c r="K303" s="124"/>
      <c r="L303" s="29"/>
      <c r="M303" s="29"/>
      <c r="N303" s="29"/>
    </row>
    <row r="304" spans="1:14" ht="1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23"/>
      <c r="K304" s="124"/>
      <c r="L304" s="29"/>
      <c r="M304" s="29"/>
      <c r="N304" s="29"/>
    </row>
    <row r="305" spans="1:14" ht="1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23"/>
      <c r="K305" s="124"/>
      <c r="L305" s="29"/>
      <c r="M305" s="29"/>
      <c r="N305" s="29"/>
    </row>
    <row r="306" spans="1:14" ht="1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23"/>
      <c r="K306" s="124"/>
      <c r="L306" s="29"/>
      <c r="M306" s="29"/>
      <c r="N306" s="29"/>
    </row>
    <row r="307" spans="1:14" ht="1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23"/>
      <c r="K307" s="124"/>
      <c r="L307" s="29"/>
      <c r="M307" s="29"/>
      <c r="N307" s="29"/>
    </row>
    <row r="308" spans="1:14" ht="1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23"/>
      <c r="K308" s="124"/>
      <c r="L308" s="29"/>
      <c r="M308" s="29"/>
      <c r="N308" s="29"/>
    </row>
    <row r="309" spans="1:14" ht="1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23"/>
      <c r="K309" s="124"/>
      <c r="L309" s="29"/>
      <c r="M309" s="29"/>
      <c r="N309" s="29"/>
    </row>
    <row r="310" spans="1:14" ht="1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23"/>
      <c r="K310" s="124"/>
      <c r="L310" s="29"/>
      <c r="M310" s="29"/>
      <c r="N310" s="29"/>
    </row>
    <row r="311" spans="1:14" ht="1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21"/>
      <c r="K311" s="122"/>
      <c r="L311" s="29"/>
      <c r="M311" s="29"/>
      <c r="N311" s="29"/>
    </row>
    <row r="312" spans="1:14" ht="1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25"/>
      <c r="K312" s="73"/>
      <c r="L312" s="29"/>
      <c r="M312" s="29"/>
      <c r="N312" s="29"/>
    </row>
    <row r="313" spans="1:14" ht="1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25"/>
      <c r="K313" s="73"/>
      <c r="L313" s="29"/>
      <c r="M313" s="29"/>
      <c r="N313" s="29"/>
    </row>
    <row r="314" spans="1:14" ht="1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25"/>
      <c r="K314" s="73"/>
      <c r="L314" s="29"/>
      <c r="M314" s="29"/>
      <c r="N314" s="29"/>
    </row>
    <row r="315" spans="1:14" ht="1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26"/>
      <c r="K315" s="65"/>
      <c r="L315" s="29"/>
      <c r="M315" s="29"/>
      <c r="N315" s="29"/>
    </row>
    <row r="316" spans="1:14" ht="1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21"/>
      <c r="K316" s="127"/>
      <c r="L316" s="29"/>
      <c r="M316" s="29"/>
      <c r="N316" s="29"/>
    </row>
    <row r="317" spans="1:14" ht="1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21"/>
      <c r="K317" s="122"/>
      <c r="L317" s="29"/>
      <c r="M317" s="29"/>
      <c r="N317" s="29"/>
    </row>
    <row r="318" spans="1:14" ht="1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25"/>
      <c r="K318" s="73"/>
      <c r="L318" s="29"/>
      <c r="M318" s="29"/>
      <c r="N318" s="29"/>
    </row>
    <row r="319" spans="1:14" ht="1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25"/>
      <c r="K319" s="73"/>
      <c r="L319" s="29"/>
      <c r="M319" s="29"/>
      <c r="N319" s="29"/>
    </row>
    <row r="320" spans="1:14" ht="1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26"/>
      <c r="K320" s="65"/>
      <c r="L320" s="29"/>
      <c r="M320" s="29"/>
      <c r="N320" s="29"/>
    </row>
    <row r="321" spans="1:14" ht="1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26"/>
      <c r="K321" s="65"/>
      <c r="L321" s="29"/>
      <c r="M321" s="29"/>
      <c r="N321" s="29"/>
    </row>
    <row r="322" spans="1:14" ht="1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26"/>
      <c r="K322" s="65"/>
      <c r="L322" s="29"/>
      <c r="M322" s="29"/>
      <c r="N322" s="29"/>
    </row>
    <row r="323" spans="1:14" ht="1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26"/>
      <c r="K323" s="65"/>
      <c r="L323" s="29"/>
      <c r="M323" s="29"/>
      <c r="N323" s="29"/>
    </row>
    <row r="324" spans="1:14" ht="1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26"/>
      <c r="K324" s="65"/>
      <c r="L324" s="29"/>
      <c r="M324" s="29"/>
      <c r="N324" s="29"/>
    </row>
    <row r="325" spans="1:14" ht="1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23"/>
      <c r="K325" s="124"/>
      <c r="L325" s="29"/>
      <c r="M325" s="29"/>
      <c r="N325" s="29"/>
    </row>
    <row r="326" spans="1:14" ht="1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56"/>
      <c r="K326" s="57"/>
      <c r="L326" s="29"/>
      <c r="M326" s="29"/>
      <c r="N326" s="29"/>
    </row>
    <row r="327" spans="1:14" ht="1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56"/>
      <c r="K327" s="57"/>
      <c r="L327" s="29"/>
      <c r="M327" s="29"/>
      <c r="N327" s="29"/>
    </row>
    <row r="328" spans="1:11" ht="1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26"/>
      <c r="K328" s="128"/>
    </row>
    <row r="329" spans="1:11" ht="1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09"/>
      <c r="K329" s="21"/>
    </row>
    <row r="330" spans="1:11" ht="1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09"/>
      <c r="K330" s="21"/>
    </row>
    <row r="331" spans="1:11" ht="1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09"/>
      <c r="K331" s="21"/>
    </row>
    <row r="332" spans="1:11" ht="1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09"/>
      <c r="K332" s="21"/>
    </row>
    <row r="333" spans="1:11" ht="1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09"/>
      <c r="K333" s="21"/>
    </row>
    <row r="334" spans="1:14" ht="1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09"/>
      <c r="K334" s="21"/>
      <c r="L334" s="29"/>
      <c r="M334" s="29"/>
      <c r="N334" s="29"/>
    </row>
    <row r="335" spans="1:14" ht="1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09"/>
      <c r="K335" s="21"/>
      <c r="L335" s="29"/>
      <c r="M335" s="29"/>
      <c r="N335" s="29"/>
    </row>
    <row r="336" spans="1:14" ht="1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09"/>
      <c r="K336" s="21"/>
      <c r="L336" s="29"/>
      <c r="M336" s="29"/>
      <c r="N336" s="29"/>
    </row>
    <row r="337" spans="1:14" ht="1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09"/>
      <c r="K337" s="21"/>
      <c r="L337" s="29"/>
      <c r="M337" s="29"/>
      <c r="N337" s="29"/>
    </row>
    <row r="338" spans="1:14" ht="1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09"/>
      <c r="K338" s="21"/>
      <c r="L338" s="29"/>
      <c r="M338" s="29"/>
      <c r="N338" s="29"/>
    </row>
    <row r="339" spans="1:14" ht="1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09"/>
      <c r="K339" s="21"/>
      <c r="L339" s="29"/>
      <c r="M339" s="29"/>
      <c r="N339" s="29"/>
    </row>
    <row r="340" spans="1:14" ht="1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09"/>
      <c r="K340" s="21"/>
      <c r="L340" s="29"/>
      <c r="M340" s="29"/>
      <c r="N340" s="29"/>
    </row>
    <row r="341" spans="1:14" ht="1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09"/>
      <c r="K341" s="21"/>
      <c r="L341" s="29"/>
      <c r="M341" s="29"/>
      <c r="N341" s="29"/>
    </row>
    <row r="342" spans="1:14" ht="1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09"/>
      <c r="K342" s="21"/>
      <c r="L342" s="29"/>
      <c r="M342" s="29"/>
      <c r="N342" s="29"/>
    </row>
    <row r="343" spans="1:14" ht="1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09"/>
      <c r="K343" s="21"/>
      <c r="L343" s="29"/>
      <c r="M343" s="29"/>
      <c r="N343" s="29"/>
    </row>
    <row r="344" spans="1:14" ht="1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09"/>
      <c r="K344" s="21"/>
      <c r="L344" s="29"/>
      <c r="M344" s="29"/>
      <c r="N344" s="29"/>
    </row>
    <row r="345" spans="1:14" ht="1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09"/>
      <c r="K345" s="21"/>
      <c r="L345" s="29"/>
      <c r="M345" s="29"/>
      <c r="N345" s="29"/>
    </row>
    <row r="346" spans="1:14" ht="1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09"/>
      <c r="K346" s="21"/>
      <c r="L346" s="29"/>
      <c r="M346" s="29"/>
      <c r="N346" s="29"/>
    </row>
    <row r="347" spans="1:14" ht="1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09"/>
      <c r="K347" s="21"/>
      <c r="L347" s="29"/>
      <c r="M347" s="29"/>
      <c r="N347" s="29"/>
    </row>
    <row r="348" spans="1:14" ht="1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09"/>
      <c r="K348" s="21"/>
      <c r="L348" s="29"/>
      <c r="M348" s="29"/>
      <c r="N348" s="29"/>
    </row>
    <row r="349" spans="1:14" ht="1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09"/>
      <c r="K349" s="21"/>
      <c r="L349" s="29"/>
      <c r="M349" s="29"/>
      <c r="N349" s="29"/>
    </row>
    <row r="350" spans="1:14" ht="1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09"/>
      <c r="K350" s="21"/>
      <c r="L350" s="29"/>
      <c r="M350" s="29"/>
      <c r="N350" s="29"/>
    </row>
    <row r="351" spans="1:14" ht="1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09"/>
      <c r="K351" s="21"/>
      <c r="L351" s="29"/>
      <c r="M351" s="29"/>
      <c r="N351" s="29"/>
    </row>
    <row r="352" spans="1:14" ht="1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09"/>
      <c r="K352" s="21"/>
      <c r="L352" s="29"/>
      <c r="M352" s="29"/>
      <c r="N352" s="29"/>
    </row>
    <row r="353" spans="1:14" ht="1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09"/>
      <c r="K353" s="21"/>
      <c r="L353" s="29"/>
      <c r="M353" s="29"/>
      <c r="N353" s="29"/>
    </row>
    <row r="354" spans="1:14" ht="1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09"/>
      <c r="K354" s="21"/>
      <c r="L354" s="29"/>
      <c r="M354" s="29"/>
      <c r="N354" s="29"/>
    </row>
    <row r="355" spans="1:14" ht="1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09"/>
      <c r="K355" s="21"/>
      <c r="L355" s="29"/>
      <c r="M355" s="29"/>
      <c r="N355" s="29"/>
    </row>
    <row r="356" spans="1:14" ht="1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09"/>
      <c r="K356" s="21"/>
      <c r="L356" s="29"/>
      <c r="M356" s="29"/>
      <c r="N356" s="29"/>
    </row>
    <row r="357" spans="1:14" ht="1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09"/>
      <c r="K357" s="21"/>
      <c r="L357" s="29"/>
      <c r="M357" s="29"/>
      <c r="N357" s="29"/>
    </row>
    <row r="358" spans="1:14" ht="1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09"/>
      <c r="K358" s="21"/>
      <c r="L358" s="29"/>
      <c r="M358" s="29"/>
      <c r="N358" s="29"/>
    </row>
    <row r="359" spans="1:14" ht="1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09"/>
      <c r="K359" s="21"/>
      <c r="L359" s="29"/>
      <c r="M359" s="29"/>
      <c r="N359" s="29"/>
    </row>
    <row r="360" spans="1:14" ht="1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09"/>
      <c r="K360" s="21"/>
      <c r="L360" s="29"/>
      <c r="M360" s="29"/>
      <c r="N360" s="29"/>
    </row>
    <row r="361" spans="1:14" ht="1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09"/>
      <c r="K361" s="21"/>
      <c r="L361" s="29"/>
      <c r="M361" s="29"/>
      <c r="N361" s="29"/>
    </row>
    <row r="362" spans="1:14" ht="1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09"/>
      <c r="K362" s="21"/>
      <c r="L362" s="29"/>
      <c r="M362" s="29"/>
      <c r="N362" s="29"/>
    </row>
    <row r="363" spans="1:14" ht="1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09"/>
      <c r="K363" s="21"/>
      <c r="L363" s="29"/>
      <c r="M363" s="29"/>
      <c r="N363" s="29"/>
    </row>
    <row r="364" spans="1:14" ht="1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09"/>
      <c r="K364" s="21"/>
      <c r="L364" s="29"/>
      <c r="M364" s="29"/>
      <c r="N364" s="29"/>
    </row>
    <row r="365" spans="1:14" ht="1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09"/>
      <c r="K365" s="21"/>
      <c r="L365" s="29"/>
      <c r="M365" s="29"/>
      <c r="N365" s="29"/>
    </row>
    <row r="366" spans="1:14" ht="1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09"/>
      <c r="K366" s="21"/>
      <c r="L366" s="29"/>
      <c r="M366" s="29"/>
      <c r="N366" s="29"/>
    </row>
    <row r="367" spans="1:14" ht="1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09"/>
      <c r="K367" s="21"/>
      <c r="L367" s="29"/>
      <c r="M367" s="29"/>
      <c r="N367" s="29"/>
    </row>
    <row r="368" spans="1:14" ht="1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09"/>
      <c r="K368" s="21"/>
      <c r="L368" s="29"/>
      <c r="M368" s="29"/>
      <c r="N368" s="29"/>
    </row>
    <row r="369" spans="1:14" ht="1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09"/>
      <c r="K369" s="21"/>
      <c r="L369" s="29"/>
      <c r="M369" s="29"/>
      <c r="N369" s="29"/>
    </row>
    <row r="370" spans="1:14" ht="1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09"/>
      <c r="K370" s="21"/>
      <c r="L370" s="29"/>
      <c r="M370" s="29"/>
      <c r="N370" s="29"/>
    </row>
    <row r="371" spans="1:14" ht="1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09"/>
      <c r="K371" s="21"/>
      <c r="L371" s="29"/>
      <c r="M371" s="29"/>
      <c r="N371" s="29"/>
    </row>
    <row r="372" spans="1:14" ht="1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09"/>
      <c r="K372" s="21"/>
      <c r="L372" s="29"/>
      <c r="M372" s="29"/>
      <c r="N372" s="29"/>
    </row>
    <row r="373" spans="1:14" ht="1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09"/>
      <c r="K373" s="21"/>
      <c r="L373" s="29"/>
      <c r="M373" s="29"/>
      <c r="N373" s="29"/>
    </row>
    <row r="374" spans="1:14" ht="1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09"/>
      <c r="K374" s="21"/>
      <c r="L374" s="29"/>
      <c r="M374" s="29"/>
      <c r="N374" s="29"/>
    </row>
    <row r="375" spans="1:14" ht="1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09"/>
      <c r="K375" s="21"/>
      <c r="L375" s="29"/>
      <c r="M375" s="29"/>
      <c r="N375" s="29"/>
    </row>
    <row r="376" spans="1:14" ht="1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09"/>
      <c r="K376" s="21"/>
      <c r="L376" s="29"/>
      <c r="M376" s="29"/>
      <c r="N376" s="29"/>
    </row>
    <row r="377" spans="1:14" ht="1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09"/>
      <c r="K377" s="21"/>
      <c r="L377" s="29"/>
      <c r="M377" s="29"/>
      <c r="N377" s="29"/>
    </row>
    <row r="378" spans="1:14" ht="1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09"/>
      <c r="K378" s="21"/>
      <c r="L378" s="29"/>
      <c r="M378" s="29"/>
      <c r="N378" s="29"/>
    </row>
    <row r="379" spans="1:14" ht="1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09"/>
      <c r="K379" s="21"/>
      <c r="L379" s="29"/>
      <c r="M379" s="29"/>
      <c r="N379" s="29"/>
    </row>
    <row r="380" spans="1:14" ht="1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09"/>
      <c r="K380" s="21"/>
      <c r="L380" s="29"/>
      <c r="M380" s="29"/>
      <c r="N380" s="29"/>
    </row>
    <row r="381" spans="1:14" ht="1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09"/>
      <c r="K381" s="21"/>
      <c r="L381" s="29"/>
      <c r="M381" s="29"/>
      <c r="N381" s="29"/>
    </row>
    <row r="382" spans="1:14" ht="1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09"/>
      <c r="K382" s="21"/>
      <c r="L382" s="29"/>
      <c r="M382" s="29"/>
      <c r="N382" s="29"/>
    </row>
    <row r="383" spans="1:14" ht="1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09"/>
      <c r="K383" s="21"/>
      <c r="L383" s="29"/>
      <c r="M383" s="29"/>
      <c r="N383" s="29"/>
    </row>
    <row r="384" spans="1:14" ht="1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09"/>
      <c r="K384" s="21"/>
      <c r="L384" s="29"/>
      <c r="M384" s="29"/>
      <c r="N384" s="29"/>
    </row>
    <row r="385" spans="1:14" ht="1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09"/>
      <c r="K385" s="21"/>
      <c r="L385" s="29"/>
      <c r="M385" s="29"/>
      <c r="N385" s="29"/>
    </row>
    <row r="386" spans="1:14" ht="1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09"/>
      <c r="K386" s="21"/>
      <c r="L386" s="29"/>
      <c r="M386" s="29"/>
      <c r="N386" s="29"/>
    </row>
    <row r="387" spans="1:14" ht="1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09"/>
      <c r="K387" s="21"/>
      <c r="L387" s="29"/>
      <c r="M387" s="29"/>
      <c r="N387" s="29"/>
    </row>
    <row r="388" spans="1:14" ht="1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09"/>
      <c r="K388" s="21"/>
      <c r="L388" s="29"/>
      <c r="M388" s="29"/>
      <c r="N388" s="29"/>
    </row>
    <row r="389" spans="1:14" ht="1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31"/>
      <c r="K389" s="32"/>
      <c r="L389" s="29"/>
      <c r="M389" s="29"/>
      <c r="N389" s="29"/>
    </row>
    <row r="390" spans="1:14" ht="15" customHeight="1">
      <c r="A390" s="15"/>
      <c r="B390" s="15"/>
      <c r="C390" s="15"/>
      <c r="D390" s="15"/>
      <c r="E390" s="15"/>
      <c r="F390" s="15"/>
      <c r="G390" s="15"/>
      <c r="H390" s="15"/>
      <c r="I390" s="15"/>
      <c r="L390" s="29"/>
      <c r="M390" s="29"/>
      <c r="N390" s="29"/>
    </row>
    <row r="391" spans="1:9" ht="15" customHeight="1">
      <c r="A391" s="15"/>
      <c r="B391" s="15"/>
      <c r="C391" s="15"/>
      <c r="D391" s="15"/>
      <c r="E391" s="15"/>
      <c r="F391" s="15"/>
      <c r="G391" s="15"/>
      <c r="H391" s="15"/>
      <c r="I391" s="15"/>
    </row>
    <row r="392" spans="1:9" ht="15" customHeight="1">
      <c r="A392" s="15"/>
      <c r="B392" s="15"/>
      <c r="C392" s="15"/>
      <c r="D392" s="15"/>
      <c r="E392" s="15"/>
      <c r="F392" s="15"/>
      <c r="G392" s="15"/>
      <c r="H392" s="15"/>
      <c r="I392" s="15"/>
    </row>
    <row r="393" spans="1:9" ht="15" customHeight="1">
      <c r="A393" s="15"/>
      <c r="B393" s="15"/>
      <c r="C393" s="15"/>
      <c r="D393" s="15"/>
      <c r="E393" s="15"/>
      <c r="F393" s="15"/>
      <c r="G393" s="15"/>
      <c r="H393" s="15"/>
      <c r="I393" s="15"/>
    </row>
    <row r="394" spans="1:9" ht="15" customHeight="1">
      <c r="A394" s="15"/>
      <c r="B394" s="15"/>
      <c r="C394" s="15"/>
      <c r="D394" s="15"/>
      <c r="E394" s="15"/>
      <c r="F394" s="15"/>
      <c r="G394" s="15"/>
      <c r="H394" s="15"/>
      <c r="I394" s="15"/>
    </row>
    <row r="395" spans="1:9" ht="15" customHeight="1">
      <c r="A395" s="15"/>
      <c r="B395" s="15"/>
      <c r="C395" s="15"/>
      <c r="D395" s="15"/>
      <c r="E395" s="15"/>
      <c r="F395" s="15"/>
      <c r="G395" s="15"/>
      <c r="H395" s="15"/>
      <c r="I395" s="15"/>
    </row>
    <row r="396" spans="1:9" ht="15" customHeight="1">
      <c r="A396" s="15"/>
      <c r="B396" s="15"/>
      <c r="C396" s="15"/>
      <c r="D396" s="15"/>
      <c r="E396" s="15"/>
      <c r="F396" s="15"/>
      <c r="G396" s="15"/>
      <c r="H396" s="15"/>
      <c r="I396" s="15"/>
    </row>
    <row r="397" spans="1:9" ht="15" customHeight="1">
      <c r="A397" s="15"/>
      <c r="B397" s="15"/>
      <c r="C397" s="15"/>
      <c r="D397" s="15"/>
      <c r="E397" s="15"/>
      <c r="F397" s="15"/>
      <c r="G397" s="15"/>
      <c r="H397" s="15"/>
      <c r="I397" s="15"/>
    </row>
    <row r="398" spans="1:9" ht="15" customHeight="1">
      <c r="A398" s="15"/>
      <c r="B398" s="15"/>
      <c r="C398" s="15"/>
      <c r="D398" s="15"/>
      <c r="E398" s="15"/>
      <c r="F398" s="15"/>
      <c r="G398" s="15"/>
      <c r="H398" s="15"/>
      <c r="I398" s="15"/>
    </row>
    <row r="399" spans="1:9" ht="15" customHeight="1">
      <c r="A399" s="15"/>
      <c r="B399" s="15"/>
      <c r="C399" s="15"/>
      <c r="D399" s="15"/>
      <c r="E399" s="15"/>
      <c r="F399" s="15"/>
      <c r="G399" s="15"/>
      <c r="H399" s="15"/>
      <c r="I399" s="15"/>
    </row>
    <row r="400" spans="1:9" ht="15" customHeight="1">
      <c r="A400" s="15"/>
      <c r="B400" s="15"/>
      <c r="C400" s="15"/>
      <c r="D400" s="15"/>
      <c r="E400" s="15"/>
      <c r="F400" s="15"/>
      <c r="G400" s="15"/>
      <c r="H400" s="15"/>
      <c r="I400" s="15"/>
    </row>
    <row r="401" spans="1:9" ht="15" customHeight="1">
      <c r="A401" s="15"/>
      <c r="B401" s="15"/>
      <c r="C401" s="15"/>
      <c r="D401" s="15"/>
      <c r="E401" s="15"/>
      <c r="F401" s="15"/>
      <c r="G401" s="15"/>
      <c r="H401" s="15"/>
      <c r="I401" s="15"/>
    </row>
    <row r="402" spans="1:9" ht="15" customHeight="1">
      <c r="A402" s="15"/>
      <c r="B402" s="15"/>
      <c r="C402" s="15"/>
      <c r="D402" s="15"/>
      <c r="E402" s="15"/>
      <c r="F402" s="15"/>
      <c r="G402" s="15"/>
      <c r="H402" s="15"/>
      <c r="I402" s="15"/>
    </row>
    <row r="403" spans="1:9" ht="15" customHeight="1">
      <c r="A403" s="15"/>
      <c r="B403" s="15"/>
      <c r="C403" s="15"/>
      <c r="D403" s="15"/>
      <c r="E403" s="15"/>
      <c r="F403" s="15"/>
      <c r="G403" s="15"/>
      <c r="H403" s="15"/>
      <c r="I403" s="15"/>
    </row>
    <row r="404" spans="1:14" s="110" customFormat="1" ht="1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29"/>
      <c r="K404" s="1"/>
      <c r="L404" s="1"/>
      <c r="M404" s="1"/>
      <c r="N404" s="1"/>
    </row>
    <row r="405" spans="1:14" s="110" customFormat="1" ht="1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29"/>
      <c r="K405" s="1"/>
      <c r="L405" s="1"/>
      <c r="M405" s="1"/>
      <c r="N405" s="1"/>
    </row>
    <row r="406" spans="1:14" s="110" customFormat="1" ht="1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29"/>
      <c r="K406" s="1"/>
      <c r="L406" s="1"/>
      <c r="M406" s="1"/>
      <c r="N406" s="1"/>
    </row>
    <row r="407" spans="1:9" s="110" customFormat="1" ht="15" customHeight="1">
      <c r="A407" s="15"/>
      <c r="B407" s="15"/>
      <c r="C407" s="15"/>
      <c r="D407" s="15"/>
      <c r="E407" s="15"/>
      <c r="F407" s="15"/>
      <c r="G407" s="15"/>
      <c r="H407" s="15"/>
      <c r="I407" s="15"/>
    </row>
    <row r="408" spans="1:10" s="110" customFormat="1" ht="1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30"/>
    </row>
    <row r="409" spans="1:10" s="110" customFormat="1" ht="1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30"/>
    </row>
    <row r="410" spans="1:10" s="110" customFormat="1" ht="1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30"/>
    </row>
    <row r="411" spans="1:10" s="110" customFormat="1" ht="1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30"/>
    </row>
    <row r="412" spans="1:10" s="110" customFormat="1" ht="1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30"/>
    </row>
    <row r="413" spans="1:10" s="110" customFormat="1" ht="1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30"/>
    </row>
    <row r="414" spans="1:10" s="110" customFormat="1" ht="1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30"/>
    </row>
    <row r="415" spans="1:10" s="110" customFormat="1" ht="1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30"/>
    </row>
    <row r="416" spans="1:10" s="110" customFormat="1" ht="1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30"/>
    </row>
    <row r="417" spans="1:10" s="110" customFormat="1" ht="1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30"/>
    </row>
    <row r="418" spans="1:10" s="110" customFormat="1" ht="1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30"/>
    </row>
    <row r="419" spans="1:10" s="110" customFormat="1" ht="1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30"/>
    </row>
    <row r="420" spans="1:10" s="110" customFormat="1" ht="1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30"/>
    </row>
    <row r="421" spans="1:10" s="110" customFormat="1" ht="1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30"/>
    </row>
    <row r="422" spans="1:10" s="110" customFormat="1" ht="1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30"/>
    </row>
    <row r="423" spans="1:10" s="110" customFormat="1" ht="1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30"/>
    </row>
    <row r="424" spans="1:10" s="110" customFormat="1" ht="1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30"/>
    </row>
    <row r="425" spans="1:10" s="110" customFormat="1" ht="1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30"/>
    </row>
    <row r="426" spans="1:10" s="110" customFormat="1" ht="1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30"/>
    </row>
    <row r="427" spans="1:10" s="110" customFormat="1" ht="21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30"/>
    </row>
    <row r="428" spans="1:10" s="110" customFormat="1" ht="1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30"/>
    </row>
    <row r="429" spans="1:10" s="110" customFormat="1" ht="1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30"/>
    </row>
    <row r="430" spans="1:10" s="110" customFormat="1" ht="1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30"/>
    </row>
    <row r="431" spans="1:10" s="110" customFormat="1" ht="1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30"/>
    </row>
    <row r="432" spans="1:10" s="110" customFormat="1" ht="1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30"/>
    </row>
    <row r="433" spans="1:10" s="110" customFormat="1" ht="1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30"/>
    </row>
    <row r="434" spans="1:10" s="110" customFormat="1" ht="1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30"/>
    </row>
    <row r="435" spans="1:14" ht="1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30"/>
      <c r="K435" s="110"/>
      <c r="L435" s="110"/>
      <c r="M435" s="110"/>
      <c r="N435" s="110"/>
    </row>
    <row r="436" spans="1:14" ht="1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30"/>
      <c r="K436" s="110"/>
      <c r="L436" s="110"/>
      <c r="M436" s="110"/>
      <c r="N436" s="110"/>
    </row>
    <row r="437" spans="1:14" ht="1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30"/>
      <c r="K437" s="110"/>
      <c r="L437" s="110"/>
      <c r="M437" s="110"/>
      <c r="N437" s="110"/>
    </row>
    <row r="438" spans="1:9" ht="15" customHeight="1">
      <c r="A438" s="15"/>
      <c r="B438" s="15"/>
      <c r="C438" s="15"/>
      <c r="D438" s="15"/>
      <c r="E438" s="15"/>
      <c r="F438" s="15"/>
      <c r="G438" s="15"/>
      <c r="H438" s="15"/>
      <c r="I438" s="15"/>
    </row>
    <row r="439" spans="1:9" ht="15" customHeight="1">
      <c r="A439" s="15"/>
      <c r="B439" s="15"/>
      <c r="C439" s="15"/>
      <c r="D439" s="15"/>
      <c r="E439" s="15"/>
      <c r="F439" s="15"/>
      <c r="G439" s="15"/>
      <c r="H439" s="15"/>
      <c r="I439" s="15"/>
    </row>
    <row r="440" spans="1:9" ht="15" customHeight="1">
      <c r="A440" s="15"/>
      <c r="B440" s="15"/>
      <c r="C440" s="15"/>
      <c r="D440" s="15"/>
      <c r="E440" s="15"/>
      <c r="F440" s="15"/>
      <c r="G440" s="15"/>
      <c r="H440" s="15"/>
      <c r="I440" s="15"/>
    </row>
    <row r="441" spans="1:9" ht="15" customHeight="1">
      <c r="A441" s="15"/>
      <c r="B441" s="15"/>
      <c r="C441" s="15"/>
      <c r="D441" s="15"/>
      <c r="E441" s="15"/>
      <c r="F441" s="15"/>
      <c r="G441" s="15"/>
      <c r="H441" s="15"/>
      <c r="I441" s="15"/>
    </row>
    <row r="442" spans="1:9" ht="15" customHeight="1">
      <c r="A442" s="15"/>
      <c r="B442" s="15"/>
      <c r="C442" s="15"/>
      <c r="D442" s="15"/>
      <c r="E442" s="15"/>
      <c r="F442" s="15"/>
      <c r="G442" s="15"/>
      <c r="H442" s="15"/>
      <c r="I442" s="15"/>
    </row>
    <row r="443" spans="1:9" ht="15" customHeight="1">
      <c r="A443" s="15"/>
      <c r="B443" s="15"/>
      <c r="C443" s="15"/>
      <c r="D443" s="15"/>
      <c r="E443" s="15"/>
      <c r="F443" s="15"/>
      <c r="G443" s="15"/>
      <c r="H443" s="15"/>
      <c r="I443" s="15"/>
    </row>
    <row r="444" spans="1:9" ht="15" customHeight="1">
      <c r="A444" s="15"/>
      <c r="B444" s="15"/>
      <c r="C444" s="15"/>
      <c r="D444" s="15"/>
      <c r="E444" s="15"/>
      <c r="F444" s="15"/>
      <c r="G444" s="15"/>
      <c r="H444" s="15"/>
      <c r="I444" s="15"/>
    </row>
    <row r="445" spans="1:9" ht="15" customHeight="1">
      <c r="A445" s="15"/>
      <c r="B445" s="15"/>
      <c r="C445" s="15"/>
      <c r="D445" s="15"/>
      <c r="E445" s="15"/>
      <c r="F445" s="15"/>
      <c r="G445" s="15"/>
      <c r="H445" s="15"/>
      <c r="I445" s="15"/>
    </row>
    <row r="446" spans="1:9" ht="15" customHeight="1">
      <c r="A446" s="15"/>
      <c r="B446" s="15"/>
      <c r="C446" s="15"/>
      <c r="D446" s="15"/>
      <c r="E446" s="15"/>
      <c r="F446" s="15"/>
      <c r="G446" s="15"/>
      <c r="H446" s="15"/>
      <c r="I446" s="15"/>
    </row>
    <row r="447" spans="1:9" ht="15" customHeight="1">
      <c r="A447" s="15"/>
      <c r="B447" s="15"/>
      <c r="C447" s="15"/>
      <c r="D447" s="15"/>
      <c r="E447" s="15"/>
      <c r="F447" s="15"/>
      <c r="G447" s="15"/>
      <c r="H447" s="15"/>
      <c r="I447" s="15"/>
    </row>
    <row r="448" spans="1:9" ht="15" customHeight="1">
      <c r="A448" s="15"/>
      <c r="B448" s="15"/>
      <c r="C448" s="15"/>
      <c r="D448" s="15"/>
      <c r="E448" s="15"/>
      <c r="F448" s="15"/>
      <c r="G448" s="15"/>
      <c r="H448" s="15"/>
      <c r="I448" s="15"/>
    </row>
    <row r="449" spans="1:9" ht="15" customHeight="1">
      <c r="A449" s="15"/>
      <c r="B449" s="15"/>
      <c r="C449" s="15"/>
      <c r="D449" s="15"/>
      <c r="E449" s="15"/>
      <c r="F449" s="15"/>
      <c r="G449" s="15"/>
      <c r="H449" s="15"/>
      <c r="I449" s="15"/>
    </row>
    <row r="450" spans="1:9" ht="15" customHeight="1">
      <c r="A450" s="15"/>
      <c r="B450" s="15"/>
      <c r="C450" s="15"/>
      <c r="D450" s="15"/>
      <c r="E450" s="15"/>
      <c r="F450" s="15"/>
      <c r="G450" s="15"/>
      <c r="H450" s="15"/>
      <c r="I450" s="15"/>
    </row>
    <row r="451" spans="1:9" ht="15" customHeight="1">
      <c r="A451" s="15"/>
      <c r="B451" s="15"/>
      <c r="C451" s="15"/>
      <c r="D451" s="15"/>
      <c r="E451" s="15"/>
      <c r="F451" s="15"/>
      <c r="G451" s="15"/>
      <c r="H451" s="15"/>
      <c r="I451" s="15"/>
    </row>
    <row r="452" spans="1:9" ht="15" customHeight="1">
      <c r="A452" s="15"/>
      <c r="B452" s="15"/>
      <c r="C452" s="15"/>
      <c r="D452" s="15"/>
      <c r="E452" s="15"/>
      <c r="F452" s="15"/>
      <c r="G452" s="15"/>
      <c r="H452" s="15"/>
      <c r="I452" s="15"/>
    </row>
    <row r="453" spans="1:9" ht="15" customHeight="1">
      <c r="A453" s="15"/>
      <c r="B453" s="15"/>
      <c r="C453" s="15"/>
      <c r="D453" s="15"/>
      <c r="E453" s="15"/>
      <c r="F453" s="15"/>
      <c r="G453" s="15"/>
      <c r="H453" s="15"/>
      <c r="I453" s="15"/>
    </row>
    <row r="454" spans="1:9" ht="15" customHeight="1">
      <c r="A454" s="15"/>
      <c r="B454" s="15"/>
      <c r="C454" s="15"/>
      <c r="D454" s="15"/>
      <c r="E454" s="15"/>
      <c r="F454" s="15"/>
      <c r="G454" s="15"/>
      <c r="H454" s="15"/>
      <c r="I454" s="15"/>
    </row>
    <row r="455" spans="1:9" ht="15" customHeight="1">
      <c r="A455" s="15"/>
      <c r="B455" s="15"/>
      <c r="C455" s="15"/>
      <c r="D455" s="15"/>
      <c r="E455" s="15"/>
      <c r="F455" s="15"/>
      <c r="G455" s="15"/>
      <c r="H455" s="15"/>
      <c r="I455" s="15"/>
    </row>
    <row r="456" spans="1:9" ht="15" customHeight="1">
      <c r="A456" s="15"/>
      <c r="B456" s="15"/>
      <c r="C456" s="15"/>
      <c r="D456" s="15"/>
      <c r="E456" s="15"/>
      <c r="F456" s="15"/>
      <c r="G456" s="15"/>
      <c r="H456" s="15"/>
      <c r="I456" s="15"/>
    </row>
    <row r="457" spans="1:9" ht="15" customHeight="1">
      <c r="A457" s="15"/>
      <c r="B457" s="15"/>
      <c r="C457" s="15"/>
      <c r="D457" s="15"/>
      <c r="E457" s="15"/>
      <c r="F457" s="15"/>
      <c r="G457" s="15"/>
      <c r="H457" s="15"/>
      <c r="I457" s="15"/>
    </row>
    <row r="458" spans="1:9" ht="15" customHeight="1">
      <c r="A458" s="15"/>
      <c r="B458" s="15"/>
      <c r="C458" s="15"/>
      <c r="D458" s="15"/>
      <c r="E458" s="15"/>
      <c r="F458" s="15"/>
      <c r="G458" s="15"/>
      <c r="H458" s="15"/>
      <c r="I458" s="15"/>
    </row>
    <row r="459" spans="1:9" ht="15" customHeight="1">
      <c r="A459" s="15"/>
      <c r="B459" s="15"/>
      <c r="C459" s="15"/>
      <c r="D459" s="15"/>
      <c r="E459" s="15"/>
      <c r="F459" s="15"/>
      <c r="G459" s="15"/>
      <c r="H459" s="15"/>
      <c r="I459" s="15"/>
    </row>
    <row r="460" spans="1:9" ht="15" customHeight="1">
      <c r="A460" s="15"/>
      <c r="B460" s="15"/>
      <c r="C460" s="15"/>
      <c r="D460" s="15"/>
      <c r="E460" s="15"/>
      <c r="F460" s="15"/>
      <c r="G460" s="15"/>
      <c r="H460" s="15"/>
      <c r="I460" s="15"/>
    </row>
    <row r="461" spans="1:9" ht="15" customHeight="1">
      <c r="A461" s="15"/>
      <c r="B461" s="15"/>
      <c r="C461" s="15"/>
      <c r="D461" s="15"/>
      <c r="E461" s="15"/>
      <c r="F461" s="15"/>
      <c r="G461" s="15"/>
      <c r="H461" s="15"/>
      <c r="I461" s="15"/>
    </row>
    <row r="462" spans="1:9" ht="15" customHeight="1">
      <c r="A462" s="15"/>
      <c r="B462" s="15"/>
      <c r="C462" s="15"/>
      <c r="D462" s="15"/>
      <c r="E462" s="15"/>
      <c r="F462" s="15"/>
      <c r="G462" s="15"/>
      <c r="H462" s="15"/>
      <c r="I462" s="15"/>
    </row>
    <row r="463" spans="1:9" ht="15" customHeight="1">
      <c r="A463" s="15"/>
      <c r="B463" s="15"/>
      <c r="C463" s="15"/>
      <c r="D463" s="15"/>
      <c r="E463" s="15"/>
      <c r="F463" s="15"/>
      <c r="G463" s="15"/>
      <c r="H463" s="15"/>
      <c r="I463" s="15"/>
    </row>
    <row r="464" spans="1:9" ht="15" customHeight="1">
      <c r="A464" s="15"/>
      <c r="B464" s="15"/>
      <c r="C464" s="15"/>
      <c r="D464" s="15"/>
      <c r="E464" s="15"/>
      <c r="F464" s="15"/>
      <c r="G464" s="15"/>
      <c r="H464" s="15"/>
      <c r="I464" s="15"/>
    </row>
    <row r="465" spans="1:9" ht="15" customHeight="1">
      <c r="A465" s="15"/>
      <c r="B465" s="15"/>
      <c r="C465" s="15"/>
      <c r="D465" s="15"/>
      <c r="E465" s="15"/>
      <c r="F465" s="15"/>
      <c r="G465" s="15"/>
      <c r="H465" s="15"/>
      <c r="I465" s="15"/>
    </row>
    <row r="466" spans="1:9" ht="15" customHeight="1">
      <c r="A466" s="15"/>
      <c r="B466" s="15"/>
      <c r="C466" s="15"/>
      <c r="D466" s="15"/>
      <c r="E466" s="15"/>
      <c r="F466" s="15"/>
      <c r="G466" s="15"/>
      <c r="H466" s="15"/>
      <c r="I466" s="15"/>
    </row>
    <row r="467" spans="1:9" ht="15" customHeight="1">
      <c r="A467" s="15"/>
      <c r="B467" s="15"/>
      <c r="C467" s="15"/>
      <c r="D467" s="15"/>
      <c r="E467" s="15"/>
      <c r="F467" s="15"/>
      <c r="G467" s="15"/>
      <c r="H467" s="15"/>
      <c r="I467" s="15"/>
    </row>
    <row r="468" spans="1:9" ht="15" customHeight="1">
      <c r="A468" s="15"/>
      <c r="B468" s="15"/>
      <c r="C468" s="15"/>
      <c r="D468" s="15"/>
      <c r="E468" s="15"/>
      <c r="F468" s="15"/>
      <c r="G468" s="15"/>
      <c r="H468" s="15"/>
      <c r="I468" s="15"/>
    </row>
    <row r="469" spans="1:9" ht="15" customHeight="1">
      <c r="A469" s="15"/>
      <c r="B469" s="15"/>
      <c r="C469" s="15"/>
      <c r="D469" s="15"/>
      <c r="E469" s="15"/>
      <c r="F469" s="15"/>
      <c r="G469" s="15"/>
      <c r="H469" s="15"/>
      <c r="I469" s="15"/>
    </row>
    <row r="470" spans="1:9" ht="15" customHeight="1">
      <c r="A470" s="15"/>
      <c r="B470" s="15"/>
      <c r="C470" s="15"/>
      <c r="D470" s="15"/>
      <c r="E470" s="15"/>
      <c r="F470" s="15"/>
      <c r="G470" s="15"/>
      <c r="H470" s="15"/>
      <c r="I470" s="15"/>
    </row>
    <row r="471" spans="1:9" ht="15" customHeight="1">
      <c r="A471" s="15"/>
      <c r="B471" s="15"/>
      <c r="C471" s="15"/>
      <c r="D471" s="15"/>
      <c r="E471" s="15"/>
      <c r="F471" s="15"/>
      <c r="G471" s="15"/>
      <c r="H471" s="15"/>
      <c r="I471" s="15"/>
    </row>
    <row r="472" spans="1:9" ht="15" customHeight="1">
      <c r="A472" s="15"/>
      <c r="B472" s="15"/>
      <c r="C472" s="15"/>
      <c r="D472" s="15"/>
      <c r="E472" s="15"/>
      <c r="F472" s="15"/>
      <c r="G472" s="15"/>
      <c r="H472" s="15"/>
      <c r="I472" s="15"/>
    </row>
    <row r="473" spans="1:9" ht="15" customHeight="1">
      <c r="A473" s="15"/>
      <c r="B473" s="15"/>
      <c r="C473" s="15"/>
      <c r="D473" s="15"/>
      <c r="E473" s="15"/>
      <c r="F473" s="15"/>
      <c r="G473" s="15"/>
      <c r="H473" s="15"/>
      <c r="I473" s="15"/>
    </row>
    <row r="474" spans="1:9" ht="15" customHeight="1">
      <c r="A474" s="15"/>
      <c r="B474" s="15"/>
      <c r="C474" s="15"/>
      <c r="D474" s="15"/>
      <c r="E474" s="15"/>
      <c r="F474" s="15"/>
      <c r="G474" s="15"/>
      <c r="H474" s="15"/>
      <c r="I474" s="15"/>
    </row>
    <row r="475" spans="1:9" ht="15" customHeight="1">
      <c r="A475" s="15"/>
      <c r="B475" s="15"/>
      <c r="C475" s="15"/>
      <c r="D475" s="15"/>
      <c r="E475" s="15"/>
      <c r="F475" s="15"/>
      <c r="G475" s="15"/>
      <c r="H475" s="15"/>
      <c r="I475" s="15"/>
    </row>
    <row r="476" spans="1:9" ht="15" customHeight="1">
      <c r="A476" s="15"/>
      <c r="B476" s="15"/>
      <c r="C476" s="15"/>
      <c r="D476" s="15"/>
      <c r="E476" s="15"/>
      <c r="F476" s="15"/>
      <c r="G476" s="15"/>
      <c r="H476" s="15"/>
      <c r="I476" s="15"/>
    </row>
    <row r="477" spans="1:9" ht="15" customHeight="1">
      <c r="A477" s="15"/>
      <c r="B477" s="15"/>
      <c r="C477" s="15"/>
      <c r="D477" s="15"/>
      <c r="E477" s="15"/>
      <c r="F477" s="15"/>
      <c r="G477" s="15"/>
      <c r="H477" s="15"/>
      <c r="I477" s="15"/>
    </row>
    <row r="478" spans="1:9" ht="15" customHeight="1">
      <c r="A478" s="15"/>
      <c r="B478" s="15"/>
      <c r="C478" s="15"/>
      <c r="D478" s="15"/>
      <c r="E478" s="15"/>
      <c r="F478" s="15"/>
      <c r="G478" s="15"/>
      <c r="H478" s="15"/>
      <c r="I478" s="15"/>
    </row>
    <row r="479" spans="1:9" ht="15" customHeight="1">
      <c r="A479" s="15"/>
      <c r="B479" s="15"/>
      <c r="C479" s="15"/>
      <c r="D479" s="15"/>
      <c r="E479" s="15"/>
      <c r="F479" s="15"/>
      <c r="G479" s="15"/>
      <c r="H479" s="15"/>
      <c r="I479" s="15"/>
    </row>
    <row r="480" spans="1:9" ht="15" customHeight="1">
      <c r="A480" s="15"/>
      <c r="B480" s="15"/>
      <c r="C480" s="15"/>
      <c r="D480" s="15"/>
      <c r="E480" s="15"/>
      <c r="F480" s="15"/>
      <c r="G480" s="15"/>
      <c r="H480" s="15"/>
      <c r="I480" s="15"/>
    </row>
    <row r="481" spans="1:9" ht="15" customHeight="1">
      <c r="A481" s="15"/>
      <c r="B481" s="15"/>
      <c r="C481" s="15"/>
      <c r="D481" s="15"/>
      <c r="E481" s="15"/>
      <c r="F481" s="15"/>
      <c r="G481" s="15"/>
      <c r="H481" s="15"/>
      <c r="I481" s="15"/>
    </row>
    <row r="482" spans="1:9" ht="15" customHeight="1">
      <c r="A482" s="15"/>
      <c r="B482" s="15"/>
      <c r="C482" s="15"/>
      <c r="D482" s="15"/>
      <c r="E482" s="15"/>
      <c r="F482" s="15"/>
      <c r="G482" s="15"/>
      <c r="H482" s="15"/>
      <c r="I482" s="15"/>
    </row>
    <row r="483" spans="1:9" ht="15" customHeight="1">
      <c r="A483" s="15"/>
      <c r="B483" s="15"/>
      <c r="C483" s="15"/>
      <c r="D483" s="15"/>
      <c r="E483" s="15"/>
      <c r="F483" s="15"/>
      <c r="G483" s="15"/>
      <c r="H483" s="15"/>
      <c r="I483" s="15"/>
    </row>
    <row r="484" spans="1:9" ht="15" customHeight="1">
      <c r="A484" s="15"/>
      <c r="B484" s="15"/>
      <c r="C484" s="15"/>
      <c r="D484" s="15"/>
      <c r="E484" s="15"/>
      <c r="F484" s="15"/>
      <c r="G484" s="15"/>
      <c r="H484" s="15"/>
      <c r="I484" s="15"/>
    </row>
    <row r="485" spans="1:9" ht="15" customHeight="1">
      <c r="A485" s="15"/>
      <c r="B485" s="15"/>
      <c r="C485" s="15"/>
      <c r="D485" s="15"/>
      <c r="E485" s="15"/>
      <c r="F485" s="15"/>
      <c r="G485" s="15"/>
      <c r="H485" s="15"/>
      <c r="I485" s="15"/>
    </row>
    <row r="486" spans="1:9" ht="15" customHeight="1">
      <c r="A486" s="15"/>
      <c r="B486" s="15"/>
      <c r="C486" s="15"/>
      <c r="D486" s="15"/>
      <c r="E486" s="15"/>
      <c r="F486" s="15"/>
      <c r="G486" s="15"/>
      <c r="H486" s="15"/>
      <c r="I486" s="15"/>
    </row>
    <row r="487" spans="1:9" ht="15" customHeight="1">
      <c r="A487" s="15"/>
      <c r="B487" s="15"/>
      <c r="C487" s="15"/>
      <c r="D487" s="15"/>
      <c r="E487" s="15"/>
      <c r="F487" s="15"/>
      <c r="G487" s="15"/>
      <c r="H487" s="15"/>
      <c r="I487" s="15"/>
    </row>
    <row r="488" spans="1:9" ht="15" customHeight="1">
      <c r="A488" s="15"/>
      <c r="B488" s="15"/>
      <c r="C488" s="15"/>
      <c r="D488" s="15"/>
      <c r="E488" s="15"/>
      <c r="F488" s="15"/>
      <c r="G488" s="15"/>
      <c r="H488" s="15"/>
      <c r="I488" s="15"/>
    </row>
    <row r="489" spans="1:9" ht="15" customHeight="1">
      <c r="A489" s="15"/>
      <c r="B489" s="15"/>
      <c r="C489" s="15"/>
      <c r="D489" s="15"/>
      <c r="E489" s="15"/>
      <c r="F489" s="15"/>
      <c r="G489" s="15"/>
      <c r="H489" s="15"/>
      <c r="I489" s="15"/>
    </row>
    <row r="490" spans="1:9" ht="15" customHeight="1">
      <c r="A490" s="15"/>
      <c r="B490" s="15"/>
      <c r="C490" s="15"/>
      <c r="D490" s="15"/>
      <c r="E490" s="15"/>
      <c r="F490" s="15"/>
      <c r="G490" s="15"/>
      <c r="H490" s="15"/>
      <c r="I490" s="15"/>
    </row>
    <row r="491" spans="1:9" ht="15" customHeight="1">
      <c r="A491" s="15"/>
      <c r="B491" s="15"/>
      <c r="C491" s="15"/>
      <c r="D491" s="15"/>
      <c r="E491" s="15"/>
      <c r="F491" s="15"/>
      <c r="G491" s="15"/>
      <c r="H491" s="15"/>
      <c r="I491" s="15"/>
    </row>
    <row r="492" spans="1:9" ht="15" customHeight="1">
      <c r="A492" s="15"/>
      <c r="B492" s="15"/>
      <c r="C492" s="15"/>
      <c r="D492" s="15"/>
      <c r="E492" s="15"/>
      <c r="F492" s="15"/>
      <c r="G492" s="15"/>
      <c r="H492" s="15"/>
      <c r="I492" s="15"/>
    </row>
    <row r="493" spans="1:9" ht="15" customHeight="1">
      <c r="A493" s="15"/>
      <c r="B493" s="15"/>
      <c r="C493" s="15"/>
      <c r="D493" s="15"/>
      <c r="E493" s="15"/>
      <c r="F493" s="15"/>
      <c r="G493" s="15"/>
      <c r="H493" s="15"/>
      <c r="I493" s="15"/>
    </row>
    <row r="494" spans="1:9" ht="15" customHeight="1">
      <c r="A494" s="15"/>
      <c r="B494" s="15"/>
      <c r="C494" s="15"/>
      <c r="D494" s="15"/>
      <c r="E494" s="15"/>
      <c r="F494" s="15"/>
      <c r="G494" s="15"/>
      <c r="H494" s="15"/>
      <c r="I494" s="15"/>
    </row>
    <row r="495" spans="1:9" ht="15" customHeight="1">
      <c r="A495" s="15"/>
      <c r="B495" s="15"/>
      <c r="C495" s="15"/>
      <c r="D495" s="15"/>
      <c r="E495" s="15"/>
      <c r="F495" s="15"/>
      <c r="G495" s="15"/>
      <c r="H495" s="15"/>
      <c r="I495" s="15"/>
    </row>
    <row r="496" spans="1:9" ht="15" customHeight="1">
      <c r="A496" s="15"/>
      <c r="B496" s="15"/>
      <c r="C496" s="15"/>
      <c r="D496" s="15"/>
      <c r="E496" s="15"/>
      <c r="F496" s="15"/>
      <c r="G496" s="15"/>
      <c r="H496" s="15"/>
      <c r="I496" s="15"/>
    </row>
    <row r="497" spans="1:9" ht="15" customHeight="1">
      <c r="A497" s="15"/>
      <c r="B497" s="15"/>
      <c r="C497" s="15"/>
      <c r="D497" s="15"/>
      <c r="E497" s="15"/>
      <c r="F497" s="15"/>
      <c r="G497" s="15"/>
      <c r="H497" s="15"/>
      <c r="I497" s="15"/>
    </row>
    <row r="498" spans="1:9" ht="15" customHeight="1">
      <c r="A498" s="15"/>
      <c r="B498" s="15"/>
      <c r="C498" s="15"/>
      <c r="D498" s="15"/>
      <c r="E498" s="15"/>
      <c r="F498" s="15"/>
      <c r="G498" s="15"/>
      <c r="H498" s="15"/>
      <c r="I498" s="15"/>
    </row>
    <row r="499" spans="1:9" ht="15" customHeight="1">
      <c r="A499" s="15"/>
      <c r="B499" s="15"/>
      <c r="C499" s="15"/>
      <c r="D499" s="15"/>
      <c r="E499" s="15"/>
      <c r="F499" s="15"/>
      <c r="G499" s="15"/>
      <c r="H499" s="15"/>
      <c r="I499" s="15"/>
    </row>
    <row r="500" spans="1:9" ht="15" customHeight="1">
      <c r="A500" s="15"/>
      <c r="B500" s="15"/>
      <c r="C500" s="15"/>
      <c r="D500" s="15"/>
      <c r="E500" s="15"/>
      <c r="F500" s="15"/>
      <c r="G500" s="15"/>
      <c r="H500" s="15"/>
      <c r="I500" s="15"/>
    </row>
    <row r="501" spans="1:9" ht="15" customHeight="1">
      <c r="A501" s="15"/>
      <c r="B501" s="15"/>
      <c r="C501" s="15"/>
      <c r="D501" s="15"/>
      <c r="E501" s="15"/>
      <c r="F501" s="15"/>
      <c r="G501" s="15"/>
      <c r="H501" s="15"/>
      <c r="I501" s="15"/>
    </row>
    <row r="502" spans="1:9" ht="15" customHeight="1">
      <c r="A502" s="15"/>
      <c r="B502" s="15"/>
      <c r="C502" s="15"/>
      <c r="D502" s="15"/>
      <c r="E502" s="15"/>
      <c r="F502" s="15"/>
      <c r="G502" s="15"/>
      <c r="H502" s="15"/>
      <c r="I502" s="15"/>
    </row>
    <row r="503" spans="1:9" ht="15" customHeight="1">
      <c r="A503" s="15"/>
      <c r="B503" s="15"/>
      <c r="C503" s="15"/>
      <c r="D503" s="15"/>
      <c r="E503" s="15"/>
      <c r="F503" s="15"/>
      <c r="G503" s="15"/>
      <c r="H503" s="15"/>
      <c r="I503" s="15"/>
    </row>
    <row r="504" spans="1:9" ht="15" customHeight="1">
      <c r="A504" s="15"/>
      <c r="B504" s="15"/>
      <c r="C504" s="15"/>
      <c r="D504" s="15"/>
      <c r="E504" s="15"/>
      <c r="F504" s="15"/>
      <c r="G504" s="15"/>
      <c r="H504" s="15"/>
      <c r="I504" s="15"/>
    </row>
    <row r="505" spans="1:9" ht="15" customHeight="1">
      <c r="A505" s="15"/>
      <c r="B505" s="15"/>
      <c r="C505" s="15"/>
      <c r="D505" s="15"/>
      <c r="E505" s="15"/>
      <c r="F505" s="15"/>
      <c r="G505" s="15"/>
      <c r="H505" s="15"/>
      <c r="I505" s="15"/>
    </row>
    <row r="506" spans="1:9" ht="15" customHeight="1">
      <c r="A506" s="15"/>
      <c r="B506" s="15"/>
      <c r="C506" s="15"/>
      <c r="D506" s="15"/>
      <c r="E506" s="15"/>
      <c r="F506" s="15"/>
      <c r="G506" s="15"/>
      <c r="H506" s="15"/>
      <c r="I506" s="15"/>
    </row>
    <row r="507" spans="1:9" ht="15" customHeight="1">
      <c r="A507" s="15"/>
      <c r="B507" s="15"/>
      <c r="C507" s="15"/>
      <c r="D507" s="15"/>
      <c r="E507" s="15"/>
      <c r="F507" s="15"/>
      <c r="G507" s="15"/>
      <c r="H507" s="15"/>
      <c r="I507" s="15"/>
    </row>
    <row r="508" spans="1:9" ht="15" customHeight="1">
      <c r="A508" s="15"/>
      <c r="B508" s="15"/>
      <c r="C508" s="15"/>
      <c r="D508" s="15"/>
      <c r="E508" s="15"/>
      <c r="F508" s="15"/>
      <c r="G508" s="15"/>
      <c r="H508" s="15"/>
      <c r="I508" s="15"/>
    </row>
    <row r="509" spans="1:9" ht="15" customHeight="1">
      <c r="A509" s="15"/>
      <c r="B509" s="15"/>
      <c r="C509" s="15"/>
      <c r="D509" s="15"/>
      <c r="E509" s="15"/>
      <c r="F509" s="15"/>
      <c r="G509" s="15"/>
      <c r="H509" s="15"/>
      <c r="I509" s="15"/>
    </row>
    <row r="510" spans="1:9" ht="15" customHeight="1">
      <c r="A510" s="15"/>
      <c r="B510" s="15"/>
      <c r="C510" s="15"/>
      <c r="D510" s="15"/>
      <c r="E510" s="15"/>
      <c r="F510" s="15"/>
      <c r="G510" s="15"/>
      <c r="H510" s="15"/>
      <c r="I510" s="15"/>
    </row>
    <row r="511" spans="1:9" ht="15" customHeight="1">
      <c r="A511" s="15"/>
      <c r="B511" s="15"/>
      <c r="C511" s="15"/>
      <c r="D511" s="15"/>
      <c r="E511" s="15"/>
      <c r="F511" s="15"/>
      <c r="G511" s="15"/>
      <c r="H511" s="15"/>
      <c r="I511" s="15"/>
    </row>
    <row r="512" spans="1:9" ht="15" customHeight="1">
      <c r="A512" s="15"/>
      <c r="B512" s="15"/>
      <c r="C512" s="15"/>
      <c r="D512" s="15"/>
      <c r="E512" s="15"/>
      <c r="F512" s="15"/>
      <c r="G512" s="15"/>
      <c r="H512" s="15"/>
      <c r="I512" s="15"/>
    </row>
    <row r="513" spans="1:9" ht="15" customHeight="1">
      <c r="A513" s="15"/>
      <c r="B513" s="15"/>
      <c r="C513" s="15"/>
      <c r="D513" s="15"/>
      <c r="E513" s="15"/>
      <c r="F513" s="15"/>
      <c r="G513" s="15"/>
      <c r="H513" s="15"/>
      <c r="I513" s="15"/>
    </row>
    <row r="514" spans="1:9" ht="15" customHeight="1">
      <c r="A514" s="15"/>
      <c r="B514" s="15"/>
      <c r="C514" s="15"/>
      <c r="D514" s="15"/>
      <c r="E514" s="15"/>
      <c r="F514" s="15"/>
      <c r="G514" s="15"/>
      <c r="H514" s="15"/>
      <c r="I514" s="15"/>
    </row>
    <row r="515" spans="1:9" ht="15" customHeight="1">
      <c r="A515" s="15"/>
      <c r="B515" s="15"/>
      <c r="C515" s="15"/>
      <c r="D515" s="15"/>
      <c r="E515" s="15"/>
      <c r="F515" s="15"/>
      <c r="G515" s="15"/>
      <c r="H515" s="15"/>
      <c r="I515" s="15"/>
    </row>
    <row r="516" spans="1:9" ht="15" customHeight="1">
      <c r="A516" s="15"/>
      <c r="B516" s="15"/>
      <c r="C516" s="15"/>
      <c r="D516" s="15"/>
      <c r="E516" s="15"/>
      <c r="F516" s="15"/>
      <c r="G516" s="15"/>
      <c r="H516" s="15"/>
      <c r="I516" s="15"/>
    </row>
    <row r="517" spans="1:9" ht="15" customHeight="1">
      <c r="A517" s="15"/>
      <c r="B517" s="15"/>
      <c r="C517" s="15"/>
      <c r="D517" s="15"/>
      <c r="E517" s="15"/>
      <c r="F517" s="15"/>
      <c r="G517" s="15"/>
      <c r="H517" s="15"/>
      <c r="I517" s="15"/>
    </row>
    <row r="518" spans="1:9" ht="15" customHeight="1">
      <c r="A518" s="15"/>
      <c r="B518" s="15"/>
      <c r="C518" s="15"/>
      <c r="D518" s="15"/>
      <c r="E518" s="15"/>
      <c r="F518" s="15"/>
      <c r="G518" s="15"/>
      <c r="H518" s="15"/>
      <c r="I518" s="15"/>
    </row>
    <row r="519" spans="1:9" ht="15" customHeight="1">
      <c r="A519" s="15"/>
      <c r="B519" s="15"/>
      <c r="C519" s="15"/>
      <c r="D519" s="15"/>
      <c r="E519" s="15"/>
      <c r="F519" s="15"/>
      <c r="G519" s="15"/>
      <c r="H519" s="15"/>
      <c r="I519" s="15"/>
    </row>
    <row r="520" spans="1:9" ht="15" customHeight="1">
      <c r="A520" s="15"/>
      <c r="B520" s="15"/>
      <c r="C520" s="15"/>
      <c r="D520" s="15"/>
      <c r="E520" s="15"/>
      <c r="F520" s="15"/>
      <c r="G520" s="15"/>
      <c r="H520" s="15"/>
      <c r="I520" s="15"/>
    </row>
    <row r="521" spans="1:9" ht="15" customHeight="1">
      <c r="A521" s="15"/>
      <c r="B521" s="15"/>
      <c r="C521" s="15"/>
      <c r="D521" s="15"/>
      <c r="E521" s="15"/>
      <c r="F521" s="15"/>
      <c r="G521" s="15"/>
      <c r="H521" s="15"/>
      <c r="I521" s="15"/>
    </row>
    <row r="522" spans="1:9" ht="15" customHeight="1">
      <c r="A522" s="15"/>
      <c r="B522" s="15"/>
      <c r="C522" s="15"/>
      <c r="D522" s="15"/>
      <c r="E522" s="15"/>
      <c r="F522" s="15"/>
      <c r="G522" s="15"/>
      <c r="H522" s="15"/>
      <c r="I522" s="15"/>
    </row>
    <row r="523" spans="1:9" ht="15" customHeight="1">
      <c r="A523" s="15"/>
      <c r="B523" s="15"/>
      <c r="C523" s="15"/>
      <c r="D523" s="15"/>
      <c r="E523" s="15"/>
      <c r="F523" s="15"/>
      <c r="G523" s="15"/>
      <c r="H523" s="15"/>
      <c r="I523" s="15"/>
    </row>
    <row r="524" spans="1:9" ht="15" customHeight="1">
      <c r="A524" s="15"/>
      <c r="B524" s="15"/>
      <c r="C524" s="15"/>
      <c r="D524" s="15"/>
      <c r="E524" s="15"/>
      <c r="F524" s="15"/>
      <c r="G524" s="15"/>
      <c r="H524" s="15"/>
      <c r="I524" s="15"/>
    </row>
    <row r="525" spans="1:9" ht="15" customHeight="1">
      <c r="A525" s="15"/>
      <c r="B525" s="15"/>
      <c r="C525" s="15"/>
      <c r="D525" s="15"/>
      <c r="E525" s="15"/>
      <c r="F525" s="15"/>
      <c r="G525" s="15"/>
      <c r="H525" s="15"/>
      <c r="I525" s="15"/>
    </row>
    <row r="526" spans="1:9" ht="15" customHeight="1">
      <c r="A526" s="15"/>
      <c r="B526" s="15"/>
      <c r="C526" s="15"/>
      <c r="D526" s="15"/>
      <c r="E526" s="15"/>
      <c r="F526" s="15"/>
      <c r="G526" s="15"/>
      <c r="H526" s="15"/>
      <c r="I526" s="15"/>
    </row>
    <row r="527" spans="1:9" ht="15" customHeight="1">
      <c r="A527" s="15"/>
      <c r="B527" s="15"/>
      <c r="C527" s="15"/>
      <c r="D527" s="15"/>
      <c r="E527" s="15"/>
      <c r="F527" s="15"/>
      <c r="G527" s="15"/>
      <c r="H527" s="15"/>
      <c r="I527" s="15"/>
    </row>
    <row r="528" spans="1:9" ht="15" customHeight="1">
      <c r="A528" s="15"/>
      <c r="B528" s="15"/>
      <c r="C528" s="15"/>
      <c r="D528" s="15"/>
      <c r="E528" s="15"/>
      <c r="F528" s="15"/>
      <c r="G528" s="15"/>
      <c r="H528" s="15"/>
      <c r="I528" s="15"/>
    </row>
    <row r="529" spans="1:9" ht="15" customHeight="1">
      <c r="A529" s="15"/>
      <c r="B529" s="15"/>
      <c r="C529" s="15"/>
      <c r="D529" s="15"/>
      <c r="E529" s="15"/>
      <c r="F529" s="15"/>
      <c r="G529" s="15"/>
      <c r="H529" s="15"/>
      <c r="I529" s="15"/>
    </row>
    <row r="530" spans="1:9" ht="15" customHeight="1">
      <c r="A530" s="15"/>
      <c r="B530" s="15"/>
      <c r="C530" s="15"/>
      <c r="D530" s="15"/>
      <c r="E530" s="15"/>
      <c r="F530" s="15"/>
      <c r="G530" s="15"/>
      <c r="H530" s="15"/>
      <c r="I530" s="15"/>
    </row>
    <row r="531" spans="1:9" ht="15" customHeight="1">
      <c r="A531" s="15"/>
      <c r="B531" s="15"/>
      <c r="C531" s="15"/>
      <c r="D531" s="15"/>
      <c r="E531" s="15"/>
      <c r="F531" s="15"/>
      <c r="G531" s="15"/>
      <c r="H531" s="15"/>
      <c r="I531" s="15"/>
    </row>
    <row r="532" spans="1:9" ht="15" customHeight="1">
      <c r="A532" s="15"/>
      <c r="B532" s="15"/>
      <c r="C532" s="15"/>
      <c r="D532" s="15"/>
      <c r="E532" s="15"/>
      <c r="F532" s="15"/>
      <c r="G532" s="15"/>
      <c r="H532" s="15"/>
      <c r="I532" s="15"/>
    </row>
    <row r="533" spans="1:9" ht="15" customHeight="1">
      <c r="A533" s="15"/>
      <c r="B533" s="15"/>
      <c r="C533" s="15"/>
      <c r="D533" s="15"/>
      <c r="E533" s="15"/>
      <c r="F533" s="15"/>
      <c r="G533" s="15"/>
      <c r="H533" s="15"/>
      <c r="I533" s="15"/>
    </row>
    <row r="534" spans="1:9" ht="15" customHeight="1">
      <c r="A534" s="15"/>
      <c r="B534" s="15"/>
      <c r="C534" s="15"/>
      <c r="D534" s="15"/>
      <c r="E534" s="15"/>
      <c r="F534" s="15"/>
      <c r="G534" s="15"/>
      <c r="H534" s="15"/>
      <c r="I534" s="15"/>
    </row>
    <row r="535" spans="1:9" ht="15" customHeight="1">
      <c r="A535" s="15"/>
      <c r="B535" s="15"/>
      <c r="C535" s="15"/>
      <c r="D535" s="15"/>
      <c r="E535" s="15"/>
      <c r="F535" s="15"/>
      <c r="G535" s="15"/>
      <c r="H535" s="15"/>
      <c r="I535" s="15"/>
    </row>
    <row r="536" spans="1:9" ht="15" customHeight="1">
      <c r="A536" s="15"/>
      <c r="B536" s="15"/>
      <c r="C536" s="15"/>
      <c r="D536" s="15"/>
      <c r="E536" s="15"/>
      <c r="F536" s="15"/>
      <c r="G536" s="15"/>
      <c r="H536" s="15"/>
      <c r="I536" s="15"/>
    </row>
    <row r="537" spans="1:9" ht="15" customHeight="1">
      <c r="A537" s="15"/>
      <c r="B537" s="15"/>
      <c r="C537" s="15"/>
      <c r="D537" s="15"/>
      <c r="E537" s="15"/>
      <c r="F537" s="15"/>
      <c r="G537" s="15"/>
      <c r="H537" s="15"/>
      <c r="I537" s="15"/>
    </row>
    <row r="538" spans="1:9" ht="15" customHeight="1">
      <c r="A538" s="15"/>
      <c r="B538" s="15"/>
      <c r="C538" s="15"/>
      <c r="D538" s="15"/>
      <c r="E538" s="15"/>
      <c r="F538" s="15"/>
      <c r="G538" s="15"/>
      <c r="H538" s="15"/>
      <c r="I538" s="15"/>
    </row>
    <row r="539" spans="1:9" ht="15" customHeight="1">
      <c r="A539" s="15"/>
      <c r="B539" s="15"/>
      <c r="C539" s="15"/>
      <c r="D539" s="15"/>
      <c r="E539" s="15"/>
      <c r="F539" s="15"/>
      <c r="G539" s="15"/>
      <c r="H539" s="15"/>
      <c r="I539" s="15"/>
    </row>
    <row r="540" spans="1:9" ht="15" customHeight="1">
      <c r="A540" s="15"/>
      <c r="B540" s="15"/>
      <c r="C540" s="15"/>
      <c r="D540" s="15"/>
      <c r="E540" s="15"/>
      <c r="F540" s="15"/>
      <c r="G540" s="15"/>
      <c r="H540" s="15"/>
      <c r="I540" s="15"/>
    </row>
    <row r="541" spans="1:9" ht="15" customHeight="1">
      <c r="A541" s="15"/>
      <c r="B541" s="15"/>
      <c r="C541" s="15"/>
      <c r="D541" s="15"/>
      <c r="E541" s="15"/>
      <c r="F541" s="15"/>
      <c r="G541" s="15"/>
      <c r="H541" s="15"/>
      <c r="I541" s="15"/>
    </row>
    <row r="542" spans="1:9" ht="15" customHeight="1">
      <c r="A542" s="15"/>
      <c r="B542" s="15"/>
      <c r="C542" s="15"/>
      <c r="D542" s="15"/>
      <c r="E542" s="15"/>
      <c r="F542" s="15"/>
      <c r="G542" s="15"/>
      <c r="H542" s="15"/>
      <c r="I542" s="15"/>
    </row>
    <row r="543" spans="1:9" ht="15" customHeight="1">
      <c r="A543" s="15"/>
      <c r="B543" s="15"/>
      <c r="C543" s="15"/>
      <c r="D543" s="15"/>
      <c r="E543" s="15"/>
      <c r="F543" s="15"/>
      <c r="G543" s="15"/>
      <c r="H543" s="15"/>
      <c r="I543" s="15"/>
    </row>
  </sheetData>
  <printOptions horizontalCentered="1"/>
  <pageMargins left="0.2" right="0.28" top="0.25" bottom="0.5" header="0.25" footer="0.25"/>
  <pageSetup fitToHeight="5" horizontalDpi="600" verticalDpi="600" orientation="landscape" paperSize="9" scale="68" r:id="rId1"/>
  <headerFooter alignWithMargins="0">
    <oddHeader>&amp;RDraft FRN Template</oddHeader>
    <oddFooter>&amp;L&amp;F&amp;CPage &amp;P of &amp;N&amp;R&amp;D</oddFooter>
  </headerFooter>
  <rowBreaks count="4" manualBreakCount="4">
    <brk id="48" max="8" man="1"/>
    <brk id="73" max="8" man="1"/>
    <brk id="99" max="8" man="1"/>
    <brk id="1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B1">
      <selection activeCell="D20" sqref="D20"/>
    </sheetView>
  </sheetViews>
  <sheetFormatPr defaultColWidth="9.00390625" defaultRowHeight="15.75"/>
  <cols>
    <col min="1" max="1" width="6.75390625" style="0" customWidth="1"/>
    <col min="2" max="2" width="44.25390625" style="0" customWidth="1"/>
    <col min="3" max="3" width="12.50390625" style="0" customWidth="1"/>
    <col min="4" max="4" width="11.125" style="0" customWidth="1"/>
    <col min="5" max="5" width="12.375" style="0" customWidth="1"/>
    <col min="6" max="6" width="11.50390625" style="0" customWidth="1"/>
    <col min="7" max="7" width="11.625" style="0" customWidth="1"/>
  </cols>
  <sheetData>
    <row r="1" spans="5:7" ht="15.75">
      <c r="E1">
        <v>2</v>
      </c>
      <c r="F1">
        <v>3</v>
      </c>
      <c r="G1">
        <v>4</v>
      </c>
    </row>
    <row r="2" spans="1:7" ht="18.75">
      <c r="A2" s="131" t="s">
        <v>107</v>
      </c>
      <c r="B2" s="131"/>
      <c r="C2" s="131"/>
      <c r="D2" s="131"/>
      <c r="E2" s="131"/>
      <c r="F2" s="131"/>
      <c r="G2" s="131"/>
    </row>
    <row r="3" spans="1:7" ht="15.75">
      <c r="A3" s="132" t="s">
        <v>109</v>
      </c>
      <c r="B3" s="132"/>
      <c r="C3" s="132"/>
      <c r="D3" s="132"/>
      <c r="E3" s="132"/>
      <c r="F3" s="132"/>
      <c r="G3" s="132"/>
    </row>
    <row r="4" spans="1:7" ht="15.75">
      <c r="A4" s="2" t="s">
        <v>285</v>
      </c>
      <c r="B4" s="2"/>
      <c r="C4" s="2"/>
      <c r="D4" s="5"/>
      <c r="E4" s="6"/>
      <c r="F4" s="34"/>
      <c r="G4" s="35"/>
    </row>
    <row r="5" spans="1:7" ht="15.75">
      <c r="A5" s="2"/>
      <c r="B5" s="2"/>
      <c r="C5" s="2"/>
      <c r="D5" s="5"/>
      <c r="E5" s="6"/>
      <c r="F5" s="34"/>
      <c r="G5" s="35"/>
    </row>
    <row r="6" spans="1:7" ht="15.75">
      <c r="A6" s="7" t="s">
        <v>369</v>
      </c>
      <c r="B6" s="8"/>
      <c r="C6" s="8"/>
      <c r="D6" s="11"/>
      <c r="E6" s="12"/>
      <c r="F6" s="36"/>
      <c r="G6" s="37"/>
    </row>
    <row r="7" spans="1:7" ht="15.75">
      <c r="A7" s="38"/>
      <c r="B7" s="39" t="s">
        <v>10</v>
      </c>
      <c r="C7" s="39"/>
      <c r="D7" s="43" t="s">
        <v>13</v>
      </c>
      <c r="E7" s="44" t="s">
        <v>14</v>
      </c>
      <c r="F7" s="44" t="s">
        <v>15</v>
      </c>
      <c r="G7" s="44" t="s">
        <v>16</v>
      </c>
    </row>
    <row r="8" spans="1:7" ht="15.75">
      <c r="A8" s="163"/>
      <c r="B8" s="178"/>
      <c r="C8" s="178"/>
      <c r="D8" s="181" t="s">
        <v>20</v>
      </c>
      <c r="E8" s="182"/>
      <c r="F8" s="182"/>
      <c r="G8" s="182" t="s">
        <v>21</v>
      </c>
    </row>
    <row r="9" spans="1:7" ht="16.5" thickBot="1">
      <c r="A9" s="226"/>
      <c r="B9" s="183" t="s">
        <v>23</v>
      </c>
      <c r="C9" s="183"/>
      <c r="D9" s="187" t="s">
        <v>25</v>
      </c>
      <c r="E9" s="188" t="s">
        <v>26</v>
      </c>
      <c r="F9" s="188" t="s">
        <v>27</v>
      </c>
      <c r="G9" s="188" t="s">
        <v>28</v>
      </c>
    </row>
    <row r="10" spans="1:7" ht="16.5" thickTop="1">
      <c r="A10" s="205" t="s">
        <v>243</v>
      </c>
      <c r="B10" s="241"/>
      <c r="C10" s="241"/>
      <c r="D10" s="104"/>
      <c r="E10" s="242"/>
      <c r="F10" s="242"/>
      <c r="G10" s="54"/>
    </row>
    <row r="11" spans="1:7" ht="15.75">
      <c r="A11" s="29"/>
      <c r="B11" s="244" t="s">
        <v>244</v>
      </c>
      <c r="C11" s="244" t="s">
        <v>3</v>
      </c>
      <c r="D11" s="371">
        <f>'Sch 3 - Expenses'!F32</f>
        <v>431008791</v>
      </c>
      <c r="E11" s="296">
        <f>D11</f>
        <v>431008791</v>
      </c>
      <c r="F11" s="296"/>
      <c r="G11" s="296"/>
    </row>
    <row r="12" spans="1:7" ht="15.75">
      <c r="A12" s="29"/>
      <c r="B12" s="244" t="s">
        <v>370</v>
      </c>
      <c r="C12" s="244" t="s">
        <v>4</v>
      </c>
      <c r="D12" s="371">
        <f>'Sch 3 - Expenses'!F38</f>
        <v>19547280</v>
      </c>
      <c r="E12" s="245"/>
      <c r="F12" s="245">
        <f>D12</f>
        <v>19547280</v>
      </c>
      <c r="G12" s="245"/>
    </row>
    <row r="13" spans="1:7" ht="15.75">
      <c r="A13" s="29"/>
      <c r="B13" s="244" t="s">
        <v>405</v>
      </c>
      <c r="C13" s="244" t="s">
        <v>2</v>
      </c>
      <c r="D13" s="371">
        <f>'Sch 3 - Expenses'!F43</f>
        <v>22569058</v>
      </c>
      <c r="E13" s="245"/>
      <c r="F13" s="245"/>
      <c r="G13" s="245">
        <f>D13</f>
        <v>22569058</v>
      </c>
    </row>
    <row r="14" spans="1:7" ht="15.75">
      <c r="A14" s="29"/>
      <c r="B14" s="244" t="s">
        <v>441</v>
      </c>
      <c r="C14" s="244" t="s">
        <v>2</v>
      </c>
      <c r="D14" s="371">
        <f>'Sch 3 - Expenses'!F49</f>
        <v>25860122</v>
      </c>
      <c r="E14" s="245"/>
      <c r="F14" s="245"/>
      <c r="G14" s="245">
        <f>D14</f>
        <v>25860122</v>
      </c>
    </row>
    <row r="15" spans="1:7" ht="15.75">
      <c r="A15" s="29"/>
      <c r="B15" s="244" t="s">
        <v>245</v>
      </c>
      <c r="C15" s="244" t="s">
        <v>22</v>
      </c>
      <c r="D15" s="371">
        <f>'Sch 3 - Expenses'!F69</f>
        <v>49517622</v>
      </c>
      <c r="E15" s="296">
        <f>'Sch 3 - Expenses'!G69</f>
        <v>20423673.660750844</v>
      </c>
      <c r="F15" s="296">
        <f>'Sch 3 - Expenses'!H69</f>
        <v>7904451.030339182</v>
      </c>
      <c r="G15" s="296">
        <f>'Sch 3 - Expenses'!I69</f>
        <v>21199814.74899242</v>
      </c>
    </row>
    <row r="16" spans="1:7" ht="15.75">
      <c r="A16" s="29"/>
      <c r="B16" s="244" t="s">
        <v>248</v>
      </c>
      <c r="C16" s="244" t="s">
        <v>3</v>
      </c>
      <c r="D16" s="372">
        <f>-('Sch 3 - Expenses'!F12+'Sch 3 - Expenses'!F16+'Sch 3 - Expenses'!F23+'Sch 3 - Expenses'!F27)</f>
        <v>-311062630</v>
      </c>
      <c r="E16" s="248">
        <f>D16</f>
        <v>-311062630</v>
      </c>
      <c r="F16" s="248"/>
      <c r="G16" s="248"/>
    </row>
    <row r="17" spans="1:7" ht="15.75">
      <c r="A17" s="206" t="s">
        <v>247</v>
      </c>
      <c r="B17" s="241"/>
      <c r="C17" s="241"/>
      <c r="D17" s="351">
        <f>SUM(D11:D16)</f>
        <v>237440243</v>
      </c>
      <c r="E17" s="351">
        <f>SUM(E11:E16)</f>
        <v>140369834.66075087</v>
      </c>
      <c r="F17" s="351">
        <f>SUM(F11:F16)</f>
        <v>27451731.03033918</v>
      </c>
      <c r="G17" s="351">
        <f>SUM(G11:G16)</f>
        <v>69628994.74899241</v>
      </c>
    </row>
    <row r="18" spans="1:7" ht="15.75">
      <c r="A18" s="243"/>
      <c r="B18" s="241"/>
      <c r="C18" s="241"/>
      <c r="D18" s="242"/>
      <c r="E18" s="242"/>
      <c r="F18" s="242"/>
      <c r="G18" s="242"/>
    </row>
    <row r="19" spans="1:7" ht="15.75">
      <c r="A19" s="246" t="s">
        <v>249</v>
      </c>
      <c r="B19" s="110"/>
      <c r="C19" s="110"/>
      <c r="D19" s="245"/>
      <c r="E19" s="245"/>
      <c r="F19" s="245"/>
      <c r="G19" s="245"/>
    </row>
    <row r="20" spans="1:7" ht="15.75">
      <c r="A20" s="247" t="s">
        <v>246</v>
      </c>
      <c r="B20" s="143"/>
      <c r="C20" s="143"/>
      <c r="D20" s="351">
        <f>D17/8</f>
        <v>29680030.375</v>
      </c>
      <c r="E20" s="351">
        <f>E17/8</f>
        <v>17546229.33259386</v>
      </c>
      <c r="F20" s="351">
        <f>F17/8</f>
        <v>3431466.3787923977</v>
      </c>
      <c r="G20" s="351">
        <f>G17/8</f>
        <v>8703624.343624052</v>
      </c>
    </row>
    <row r="21" spans="1:7" ht="15.75">
      <c r="A21" s="15"/>
      <c r="B21" s="15"/>
      <c r="C21" s="15"/>
      <c r="D21" s="228"/>
      <c r="E21" s="228"/>
      <c r="F21" s="228"/>
      <c r="G21" s="228"/>
    </row>
  </sheetData>
  <printOptions horizontalCentered="1"/>
  <pageMargins left="0.2" right="0.28" top="0.25" bottom="0.5" header="0.25" footer="0.25"/>
  <pageSetup horizontalDpi="600" verticalDpi="600" orientation="landscape" paperSize="9" scale="80" r:id="rId1"/>
  <headerFooter alignWithMargins="0">
    <oddHeader>&amp;RDraft FRN Template</oddHeader>
    <oddFooter>&amp;L&amp;F&amp;CPage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59"/>
  <sheetViews>
    <sheetView workbookViewId="0" topLeftCell="A6">
      <selection activeCell="E23" sqref="E23"/>
    </sheetView>
  </sheetViews>
  <sheetFormatPr defaultColWidth="9.00390625" defaultRowHeight="15.75"/>
  <cols>
    <col min="1" max="1" width="29.625" style="15" customWidth="1"/>
    <col min="2" max="2" width="17.75390625" style="15" customWidth="1"/>
    <col min="3" max="3" width="14.125" style="15" customWidth="1"/>
    <col min="4" max="4" width="9.625" style="15" customWidth="1"/>
    <col min="5" max="5" width="17.375" style="15" bestFit="1" customWidth="1"/>
    <col min="6" max="6" width="19.625" style="15" customWidth="1"/>
    <col min="7" max="7" width="15.75390625" style="15" bestFit="1" customWidth="1"/>
    <col min="8" max="8" width="16.625" style="15" customWidth="1"/>
    <col min="9" max="11" width="9.625" style="15" customWidth="1"/>
    <col min="12" max="12" width="10.50390625" style="15" customWidth="1"/>
    <col min="13" max="16384" width="9.00390625" style="15" customWidth="1"/>
  </cols>
  <sheetData>
    <row r="1" spans="1:17" s="1" customFormat="1" ht="15" customHeight="1">
      <c r="A1" s="197" t="s">
        <v>107</v>
      </c>
      <c r="B1" s="196"/>
      <c r="C1" s="196"/>
      <c r="D1" s="196"/>
      <c r="E1" s="196"/>
      <c r="F1" s="196" t="s">
        <v>20</v>
      </c>
      <c r="G1"/>
      <c r="H1"/>
      <c r="I1"/>
      <c r="J1"/>
      <c r="K1"/>
      <c r="L1" s="118"/>
      <c r="M1" s="109"/>
      <c r="N1" s="120"/>
      <c r="O1" s="29"/>
      <c r="P1" s="29"/>
      <c r="Q1" s="29"/>
    </row>
    <row r="2" spans="1:17" s="1" customFormat="1" ht="15" customHeight="1">
      <c r="A2" s="196" t="s">
        <v>109</v>
      </c>
      <c r="B2" s="196"/>
      <c r="C2" s="196"/>
      <c r="D2" s="196"/>
      <c r="E2" s="196"/>
      <c r="F2" s="196" t="s">
        <v>20</v>
      </c>
      <c r="G2"/>
      <c r="H2"/>
      <c r="I2"/>
      <c r="J2"/>
      <c r="K2"/>
      <c r="L2" s="118"/>
      <c r="M2" s="109"/>
      <c r="N2" s="120"/>
      <c r="O2" s="29"/>
      <c r="P2" s="29"/>
      <c r="Q2" s="29"/>
    </row>
    <row r="3" spans="1:17" s="1" customFormat="1" ht="15" customHeight="1">
      <c r="A3" s="2" t="s">
        <v>285</v>
      </c>
      <c r="B3" s="196"/>
      <c r="C3" s="196"/>
      <c r="D3" s="196"/>
      <c r="E3" s="196"/>
      <c r="F3" s="196" t="s">
        <v>20</v>
      </c>
      <c r="G3"/>
      <c r="H3"/>
      <c r="I3"/>
      <c r="J3"/>
      <c r="K3"/>
      <c r="L3" s="118"/>
      <c r="M3" s="109"/>
      <c r="N3" s="120"/>
      <c r="O3" s="29"/>
      <c r="P3" s="29"/>
      <c r="Q3" s="29"/>
    </row>
    <row r="4" spans="1:17" s="1" customFormat="1" ht="15" customHeight="1">
      <c r="A4"/>
      <c r="B4"/>
      <c r="C4"/>
      <c r="D4"/>
      <c r="E4"/>
      <c r="F4"/>
      <c r="G4"/>
      <c r="H4"/>
      <c r="I4"/>
      <c r="J4"/>
      <c r="K4"/>
      <c r="L4" s="118"/>
      <c r="M4" s="109"/>
      <c r="N4" s="120"/>
      <c r="O4" s="29"/>
      <c r="P4" s="29"/>
      <c r="Q4" s="29"/>
    </row>
    <row r="5" spans="1:17" s="1" customFormat="1" ht="15" customHeight="1">
      <c r="A5" s="7" t="s">
        <v>371</v>
      </c>
      <c r="B5" s="195"/>
      <c r="C5" s="195"/>
      <c r="D5" s="195"/>
      <c r="E5" s="195"/>
      <c r="F5" s="195" t="s">
        <v>20</v>
      </c>
      <c r="G5"/>
      <c r="H5"/>
      <c r="I5"/>
      <c r="J5"/>
      <c r="K5"/>
      <c r="L5" s="118"/>
      <c r="M5" s="109"/>
      <c r="N5" s="120"/>
      <c r="O5" s="29"/>
      <c r="P5" s="29"/>
      <c r="Q5" s="29"/>
    </row>
    <row r="6" spans="1:17" s="1" customFormat="1" ht="15" customHeight="1">
      <c r="A6" s="13"/>
      <c r="B6" s="13"/>
      <c r="C6" s="7"/>
      <c r="D6" s="23"/>
      <c r="E6" s="24"/>
      <c r="F6" s="9"/>
      <c r="G6" s="10"/>
      <c r="H6" s="11"/>
      <c r="I6" s="12"/>
      <c r="J6" s="36"/>
      <c r="K6" s="37"/>
      <c r="L6" s="118"/>
      <c r="M6" s="109"/>
      <c r="N6" s="120"/>
      <c r="O6" s="29"/>
      <c r="P6" s="29"/>
      <c r="Q6" s="29"/>
    </row>
    <row r="7" spans="1:17" s="1" customFormat="1" ht="15" customHeight="1">
      <c r="A7" s="13" t="s">
        <v>200</v>
      </c>
      <c r="B7" s="13"/>
      <c r="C7" s="7"/>
      <c r="D7" s="23"/>
      <c r="E7" s="24"/>
      <c r="F7" s="9"/>
      <c r="G7" s="10"/>
      <c r="H7" s="11"/>
      <c r="I7" s="12"/>
      <c r="J7" s="36"/>
      <c r="K7" s="37"/>
      <c r="L7" s="118"/>
      <c r="M7" s="109"/>
      <c r="N7" s="120"/>
      <c r="O7" s="29"/>
      <c r="P7" s="29"/>
      <c r="Q7" s="29"/>
    </row>
    <row r="8" spans="1:17" s="1" customFormat="1" ht="15" customHeight="1">
      <c r="A8" s="13"/>
      <c r="B8" s="13"/>
      <c r="C8" s="7"/>
      <c r="D8" s="23"/>
      <c r="E8" s="24"/>
      <c r="F8" s="9"/>
      <c r="G8" s="10"/>
      <c r="H8" s="11"/>
      <c r="I8" s="12"/>
      <c r="J8" s="36"/>
      <c r="K8" s="37"/>
      <c r="L8" s="118"/>
      <c r="M8" s="109"/>
      <c r="N8" s="120"/>
      <c r="O8" s="29"/>
      <c r="P8" s="29"/>
      <c r="Q8" s="29"/>
    </row>
    <row r="9" spans="1:17" s="1" customFormat="1" ht="15" customHeight="1">
      <c r="A9" s="13"/>
      <c r="B9" s="13"/>
      <c r="C9" s="7"/>
      <c r="F9" s="9"/>
      <c r="G9" s="10"/>
      <c r="H9" s="11"/>
      <c r="I9" s="12"/>
      <c r="J9" s="36"/>
      <c r="K9" s="37"/>
      <c r="L9" s="118"/>
      <c r="M9" s="109"/>
      <c r="N9" s="120"/>
      <c r="O9" s="29"/>
      <c r="P9" s="29"/>
      <c r="Q9" s="29"/>
    </row>
    <row r="10" spans="1:17" s="1" customFormat="1" ht="15" customHeight="1">
      <c r="A10" s="13"/>
      <c r="B10" s="334" t="s">
        <v>438</v>
      </c>
      <c r="C10" s="334"/>
      <c r="D10" s="335" t="s">
        <v>437</v>
      </c>
      <c r="E10" s="335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29"/>
      <c r="Q10" s="29"/>
    </row>
    <row r="11" spans="1:17" s="1" customFormat="1" ht="15" customHeight="1">
      <c r="A11" s="13" t="s">
        <v>106</v>
      </c>
      <c r="B11" s="33" t="s">
        <v>190</v>
      </c>
      <c r="C11" s="33" t="s">
        <v>439</v>
      </c>
      <c r="D11" s="331" t="s">
        <v>436</v>
      </c>
      <c r="E11" s="331" t="s">
        <v>110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29"/>
      <c r="Q11" s="29"/>
    </row>
    <row r="12" spans="1:17" s="1" customFormat="1" ht="15" customHeight="1">
      <c r="A12" s="1" t="s">
        <v>111</v>
      </c>
      <c r="B12" s="345">
        <v>955460000</v>
      </c>
      <c r="C12" s="332">
        <f>B12/$B$15</f>
        <v>0.4824735857300753</v>
      </c>
      <c r="D12" s="344">
        <v>0.05649</v>
      </c>
      <c r="E12" s="342">
        <f>ROUNDUP(D12*C12,5)</f>
        <v>0.02726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29"/>
      <c r="Q12" s="29"/>
    </row>
    <row r="13" spans="1:17" s="1" customFormat="1" ht="15" customHeight="1">
      <c r="A13" s="1" t="s">
        <v>112</v>
      </c>
      <c r="B13" s="345">
        <v>0</v>
      </c>
      <c r="C13" s="332">
        <f>B13/$B$15</f>
        <v>0</v>
      </c>
      <c r="D13" s="344">
        <v>0</v>
      </c>
      <c r="E13" s="342">
        <f>D13*C13</f>
        <v>0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29"/>
      <c r="Q13" s="29"/>
    </row>
    <row r="14" spans="1:17" s="1" customFormat="1" ht="15" customHeight="1" thickBot="1">
      <c r="A14" s="1" t="s">
        <v>113</v>
      </c>
      <c r="B14" s="345">
        <v>1024876392</v>
      </c>
      <c r="C14" s="332">
        <f>B14/$B$15</f>
        <v>0.5175264142699247</v>
      </c>
      <c r="D14" s="344">
        <v>0.107</v>
      </c>
      <c r="E14" s="342">
        <f>ROUNDUP(D14*C14,5)</f>
        <v>0.055380000000000006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29"/>
      <c r="Q14" s="29"/>
    </row>
    <row r="15" spans="1:17" s="1" customFormat="1" ht="15" customHeight="1" thickBot="1">
      <c r="A15" s="333" t="s">
        <v>25</v>
      </c>
      <c r="B15" s="339">
        <f>SUM(B12:B14)</f>
        <v>1980336392</v>
      </c>
      <c r="C15" s="340">
        <f>B15/$B$15</f>
        <v>1</v>
      </c>
      <c r="D15" s="341"/>
      <c r="E15" s="343">
        <f>SUM(E12:E14)</f>
        <v>0.08264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29"/>
      <c r="Q15" s="29"/>
    </row>
    <row r="16" spans="1:17" s="1" customFormat="1" ht="15" customHeight="1">
      <c r="A16" s="21"/>
      <c r="B16" s="21"/>
      <c r="C16" s="21"/>
      <c r="D16" s="271"/>
      <c r="E16" s="22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29"/>
      <c r="Q16" s="29"/>
    </row>
    <row r="17" spans="1:17" s="1" customFormat="1" ht="15" customHeight="1">
      <c r="A17" s="272" t="s">
        <v>114</v>
      </c>
      <c r="B17" s="272"/>
      <c r="C17" s="21"/>
      <c r="D17" s="271"/>
      <c r="E17" s="22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29"/>
      <c r="Q17" s="29"/>
    </row>
    <row r="18" spans="1:17" s="1" customFormat="1" ht="15" customHeight="1">
      <c r="A18" s="21"/>
      <c r="B18" s="21"/>
      <c r="C18" s="21"/>
      <c r="D18" s="271"/>
      <c r="E18" s="22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29"/>
    </row>
    <row r="19" spans="1:17" s="1" customFormat="1" ht="15" customHeight="1" thickBot="1">
      <c r="A19" s="21" t="s">
        <v>293</v>
      </c>
      <c r="B19" s="21"/>
      <c r="C19" s="21"/>
      <c r="D19" s="25">
        <v>0.35</v>
      </c>
      <c r="F19" s="198"/>
      <c r="G19" s="336"/>
      <c r="H19" s="15"/>
      <c r="I19" s="15"/>
      <c r="J19" s="15"/>
      <c r="K19" s="15"/>
      <c r="L19" s="15"/>
      <c r="M19" s="15"/>
      <c r="N19" s="15"/>
      <c r="O19" s="15"/>
      <c r="P19" s="29"/>
      <c r="Q19" s="29"/>
    </row>
    <row r="20" spans="1:17" s="1" customFormat="1" ht="16.5" thickBot="1">
      <c r="A20" s="21" t="s">
        <v>360</v>
      </c>
      <c r="B20" s="21"/>
      <c r="C20" s="21"/>
      <c r="D20" s="21"/>
      <c r="E20" s="343">
        <f>(E15-(D12*(B12/B15)))*(D19/(1-D19))</f>
        <v>0.029822728461135102</v>
      </c>
      <c r="F20" s="144"/>
      <c r="G20" s="15"/>
      <c r="H20" s="15"/>
      <c r="I20" s="15"/>
      <c r="J20" s="15"/>
      <c r="K20" s="15"/>
      <c r="L20" s="15"/>
      <c r="M20" s="15"/>
      <c r="N20" s="15"/>
      <c r="O20" s="15"/>
      <c r="P20" s="29"/>
      <c r="Q20" s="29"/>
    </row>
    <row r="21" spans="1:17" s="1" customFormat="1" ht="15.75">
      <c r="A21" s="295" t="s">
        <v>440</v>
      </c>
      <c r="B21" s="295"/>
      <c r="C21" s="295"/>
      <c r="D21" s="295"/>
      <c r="E21" s="295"/>
      <c r="F21" s="145"/>
      <c r="G21" s="15"/>
      <c r="H21" s="15"/>
      <c r="I21" s="15"/>
      <c r="J21" s="15"/>
      <c r="K21" s="15"/>
      <c r="L21" s="15"/>
      <c r="M21" s="15"/>
      <c r="N21" s="15"/>
      <c r="O21" s="15"/>
      <c r="P21" s="29"/>
      <c r="Q21" s="29"/>
    </row>
    <row r="22" spans="1:17" s="1" customFormat="1" ht="18" customHeight="1" thickBot="1">
      <c r="A22" s="285"/>
      <c r="B22" s="286"/>
      <c r="C22" s="21"/>
      <c r="D22" s="271"/>
      <c r="E22" s="22"/>
      <c r="F22" s="145"/>
      <c r="G22" s="15"/>
      <c r="H22" s="15"/>
      <c r="I22" s="15"/>
      <c r="J22" s="15"/>
      <c r="K22" s="15"/>
      <c r="L22" s="15"/>
      <c r="M22" s="15"/>
      <c r="N22" s="15"/>
      <c r="O22" s="15"/>
      <c r="P22" s="29"/>
      <c r="Q22" s="29"/>
    </row>
    <row r="23" spans="1:17" s="1" customFormat="1" ht="18" customHeight="1" thickBot="1">
      <c r="A23" s="139" t="s">
        <v>116</v>
      </c>
      <c r="B23" s="286"/>
      <c r="C23" s="21"/>
      <c r="D23" s="271"/>
      <c r="E23" s="343">
        <f>E15+E20</f>
        <v>0.11246272846113511</v>
      </c>
      <c r="F23" s="145"/>
      <c r="G23" s="15"/>
      <c r="H23" s="15"/>
      <c r="I23" s="15"/>
      <c r="J23" s="15"/>
      <c r="K23" s="15"/>
      <c r="L23" s="15"/>
      <c r="M23" s="15"/>
      <c r="N23" s="15"/>
      <c r="O23" s="15"/>
      <c r="P23" s="29"/>
      <c r="Q23" s="29"/>
    </row>
    <row r="24" spans="1:17" s="1" customFormat="1" ht="18" customHeight="1">
      <c r="A24" s="286" t="s">
        <v>361</v>
      </c>
      <c r="B24" s="286"/>
      <c r="C24" s="21"/>
      <c r="D24" s="271"/>
      <c r="E24" s="22"/>
      <c r="F24" s="145"/>
      <c r="G24" s="15"/>
      <c r="H24" s="15"/>
      <c r="I24" s="15"/>
      <c r="J24" s="15"/>
      <c r="K24" s="15"/>
      <c r="L24" s="15"/>
      <c r="M24" s="15"/>
      <c r="N24" s="15"/>
      <c r="O24" s="15"/>
      <c r="P24" s="29"/>
      <c r="Q24" s="29"/>
    </row>
    <row r="25" spans="3:17" s="21" customFormat="1" ht="15" customHeight="1">
      <c r="C25" s="26"/>
      <c r="D25" s="27"/>
      <c r="E25" s="28"/>
      <c r="F25" s="16"/>
      <c r="G25" s="19"/>
      <c r="H25" s="20"/>
      <c r="I25" s="20"/>
      <c r="J25" s="20"/>
      <c r="K25" s="20"/>
      <c r="L25" s="56"/>
      <c r="M25" s="56"/>
      <c r="N25" s="57"/>
      <c r="O25" s="65"/>
      <c r="P25" s="65"/>
      <c r="Q25" s="65"/>
    </row>
    <row r="26" spans="1:8" ht="15" customHeight="1" thickBot="1">
      <c r="A26" s="272" t="s">
        <v>362</v>
      </c>
      <c r="B26" s="272"/>
      <c r="C26" s="21"/>
      <c r="D26" s="271"/>
      <c r="E26" s="187" t="s">
        <v>25</v>
      </c>
      <c r="F26" s="188" t="s">
        <v>26</v>
      </c>
      <c r="G26" s="188" t="s">
        <v>27</v>
      </c>
      <c r="H26" s="188" t="s">
        <v>28</v>
      </c>
    </row>
    <row r="27" spans="1:4" ht="15" customHeight="1" thickTop="1">
      <c r="A27" s="139"/>
      <c r="B27" s="139"/>
      <c r="C27" s="139"/>
      <c r="D27" s="139"/>
    </row>
    <row r="28" spans="1:8" ht="15" customHeight="1">
      <c r="A28" s="139" t="s">
        <v>115</v>
      </c>
      <c r="B28" s="139"/>
      <c r="C28" s="139"/>
      <c r="D28" s="139"/>
      <c r="E28" s="337">
        <f>'Sch 1- Rate Base '!F139</f>
        <v>1577410526.375</v>
      </c>
      <c r="F28" s="337">
        <f>'Sch 1- Rate Base '!G139</f>
        <v>696580669.3646886</v>
      </c>
      <c r="G28" s="337">
        <f>'Sch 1- Rate Base '!H139</f>
        <v>263933190.03576028</v>
      </c>
      <c r="H28" s="337">
        <f>'Sch 1- Rate Base '!I139</f>
        <v>464834029.8995575</v>
      </c>
    </row>
    <row r="29" spans="1:4" ht="15" customHeight="1">
      <c r="A29" s="139"/>
      <c r="B29" s="139"/>
      <c r="C29" s="139"/>
      <c r="D29" s="139"/>
    </row>
    <row r="30" spans="1:8" ht="15" customHeight="1">
      <c r="A30" s="273" t="s">
        <v>365</v>
      </c>
      <c r="B30" s="273"/>
      <c r="C30" s="273"/>
      <c r="D30" s="273"/>
      <c r="E30" s="338">
        <f>E28*$E$23</f>
        <v>177399891.69944784</v>
      </c>
      <c r="F30" s="338">
        <f>F28*$E$23</f>
        <v>78339362.67003672</v>
      </c>
      <c r="G30" s="338">
        <f>G28*$E$23</f>
        <v>29682646.68287288</v>
      </c>
      <c r="H30" s="338">
        <f>H28*$E$23</f>
        <v>52276503.284089096</v>
      </c>
    </row>
    <row r="31" ht="15" customHeight="1">
      <c r="A31" s="284" t="s">
        <v>294</v>
      </c>
    </row>
    <row r="34" ht="15" customHeight="1"/>
    <row r="35" ht="15" customHeight="1">
      <c r="A35" s="131"/>
    </row>
    <row r="36" ht="15.75">
      <c r="A36" s="132"/>
    </row>
    <row r="37" ht="15.75">
      <c r="A37" s="2"/>
    </row>
    <row r="38" ht="15.75">
      <c r="A38" s="2"/>
    </row>
    <row r="39" ht="15.75">
      <c r="A39" s="7"/>
    </row>
    <row r="40" spans="1:9" ht="18.75">
      <c r="A40"/>
      <c r="B40"/>
      <c r="C40"/>
      <c r="D40"/>
      <c r="E40"/>
      <c r="F40"/>
      <c r="G40" s="30"/>
      <c r="H40" s="30"/>
      <c r="I40" s="30"/>
    </row>
    <row r="41" spans="1:9" ht="15.75">
      <c r="A41"/>
      <c r="B41"/>
      <c r="C41"/>
      <c r="D41"/>
      <c r="E41"/>
      <c r="F41"/>
      <c r="G41" s="33"/>
      <c r="H41" s="33"/>
      <c r="I41" s="33"/>
    </row>
    <row r="42" spans="1:9" ht="15.75">
      <c r="A42"/>
      <c r="B42"/>
      <c r="C42"/>
      <c r="D42"/>
      <c r="E42"/>
      <c r="F42"/>
      <c r="G42" s="6"/>
      <c r="H42" s="34"/>
      <c r="I42" s="35"/>
    </row>
    <row r="43" spans="1:6" ht="15.75">
      <c r="A43"/>
      <c r="B43"/>
      <c r="C43"/>
      <c r="D43"/>
      <c r="E43"/>
      <c r="F43"/>
    </row>
    <row r="44" spans="1:6" ht="15.75">
      <c r="A44"/>
      <c r="B44"/>
      <c r="C44"/>
      <c r="D44"/>
      <c r="E44"/>
      <c r="F44"/>
    </row>
    <row r="45" spans="1:5" ht="15.75">
      <c r="A45"/>
      <c r="B45"/>
      <c r="C45"/>
      <c r="D45"/>
      <c r="E45"/>
    </row>
    <row r="46" spans="1:5" ht="15.75">
      <c r="A46"/>
      <c r="B46"/>
      <c r="C46"/>
      <c r="D46"/>
      <c r="E46"/>
    </row>
    <row r="47" spans="1:5" ht="15.75">
      <c r="A47"/>
      <c r="B47"/>
      <c r="C47"/>
      <c r="D47"/>
      <c r="E47"/>
    </row>
    <row r="48" spans="1:5" ht="15.75">
      <c r="A48"/>
      <c r="B48"/>
      <c r="C48"/>
      <c r="D48"/>
      <c r="E48"/>
    </row>
    <row r="49" spans="1:5" ht="15.75">
      <c r="A49"/>
      <c r="B49"/>
      <c r="C49"/>
      <c r="D49"/>
      <c r="E49"/>
    </row>
    <row r="50" spans="1:5" ht="15.75">
      <c r="A50"/>
      <c r="B50"/>
      <c r="C50"/>
      <c r="D50"/>
      <c r="E50"/>
    </row>
    <row r="51" spans="1:5" ht="15.75">
      <c r="A51"/>
      <c r="B51"/>
      <c r="C51"/>
      <c r="D51"/>
      <c r="E51"/>
    </row>
    <row r="52" spans="1:5" ht="15.75">
      <c r="A52"/>
      <c r="B52"/>
      <c r="C52"/>
      <c r="D52"/>
      <c r="E52"/>
    </row>
    <row r="53" spans="1:5" ht="15.75">
      <c r="A53"/>
      <c r="B53"/>
      <c r="C53"/>
      <c r="D53"/>
      <c r="E53"/>
    </row>
    <row r="54" spans="1:5" ht="15.75">
      <c r="A54"/>
      <c r="B54"/>
      <c r="C54"/>
      <c r="D54"/>
      <c r="E54"/>
    </row>
    <row r="55" spans="1:5" ht="15.75">
      <c r="A55"/>
      <c r="B55"/>
      <c r="C55"/>
      <c r="D55"/>
      <c r="E55"/>
    </row>
    <row r="56" spans="1:5" ht="15.75">
      <c r="A56"/>
      <c r="B56"/>
      <c r="C56"/>
      <c r="D56"/>
      <c r="E56"/>
    </row>
    <row r="57" spans="1:5" ht="15.75">
      <c r="A57"/>
      <c r="B57"/>
      <c r="C57"/>
      <c r="D57"/>
      <c r="E57"/>
    </row>
    <row r="58" spans="1:5" ht="15.75">
      <c r="A58"/>
      <c r="B58"/>
      <c r="C58"/>
      <c r="D58"/>
      <c r="E58"/>
    </row>
    <row r="59" spans="1:5" ht="15.75">
      <c r="A59"/>
      <c r="B59"/>
      <c r="C59"/>
      <c r="D59"/>
      <c r="E59"/>
    </row>
  </sheetData>
  <mergeCells count="3">
    <mergeCell ref="D10:E10"/>
    <mergeCell ref="B10:C10"/>
    <mergeCell ref="A21:E21"/>
  </mergeCells>
  <printOptions horizontalCentered="1"/>
  <pageMargins left="0.2" right="0.28" top="0.25" bottom="0.5" header="0.25" footer="0.25"/>
  <pageSetup fitToHeight="1" fitToWidth="1" horizontalDpi="600" verticalDpi="600" orientation="landscape" paperSize="9" r:id="rId1"/>
  <headerFooter alignWithMargins="0">
    <oddHeader>&amp;RDraft FRN Template</oddHeader>
    <oddFooter>&amp;L&amp;F&amp;CPage &amp;P of &amp;N&amp;R&amp;D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103"/>
  <sheetViews>
    <sheetView zoomScale="75" zoomScaleNormal="75" workbookViewId="0" topLeftCell="A51">
      <selection activeCell="M84" sqref="M84"/>
    </sheetView>
  </sheetViews>
  <sheetFormatPr defaultColWidth="9.00390625" defaultRowHeight="15.75"/>
  <cols>
    <col min="1" max="1" width="5.375" style="15" customWidth="1"/>
    <col min="2" max="2" width="50.625" style="15" customWidth="1"/>
    <col min="3" max="4" width="5.25390625" style="15" customWidth="1"/>
    <col min="5" max="5" width="7.75390625" style="15" bestFit="1" customWidth="1"/>
    <col min="6" max="6" width="10.875" style="299" customWidth="1"/>
    <col min="7" max="7" width="10.25390625" style="15" customWidth="1"/>
    <col min="8" max="8" width="12.625" style="15" customWidth="1"/>
    <col min="9" max="9" width="12.50390625" style="15" customWidth="1"/>
    <col min="10" max="10" width="10.125" style="15" bestFit="1" customWidth="1"/>
    <col min="11" max="16384" width="9.00390625" style="15" customWidth="1"/>
  </cols>
  <sheetData>
    <row r="1" spans="7:9" ht="15.75">
      <c r="G1" s="15">
        <v>2</v>
      </c>
      <c r="H1" s="15">
        <v>3</v>
      </c>
      <c r="I1" s="15">
        <v>4</v>
      </c>
    </row>
    <row r="2" spans="1:9" ht="18.75">
      <c r="A2" s="131" t="s">
        <v>107</v>
      </c>
      <c r="B2" s="131"/>
      <c r="C2" s="131"/>
      <c r="D2" s="131"/>
      <c r="E2" s="131"/>
      <c r="F2" s="300"/>
      <c r="G2" s="131"/>
      <c r="H2" s="131"/>
      <c r="I2" s="131"/>
    </row>
    <row r="3" spans="1:9" ht="15.75">
      <c r="A3" s="132" t="s">
        <v>109</v>
      </c>
      <c r="B3" s="132"/>
      <c r="C3" s="132"/>
      <c r="D3" s="132"/>
      <c r="E3" s="132"/>
      <c r="F3" s="300"/>
      <c r="G3" s="132"/>
      <c r="H3" s="132"/>
      <c r="I3" s="132"/>
    </row>
    <row r="4" spans="1:9" ht="15.75">
      <c r="A4" s="2" t="s">
        <v>285</v>
      </c>
      <c r="B4" s="2"/>
      <c r="C4" s="3"/>
      <c r="D4" s="3"/>
      <c r="E4" s="4"/>
      <c r="F4" s="301"/>
      <c r="G4" s="6"/>
      <c r="H4" s="34"/>
      <c r="I4" s="35"/>
    </row>
    <row r="5" spans="1:9" ht="15.75">
      <c r="A5" s="2"/>
      <c r="B5" s="2"/>
      <c r="C5" s="3"/>
      <c r="D5" s="3"/>
      <c r="E5" s="4"/>
      <c r="F5" s="301"/>
      <c r="G5" s="6"/>
      <c r="H5" s="34"/>
      <c r="I5" s="35"/>
    </row>
    <row r="6" spans="1:9" ht="15.75">
      <c r="A6" s="7" t="s">
        <v>144</v>
      </c>
      <c r="B6" s="8"/>
      <c r="C6" s="9"/>
      <c r="D6" s="9"/>
      <c r="E6" s="10"/>
      <c r="F6" s="301"/>
      <c r="G6" s="12"/>
      <c r="H6" s="36"/>
      <c r="I6" s="37"/>
    </row>
    <row r="7" spans="1:9" ht="15.75">
      <c r="A7" s="199"/>
      <c r="B7" s="200" t="s">
        <v>10</v>
      </c>
      <c r="C7" s="201"/>
      <c r="D7" s="180" t="s">
        <v>11</v>
      </c>
      <c r="E7" s="178" t="s">
        <v>12</v>
      </c>
      <c r="F7" s="302" t="s">
        <v>13</v>
      </c>
      <c r="G7" s="182" t="s">
        <v>14</v>
      </c>
      <c r="H7" s="182" t="s">
        <v>15</v>
      </c>
      <c r="I7" s="182" t="s">
        <v>16</v>
      </c>
    </row>
    <row r="8" spans="1:9" ht="15.75">
      <c r="A8" s="178"/>
      <c r="B8" s="178"/>
      <c r="C8" s="179" t="s">
        <v>199</v>
      </c>
      <c r="D8" s="180" t="s">
        <v>18</v>
      </c>
      <c r="E8" s="178" t="s">
        <v>19</v>
      </c>
      <c r="F8" s="302" t="s">
        <v>20</v>
      </c>
      <c r="G8" s="182"/>
      <c r="H8" s="182"/>
      <c r="I8" s="182" t="s">
        <v>21</v>
      </c>
    </row>
    <row r="9" spans="1:9" ht="16.5" thickBot="1">
      <c r="A9" s="202"/>
      <c r="B9" s="183" t="s">
        <v>23</v>
      </c>
      <c r="C9" s="184" t="s">
        <v>123</v>
      </c>
      <c r="D9" s="185" t="s">
        <v>337</v>
      </c>
      <c r="E9" s="186" t="s">
        <v>24</v>
      </c>
      <c r="F9" s="303" t="s">
        <v>25</v>
      </c>
      <c r="G9" s="188" t="s">
        <v>26</v>
      </c>
      <c r="H9" s="188" t="s">
        <v>27</v>
      </c>
      <c r="I9" s="188" t="s">
        <v>28</v>
      </c>
    </row>
    <row r="10" spans="1:9" ht="16.5" thickTop="1">
      <c r="A10" s="95" t="s">
        <v>157</v>
      </c>
      <c r="B10" s="84"/>
      <c r="C10" s="46"/>
      <c r="D10" s="46"/>
      <c r="E10" s="70"/>
      <c r="F10" s="304"/>
      <c r="G10" s="54"/>
      <c r="H10" s="54"/>
      <c r="I10" s="54"/>
    </row>
    <row r="11" spans="1:9" ht="15.75">
      <c r="A11" s="136"/>
      <c r="B11" s="203" t="s">
        <v>158</v>
      </c>
      <c r="C11" s="136"/>
      <c r="D11" s="136"/>
      <c r="E11" s="171"/>
      <c r="F11" s="304"/>
      <c r="G11" s="54"/>
      <c r="H11" s="54"/>
      <c r="I11" s="54"/>
    </row>
    <row r="12" spans="1:9" ht="15.75">
      <c r="A12" s="38"/>
      <c r="B12" s="204" t="s">
        <v>349</v>
      </c>
      <c r="C12" s="164" t="s">
        <v>127</v>
      </c>
      <c r="D12" s="136">
        <v>501</v>
      </c>
      <c r="E12" s="171" t="s">
        <v>3</v>
      </c>
      <c r="F12" s="358">
        <v>25443765</v>
      </c>
      <c r="G12" s="296">
        <f>VLOOKUP($E12,Ratio,2,FALSE)*$F12</f>
        <v>25443765</v>
      </c>
      <c r="H12" s="296">
        <f>VLOOKUP($E12,Ratio,3,FALSE)*$F12</f>
        <v>0</v>
      </c>
      <c r="I12" s="296">
        <f>VLOOKUP($E12,Ratio,4,FALSE)*$F12</f>
        <v>0</v>
      </c>
    </row>
    <row r="13" spans="1:9" ht="15.75">
      <c r="A13" s="46"/>
      <c r="B13" s="204" t="s">
        <v>350</v>
      </c>
      <c r="C13" s="164" t="s">
        <v>127</v>
      </c>
      <c r="D13" s="136" t="s">
        <v>151</v>
      </c>
      <c r="E13" s="171" t="s">
        <v>3</v>
      </c>
      <c r="F13" s="358">
        <v>4589062</v>
      </c>
      <c r="G13" s="296">
        <f>VLOOKUP($E13,Ratio,2,FALSE)*$F13</f>
        <v>4589062</v>
      </c>
      <c r="H13" s="296">
        <f>VLOOKUP($E13,Ratio,3,FALSE)*$F13</f>
        <v>0</v>
      </c>
      <c r="I13" s="296">
        <f>VLOOKUP($E13,Ratio,4,FALSE)*$F13</f>
        <v>0</v>
      </c>
    </row>
    <row r="14" spans="1:9" ht="15.75">
      <c r="A14" s="46"/>
      <c r="B14" s="204" t="s">
        <v>351</v>
      </c>
      <c r="C14" s="164" t="s">
        <v>127</v>
      </c>
      <c r="D14" s="136" t="s">
        <v>352</v>
      </c>
      <c r="E14" s="171" t="s">
        <v>3</v>
      </c>
      <c r="F14" s="358">
        <v>8150550</v>
      </c>
      <c r="G14" s="296">
        <f>VLOOKUP($E14,Ratio,2,FALSE)*$F14</f>
        <v>8150550</v>
      </c>
      <c r="H14" s="296">
        <f>VLOOKUP($E14,Ratio,3,FALSE)*$F14</f>
        <v>0</v>
      </c>
      <c r="I14" s="296">
        <f>VLOOKUP($E14,Ratio,4,FALSE)*$F14</f>
        <v>0</v>
      </c>
    </row>
    <row r="15" spans="1:9" ht="15.75">
      <c r="A15" s="46"/>
      <c r="B15" s="192" t="s">
        <v>159</v>
      </c>
      <c r="C15" s="164"/>
      <c r="D15" s="136"/>
      <c r="E15" s="174"/>
      <c r="G15" s="55"/>
      <c r="H15" s="55"/>
      <c r="I15" s="55"/>
    </row>
    <row r="16" spans="1:9" ht="15.75">
      <c r="A16" s="38"/>
      <c r="B16" s="204" t="s">
        <v>147</v>
      </c>
      <c r="C16" s="164" t="s">
        <v>127</v>
      </c>
      <c r="D16" s="136">
        <v>518</v>
      </c>
      <c r="E16" s="171" t="s">
        <v>3</v>
      </c>
      <c r="F16" s="358">
        <v>0</v>
      </c>
      <c r="G16" s="296">
        <f>VLOOKUP($E16,Ratio,2,FALSE)*$F16</f>
        <v>0</v>
      </c>
      <c r="H16" s="296">
        <f>VLOOKUP($E16,Ratio,3,FALSE)*$F16</f>
        <v>0</v>
      </c>
      <c r="I16" s="296">
        <f>VLOOKUP($E16,Ratio,4,FALSE)*$F16</f>
        <v>0</v>
      </c>
    </row>
    <row r="17" spans="1:9" ht="15.75">
      <c r="A17" s="46"/>
      <c r="B17" s="170" t="s">
        <v>354</v>
      </c>
      <c r="C17" s="164" t="s">
        <v>127</v>
      </c>
      <c r="D17" s="136" t="s">
        <v>152</v>
      </c>
      <c r="E17" s="171" t="s">
        <v>3</v>
      </c>
      <c r="F17" s="358">
        <v>0</v>
      </c>
      <c r="G17" s="296">
        <f>VLOOKUP($E17,Ratio,2,FALSE)*$F17</f>
        <v>0</v>
      </c>
      <c r="H17" s="296">
        <f>VLOOKUP($E17,Ratio,3,FALSE)*$F17</f>
        <v>0</v>
      </c>
      <c r="I17" s="296">
        <f>VLOOKUP($E17,Ratio,4,FALSE)*$F17</f>
        <v>0</v>
      </c>
    </row>
    <row r="18" spans="1:9" ht="15.75">
      <c r="A18" s="46"/>
      <c r="B18" s="141" t="s">
        <v>72</v>
      </c>
      <c r="C18" s="164" t="s">
        <v>127</v>
      </c>
      <c r="D18" s="136" t="s">
        <v>73</v>
      </c>
      <c r="E18" s="174" t="s">
        <v>3</v>
      </c>
      <c r="F18" s="358">
        <v>0</v>
      </c>
      <c r="G18" s="296">
        <f>VLOOKUP($E18,Ratio,2,FALSE)*$F18</f>
        <v>0</v>
      </c>
      <c r="H18" s="296">
        <f>VLOOKUP($E18,Ratio,3,FALSE)*$F18</f>
        <v>0</v>
      </c>
      <c r="I18" s="296">
        <f>VLOOKUP($E18,Ratio,4,FALSE)*$F18</f>
        <v>0</v>
      </c>
    </row>
    <row r="19" spans="1:9" ht="15.75">
      <c r="A19" s="46"/>
      <c r="B19" s="192" t="s">
        <v>160</v>
      </c>
      <c r="C19" s="164"/>
      <c r="D19" s="136"/>
      <c r="E19" s="174"/>
      <c r="G19" s="55"/>
      <c r="H19" s="55"/>
      <c r="I19" s="55"/>
    </row>
    <row r="20" spans="1:9" ht="15.75">
      <c r="A20" s="46"/>
      <c r="B20" s="170" t="s">
        <v>148</v>
      </c>
      <c r="C20" s="164" t="s">
        <v>127</v>
      </c>
      <c r="D20" s="136" t="s">
        <v>74</v>
      </c>
      <c r="E20" s="174" t="s">
        <v>3</v>
      </c>
      <c r="F20" s="358">
        <v>10915413</v>
      </c>
      <c r="G20" s="296">
        <f>VLOOKUP($E20,Ratio,2,FALSE)*$F20</f>
        <v>10915413</v>
      </c>
      <c r="H20" s="296">
        <f>VLOOKUP($E20,Ratio,3,FALSE)*$F20</f>
        <v>0</v>
      </c>
      <c r="I20" s="296">
        <f>VLOOKUP($E20,Ratio,4,FALSE)*$F20</f>
        <v>0</v>
      </c>
    </row>
    <row r="21" spans="1:9" ht="15.75">
      <c r="A21" s="46"/>
      <c r="B21" s="170" t="s">
        <v>149</v>
      </c>
      <c r="C21" s="164" t="s">
        <v>127</v>
      </c>
      <c r="D21" s="136" t="s">
        <v>75</v>
      </c>
      <c r="E21" s="174" t="s">
        <v>3</v>
      </c>
      <c r="F21" s="358">
        <v>3988076</v>
      </c>
      <c r="G21" s="296">
        <f>VLOOKUP($E21,Ratio,2,FALSE)*$F21</f>
        <v>3988076</v>
      </c>
      <c r="H21" s="296">
        <f>VLOOKUP($E21,Ratio,3,FALSE)*$F21</f>
        <v>0</v>
      </c>
      <c r="I21" s="296">
        <f>VLOOKUP($E21,Ratio,4,FALSE)*$F21</f>
        <v>0</v>
      </c>
    </row>
    <row r="22" spans="1:9" ht="15.75">
      <c r="A22" s="46"/>
      <c r="B22" s="192" t="s">
        <v>161</v>
      </c>
      <c r="C22" s="164"/>
      <c r="D22" s="136"/>
      <c r="E22" s="174"/>
      <c r="G22" s="55"/>
      <c r="H22" s="55"/>
      <c r="I22" s="55"/>
    </row>
    <row r="23" spans="1:9" ht="15.75">
      <c r="A23" s="38"/>
      <c r="B23" s="204" t="s">
        <v>150</v>
      </c>
      <c r="C23" s="164" t="s">
        <v>127</v>
      </c>
      <c r="D23" s="136">
        <v>547</v>
      </c>
      <c r="E23" s="171" t="s">
        <v>3</v>
      </c>
      <c r="F23" s="358">
        <v>85535646</v>
      </c>
      <c r="G23" s="296">
        <f>VLOOKUP($E23,Ratio,2,FALSE)*$F23</f>
        <v>85535646</v>
      </c>
      <c r="H23" s="296">
        <f>VLOOKUP($E23,Ratio,3,FALSE)*$F23</f>
        <v>0</v>
      </c>
      <c r="I23" s="296">
        <f>VLOOKUP($E23,Ratio,4,FALSE)*$F23</f>
        <v>0</v>
      </c>
    </row>
    <row r="24" spans="1:9" ht="15.75">
      <c r="A24" s="46"/>
      <c r="B24" s="170" t="s">
        <v>353</v>
      </c>
      <c r="C24" s="164" t="s">
        <v>127</v>
      </c>
      <c r="D24" s="136" t="s">
        <v>153</v>
      </c>
      <c r="E24" s="174" t="s">
        <v>3</v>
      </c>
      <c r="F24" s="358">
        <v>3397473</v>
      </c>
      <c r="G24" s="296">
        <f>VLOOKUP($E24,Ratio,2,FALSE)*$F24</f>
        <v>3397473</v>
      </c>
      <c r="H24" s="296">
        <f>VLOOKUP($E24,Ratio,3,FALSE)*$F24</f>
        <v>0</v>
      </c>
      <c r="I24" s="296">
        <f>VLOOKUP($E24,Ratio,4,FALSE)*$F24</f>
        <v>0</v>
      </c>
    </row>
    <row r="25" spans="1:9" ht="15.75">
      <c r="A25" s="46"/>
      <c r="B25" s="170" t="s">
        <v>355</v>
      </c>
      <c r="C25" s="164" t="s">
        <v>127</v>
      </c>
      <c r="D25" s="136" t="s">
        <v>154</v>
      </c>
      <c r="E25" s="174" t="s">
        <v>3</v>
      </c>
      <c r="F25" s="358">
        <v>1033178</v>
      </c>
      <c r="G25" s="296">
        <f>VLOOKUP($E25,Ratio,2,FALSE)*$F25</f>
        <v>1033178</v>
      </c>
      <c r="H25" s="296">
        <f>VLOOKUP($E25,Ratio,3,FALSE)*$F25</f>
        <v>0</v>
      </c>
      <c r="I25" s="296">
        <f>VLOOKUP($E25,Ratio,4,FALSE)*$F25</f>
        <v>0</v>
      </c>
    </row>
    <row r="26" spans="1:9" ht="15.75">
      <c r="A26" s="46"/>
      <c r="B26" s="192" t="s">
        <v>155</v>
      </c>
      <c r="C26" s="164"/>
      <c r="D26" s="136"/>
      <c r="E26" s="174"/>
      <c r="G26" s="55"/>
      <c r="H26" s="55"/>
      <c r="I26" s="55"/>
    </row>
    <row r="27" spans="1:9" ht="15.75">
      <c r="A27" s="42"/>
      <c r="B27" s="166" t="s">
        <v>356</v>
      </c>
      <c r="C27" s="164" t="s">
        <v>127</v>
      </c>
      <c r="D27" s="164">
        <v>555</v>
      </c>
      <c r="E27" s="169" t="s">
        <v>3</v>
      </c>
      <c r="F27" s="358">
        <v>200083219</v>
      </c>
      <c r="G27" s="296">
        <f>VLOOKUP($E27,Ratio,2,FALSE)*$F27</f>
        <v>200083219</v>
      </c>
      <c r="H27" s="296">
        <f>VLOOKUP($E27,Ratio,3,FALSE)*$F27</f>
        <v>0</v>
      </c>
      <c r="I27" s="296">
        <f>VLOOKUP($E27,Ratio,4,FALSE)*$F27</f>
        <v>0</v>
      </c>
    </row>
    <row r="28" spans="1:9" ht="15.75">
      <c r="A28" s="46"/>
      <c r="B28" s="168" t="s">
        <v>156</v>
      </c>
      <c r="C28" s="164" t="s">
        <v>127</v>
      </c>
      <c r="D28" s="164">
        <v>556</v>
      </c>
      <c r="E28" s="167" t="s">
        <v>3</v>
      </c>
      <c r="F28" s="358">
        <v>638755</v>
      </c>
      <c r="G28" s="296">
        <f>VLOOKUP($E28,Ratio,2,FALSE)*$F28</f>
        <v>638755</v>
      </c>
      <c r="H28" s="296">
        <f>VLOOKUP($E28,Ratio,3,FALSE)*$F28</f>
        <v>0</v>
      </c>
      <c r="I28" s="296">
        <f>VLOOKUP($E28,Ratio,4,FALSE)*$F28</f>
        <v>0</v>
      </c>
    </row>
    <row r="29" spans="1:9" ht="15.75">
      <c r="A29" s="46"/>
      <c r="B29" s="168" t="s">
        <v>357</v>
      </c>
      <c r="C29" s="164" t="s">
        <v>127</v>
      </c>
      <c r="D29" s="164">
        <v>557</v>
      </c>
      <c r="E29" s="167" t="s">
        <v>3</v>
      </c>
      <c r="F29" s="358">
        <v>87233654</v>
      </c>
      <c r="G29" s="296">
        <f>VLOOKUP($E29,Ratio,2,FALSE)*$F29</f>
        <v>87233654</v>
      </c>
      <c r="H29" s="296">
        <f>VLOOKUP($E29,Ratio,3,FALSE)*$F29</f>
        <v>0</v>
      </c>
      <c r="I29" s="296">
        <f>VLOOKUP($E29,Ratio,4,FALSE)*$F29</f>
        <v>0</v>
      </c>
    </row>
    <row r="30" spans="1:9" ht="15.75">
      <c r="A30" s="41"/>
      <c r="B30" s="166" t="s">
        <v>105</v>
      </c>
      <c r="C30" s="164">
        <v>327</v>
      </c>
      <c r="D30" s="164">
        <v>555</v>
      </c>
      <c r="E30" s="169" t="s">
        <v>3</v>
      </c>
      <c r="F30" s="358">
        <v>0</v>
      </c>
      <c r="G30" s="296">
        <f>VLOOKUP($E30,Ratio,2,FALSE)*$F30</f>
        <v>0</v>
      </c>
      <c r="H30" s="296">
        <f>VLOOKUP($E30,Ratio,3,FALSE)*$F30</f>
        <v>0</v>
      </c>
      <c r="I30" s="296">
        <f>VLOOKUP($E30,Ratio,4,FALSE)*$F30</f>
        <v>0</v>
      </c>
    </row>
    <row r="31" spans="1:9" ht="15.75">
      <c r="A31" s="41"/>
      <c r="B31" s="168" t="s">
        <v>373</v>
      </c>
      <c r="C31" s="164"/>
      <c r="D31" s="18"/>
      <c r="E31" s="167" t="s">
        <v>5</v>
      </c>
      <c r="F31" s="357"/>
      <c r="G31" s="350"/>
      <c r="H31" s="350"/>
      <c r="I31" s="350"/>
    </row>
    <row r="32" spans="1:9" ht="15.75">
      <c r="A32" s="247" t="s">
        <v>76</v>
      </c>
      <c r="B32" s="190"/>
      <c r="C32" s="173"/>
      <c r="D32" s="164"/>
      <c r="E32" s="87"/>
      <c r="F32" s="352">
        <f>SUM(F12:F31)</f>
        <v>431008791</v>
      </c>
      <c r="G32" s="353">
        <f>SUM(G12:G31)</f>
        <v>431008791</v>
      </c>
      <c r="H32" s="353">
        <f>SUM(H12:H31)</f>
        <v>0</v>
      </c>
      <c r="I32" s="353">
        <f>SUM(I12:I31)</f>
        <v>0</v>
      </c>
    </row>
    <row r="33" spans="1:9" ht="15.75">
      <c r="A33" s="65"/>
      <c r="B33" s="190"/>
      <c r="C33" s="173"/>
      <c r="D33" s="164"/>
      <c r="E33" s="87"/>
      <c r="F33" s="305"/>
      <c r="G33" s="104"/>
      <c r="H33" s="104"/>
      <c r="I33" s="104"/>
    </row>
    <row r="34" spans="1:9" ht="15.75">
      <c r="A34" s="274" t="s">
        <v>372</v>
      </c>
      <c r="B34" s="190"/>
      <c r="C34" s="173"/>
      <c r="D34" s="18"/>
      <c r="E34" s="190"/>
      <c r="F34" s="305"/>
      <c r="G34" s="104"/>
      <c r="H34" s="104"/>
      <c r="I34" s="104"/>
    </row>
    <row r="35" spans="1:9" ht="15.75">
      <c r="A35" s="41"/>
      <c r="B35" s="168" t="s">
        <v>184</v>
      </c>
      <c r="C35" s="164" t="s">
        <v>127</v>
      </c>
      <c r="D35" s="18" t="s">
        <v>77</v>
      </c>
      <c r="E35" s="167" t="s">
        <v>4</v>
      </c>
      <c r="F35" s="355">
        <v>11881367</v>
      </c>
      <c r="G35" s="296">
        <f>VLOOKUP($E35,Ratio,2,FALSE)*$F35</f>
        <v>0</v>
      </c>
      <c r="H35" s="296">
        <f>VLOOKUP($E35,Ratio,3,FALSE)*$F35</f>
        <v>11881367</v>
      </c>
      <c r="I35" s="296">
        <f>VLOOKUP($E35,Ratio,4,FALSE)*$F35</f>
        <v>0</v>
      </c>
    </row>
    <row r="36" spans="1:9" ht="15.75">
      <c r="A36" s="41"/>
      <c r="B36" s="168" t="s">
        <v>162</v>
      </c>
      <c r="C36" s="164" t="s">
        <v>127</v>
      </c>
      <c r="D36" s="18" t="s">
        <v>176</v>
      </c>
      <c r="E36" s="167" t="s">
        <v>4</v>
      </c>
      <c r="F36" s="355">
        <v>4915570</v>
      </c>
      <c r="G36" s="296">
        <f>VLOOKUP($E36,Ratio,2,FALSE)*$F36</f>
        <v>0</v>
      </c>
      <c r="H36" s="296">
        <f>VLOOKUP($E36,Ratio,3,FALSE)*$F36</f>
        <v>4915570</v>
      </c>
      <c r="I36" s="296">
        <f>VLOOKUP($E36,Ratio,4,FALSE)*$F36</f>
        <v>0</v>
      </c>
    </row>
    <row r="37" spans="1:9" ht="15.75">
      <c r="A37" s="41"/>
      <c r="B37" s="168" t="s">
        <v>163</v>
      </c>
      <c r="C37" s="164" t="s">
        <v>127</v>
      </c>
      <c r="D37" s="18" t="s">
        <v>175</v>
      </c>
      <c r="E37" s="167" t="s">
        <v>4</v>
      </c>
      <c r="F37" s="355">
        <v>2750343</v>
      </c>
      <c r="G37" s="296">
        <f>VLOOKUP($E37,Ratio,2,FALSE)*$F37</f>
        <v>0</v>
      </c>
      <c r="H37" s="296">
        <f>VLOOKUP($E37,Ratio,3,FALSE)*$F37</f>
        <v>2750343</v>
      </c>
      <c r="I37" s="296">
        <f>VLOOKUP($E37,Ratio,4,FALSE)*$F37</f>
        <v>0</v>
      </c>
    </row>
    <row r="38" spans="1:9" ht="15.75">
      <c r="A38" s="247" t="s">
        <v>78</v>
      </c>
      <c r="B38" s="190"/>
      <c r="C38" s="173"/>
      <c r="D38" s="18"/>
      <c r="E38" s="190"/>
      <c r="F38" s="352">
        <f>SUM(F35:F37)</f>
        <v>19547280</v>
      </c>
      <c r="G38" s="354">
        <f>SUM(G35:G37)</f>
        <v>0</v>
      </c>
      <c r="H38" s="354">
        <f>SUM(H35:H37)</f>
        <v>19547280</v>
      </c>
      <c r="I38" s="354">
        <f>SUM(I35:I37)</f>
        <v>0</v>
      </c>
    </row>
    <row r="39" spans="1:9" ht="15.75">
      <c r="A39" s="75"/>
      <c r="B39" s="190"/>
      <c r="C39" s="173"/>
      <c r="D39" s="164"/>
      <c r="E39" s="87"/>
      <c r="F39" s="306"/>
      <c r="G39" s="104"/>
      <c r="H39" s="104"/>
      <c r="I39" s="104"/>
    </row>
    <row r="40" spans="1:9" ht="15.75">
      <c r="A40" s="274" t="s">
        <v>79</v>
      </c>
      <c r="B40" s="190"/>
      <c r="C40" s="173"/>
      <c r="D40" s="18"/>
      <c r="E40" s="190"/>
      <c r="F40" s="306"/>
      <c r="G40" s="104"/>
      <c r="H40" s="104"/>
      <c r="I40" s="104"/>
    </row>
    <row r="41" spans="1:9" ht="15.75">
      <c r="A41" s="41"/>
      <c r="B41" s="168" t="s">
        <v>164</v>
      </c>
      <c r="C41" s="164" t="s">
        <v>127</v>
      </c>
      <c r="D41" s="18" t="s">
        <v>80</v>
      </c>
      <c r="E41" s="167" t="s">
        <v>2</v>
      </c>
      <c r="F41" s="356">
        <v>9942254</v>
      </c>
      <c r="G41" s="296">
        <f>VLOOKUP($E41,Ratio,2,FALSE)*$F41</f>
        <v>0</v>
      </c>
      <c r="H41" s="296">
        <f>VLOOKUP($E41,Ratio,3,FALSE)*$F41</f>
        <v>0</v>
      </c>
      <c r="I41" s="296">
        <f>VLOOKUP($E41,Ratio,4,FALSE)*$F41</f>
        <v>9942254</v>
      </c>
    </row>
    <row r="42" spans="1:9" ht="15.75">
      <c r="A42" s="41"/>
      <c r="B42" s="168" t="s">
        <v>163</v>
      </c>
      <c r="C42" s="164" t="s">
        <v>127</v>
      </c>
      <c r="D42" s="18" t="s">
        <v>81</v>
      </c>
      <c r="E42" s="167" t="s">
        <v>2</v>
      </c>
      <c r="F42" s="356">
        <v>12626804</v>
      </c>
      <c r="G42" s="296">
        <f>VLOOKUP($E42,Ratio,2,FALSE)*$F42</f>
        <v>0</v>
      </c>
      <c r="H42" s="296">
        <f>VLOOKUP($E42,Ratio,3,FALSE)*$F42</f>
        <v>0</v>
      </c>
      <c r="I42" s="296">
        <f>VLOOKUP($E42,Ratio,4,FALSE)*$F42</f>
        <v>12626804</v>
      </c>
    </row>
    <row r="43" spans="1:9" ht="15.75">
      <c r="A43" s="247" t="s">
        <v>82</v>
      </c>
      <c r="B43" s="190"/>
      <c r="C43" s="173"/>
      <c r="D43" s="164"/>
      <c r="E43" s="87"/>
      <c r="F43" s="352">
        <f>SUM(F41:F42)</f>
        <v>22569058</v>
      </c>
      <c r="G43" s="354">
        <f>SUM(G41:G42)</f>
        <v>0</v>
      </c>
      <c r="H43" s="354">
        <f>SUM(H41:H42)</f>
        <v>0</v>
      </c>
      <c r="I43" s="354">
        <f>SUM(I41:I42)</f>
        <v>22569058</v>
      </c>
    </row>
    <row r="44" spans="1:9" ht="15.75">
      <c r="A44" s="75"/>
      <c r="B44" s="190"/>
      <c r="C44" s="164"/>
      <c r="D44" s="164"/>
      <c r="E44" s="169"/>
      <c r="F44" s="307"/>
      <c r="G44" s="64"/>
      <c r="H44" s="64"/>
      <c r="I44" s="64"/>
    </row>
    <row r="45" spans="1:9" ht="15.75">
      <c r="A45" s="274" t="s">
        <v>83</v>
      </c>
      <c r="B45" s="190"/>
      <c r="C45" s="164"/>
      <c r="D45" s="164"/>
      <c r="E45" s="169"/>
      <c r="F45" s="307"/>
      <c r="G45" s="64"/>
      <c r="H45" s="64"/>
      <c r="I45" s="64"/>
    </row>
    <row r="46" spans="1:9" ht="15.75">
      <c r="A46" s="41"/>
      <c r="B46" s="168" t="s">
        <v>165</v>
      </c>
      <c r="C46" s="164" t="s">
        <v>127</v>
      </c>
      <c r="D46" s="18" t="s">
        <v>84</v>
      </c>
      <c r="E46" s="167" t="s">
        <v>2</v>
      </c>
      <c r="F46" s="355">
        <v>13364554</v>
      </c>
      <c r="G46" s="296">
        <f>VLOOKUP($E46,Ratio,2,FALSE)*$F46</f>
        <v>0</v>
      </c>
      <c r="H46" s="296">
        <f>VLOOKUP($E46,Ratio,3,FALSE)*$F46</f>
        <v>0</v>
      </c>
      <c r="I46" s="296">
        <f>VLOOKUP($E46,Ratio,4,FALSE)*$F46</f>
        <v>13364554</v>
      </c>
    </row>
    <row r="47" spans="1:9" ht="15.75">
      <c r="A47" s="41"/>
      <c r="B47" s="168" t="s">
        <v>166</v>
      </c>
      <c r="C47" s="164" t="s">
        <v>127</v>
      </c>
      <c r="D47" s="18" t="s">
        <v>85</v>
      </c>
      <c r="E47" s="167" t="s">
        <v>2</v>
      </c>
      <c r="F47" s="355">
        <v>11564706</v>
      </c>
      <c r="G47" s="296">
        <f>VLOOKUP($E47,Ratio,2,FALSE)*$F47</f>
        <v>0</v>
      </c>
      <c r="H47" s="296">
        <f>VLOOKUP($E47,Ratio,3,FALSE)*$F47</f>
        <v>0</v>
      </c>
      <c r="I47" s="296">
        <f>VLOOKUP($E47,Ratio,4,FALSE)*$F47</f>
        <v>11564706</v>
      </c>
    </row>
    <row r="48" spans="1:9" ht="15.75">
      <c r="A48" s="41"/>
      <c r="B48" s="168" t="s">
        <v>167</v>
      </c>
      <c r="C48" s="164" t="s">
        <v>127</v>
      </c>
      <c r="D48" s="18" t="s">
        <v>86</v>
      </c>
      <c r="E48" s="167" t="s">
        <v>2</v>
      </c>
      <c r="F48" s="355">
        <v>930862</v>
      </c>
      <c r="G48" s="296">
        <f>VLOOKUP($E48,Ratio,2,FALSE)*$F48</f>
        <v>0</v>
      </c>
      <c r="H48" s="296">
        <f>VLOOKUP($E48,Ratio,3,FALSE)*$F48</f>
        <v>0</v>
      </c>
      <c r="I48" s="296">
        <f>VLOOKUP($E48,Ratio,4,FALSE)*$F48</f>
        <v>930862</v>
      </c>
    </row>
    <row r="49" spans="1:9" ht="15.75">
      <c r="A49" s="247" t="s">
        <v>87</v>
      </c>
      <c r="B49" s="190"/>
      <c r="C49" s="164"/>
      <c r="D49" s="18"/>
      <c r="E49" s="167"/>
      <c r="F49" s="311">
        <f>SUM(F46:F48)</f>
        <v>25860122</v>
      </c>
      <c r="G49" s="133">
        <f>SUM(G46:G48)</f>
        <v>0</v>
      </c>
      <c r="H49" s="133">
        <f>SUM(H46:H48)</f>
        <v>0</v>
      </c>
      <c r="I49" s="133">
        <f>SUM(I46:I48)</f>
        <v>25860122</v>
      </c>
    </row>
    <row r="50" spans="1:9" ht="15.75">
      <c r="A50" s="65"/>
      <c r="B50" s="190"/>
      <c r="C50" s="164"/>
      <c r="D50" s="18"/>
      <c r="E50" s="167"/>
      <c r="F50" s="307"/>
      <c r="G50" s="64"/>
      <c r="H50" s="64"/>
      <c r="I50" s="64"/>
    </row>
    <row r="51" spans="1:9" ht="15.75">
      <c r="A51" s="274" t="s">
        <v>88</v>
      </c>
      <c r="B51" s="190"/>
      <c r="C51" s="173"/>
      <c r="D51" s="18"/>
      <c r="E51" s="190"/>
      <c r="F51" s="306"/>
      <c r="G51" s="104"/>
      <c r="H51" s="104"/>
      <c r="I51" s="104"/>
    </row>
    <row r="52" spans="1:9" ht="15.75">
      <c r="A52" s="275"/>
      <c r="B52" s="265" t="s">
        <v>185</v>
      </c>
      <c r="C52" s="173"/>
      <c r="D52" s="18"/>
      <c r="E52" s="190"/>
      <c r="F52" s="306"/>
      <c r="G52" s="104"/>
      <c r="H52" s="104"/>
      <c r="I52" s="104"/>
    </row>
    <row r="53" spans="1:9" ht="15.75">
      <c r="A53" s="41"/>
      <c r="B53" s="170" t="s">
        <v>253</v>
      </c>
      <c r="C53" s="164" t="s">
        <v>127</v>
      </c>
      <c r="D53" s="18">
        <v>920</v>
      </c>
      <c r="E53" s="167" t="s">
        <v>17</v>
      </c>
      <c r="F53" s="355">
        <v>17412679</v>
      </c>
      <c r="G53" s="296">
        <f>VLOOKUP($E53,Ratio,2,FALSE)*$F53</f>
        <v>7817562.517085753</v>
      </c>
      <c r="H53" s="296">
        <f>VLOOKUP($E53,Ratio,3,FALSE)*$F53</f>
        <v>3022682.5772125986</v>
      </c>
      <c r="I53" s="296">
        <f>VLOOKUP($E53,Ratio,4,FALSE)*$F53</f>
        <v>6572433.905701649</v>
      </c>
    </row>
    <row r="54" spans="1:9" ht="15.75">
      <c r="A54" s="41"/>
      <c r="B54" s="170" t="s">
        <v>254</v>
      </c>
      <c r="C54" s="164" t="s">
        <v>127</v>
      </c>
      <c r="D54" s="18">
        <v>921</v>
      </c>
      <c r="E54" s="167" t="s">
        <v>17</v>
      </c>
      <c r="F54" s="355">
        <v>4217501</v>
      </c>
      <c r="G54" s="296">
        <f>VLOOKUP($E54,Ratio,2,FALSE)*$F54</f>
        <v>1893481.0509842674</v>
      </c>
      <c r="H54" s="296">
        <f>VLOOKUP($E54,Ratio,3,FALSE)*$F54</f>
        <v>732119.7842145205</v>
      </c>
      <c r="I54" s="296">
        <f>VLOOKUP($E54,Ratio,4,FALSE)*$F54</f>
        <v>1591900.1648012125</v>
      </c>
    </row>
    <row r="55" spans="1:9" ht="15.75">
      <c r="A55" s="41"/>
      <c r="B55" s="170" t="s">
        <v>255</v>
      </c>
      <c r="C55" s="164" t="s">
        <v>127</v>
      </c>
      <c r="D55" s="18">
        <v>922</v>
      </c>
      <c r="E55" s="167" t="s">
        <v>17</v>
      </c>
      <c r="F55" s="355">
        <v>-28056</v>
      </c>
      <c r="G55" s="296">
        <f>VLOOKUP($E55,Ratio,2,FALSE)*$F55</f>
        <v>-12595.967224765236</v>
      </c>
      <c r="H55" s="296">
        <f>VLOOKUP($E55,Ratio,3,FALSE)*$F55</f>
        <v>-4870.266223036482</v>
      </c>
      <c r="I55" s="296">
        <f>VLOOKUP($E55,Ratio,4,FALSE)*$F55</f>
        <v>-10589.766552198285</v>
      </c>
    </row>
    <row r="56" spans="1:9" ht="15.75">
      <c r="A56" s="41"/>
      <c r="B56" s="170" t="s">
        <v>256</v>
      </c>
      <c r="C56" s="164" t="s">
        <v>127</v>
      </c>
      <c r="D56" s="18">
        <v>923</v>
      </c>
      <c r="E56" s="167" t="s">
        <v>22</v>
      </c>
      <c r="F56" s="355">
        <v>9988121</v>
      </c>
      <c r="G56" s="296">
        <f>VLOOKUP($E56,Ratio,2,FALSE)*$F56</f>
        <v>4487070.490189202</v>
      </c>
      <c r="H56" s="296">
        <f>VLOOKUP($E56,Ratio,3,FALSE)*$F56</f>
        <v>1736493.6074284152</v>
      </c>
      <c r="I56" s="296">
        <f>VLOOKUP($E56,Ratio,4,FALSE)*$F56</f>
        <v>3764556.9023823827</v>
      </c>
    </row>
    <row r="57" spans="1:9" ht="15.75">
      <c r="A57" s="41"/>
      <c r="B57" s="170" t="s">
        <v>257</v>
      </c>
      <c r="C57" s="164" t="s">
        <v>127</v>
      </c>
      <c r="D57" s="18">
        <v>924</v>
      </c>
      <c r="E57" s="167" t="s">
        <v>29</v>
      </c>
      <c r="F57" s="355">
        <v>1191391</v>
      </c>
      <c r="G57" s="296">
        <f>VLOOKUP($E57,Ratio,2,FALSE)*$F57</f>
        <v>533273.3431555512</v>
      </c>
      <c r="H57" s="296">
        <f>VLOOKUP($E57,Ratio,3,FALSE)*$F57</f>
        <v>211002.08608846474</v>
      </c>
      <c r="I57" s="296">
        <f>VLOOKUP($E57,Ratio,4,FALSE)*$F57</f>
        <v>457433.0108384288</v>
      </c>
    </row>
    <row r="58" spans="1:9" ht="15.75">
      <c r="A58" s="41"/>
      <c r="B58" s="170" t="s">
        <v>168</v>
      </c>
      <c r="C58" s="164" t="s">
        <v>127</v>
      </c>
      <c r="D58" s="18">
        <v>925</v>
      </c>
      <c r="E58" s="167" t="s">
        <v>17</v>
      </c>
      <c r="F58" s="355">
        <v>3769353</v>
      </c>
      <c r="G58" s="296">
        <f>VLOOKUP($E58,Ratio,2,FALSE)*$F58</f>
        <v>1692281.3960140618</v>
      </c>
      <c r="H58" s="296">
        <f>VLOOKUP($E58,Ratio,3,FALSE)*$F58</f>
        <v>654325.3706373408</v>
      </c>
      <c r="I58" s="296">
        <f>VLOOKUP($E58,Ratio,4,FALSE)*$F58</f>
        <v>1422746.2333485978</v>
      </c>
    </row>
    <row r="59" spans="1:9" ht="15.75">
      <c r="A59" s="41"/>
      <c r="B59" s="170" t="s">
        <v>169</v>
      </c>
      <c r="C59" s="164" t="s">
        <v>127</v>
      </c>
      <c r="D59" s="18">
        <v>926</v>
      </c>
      <c r="E59" s="167" t="s">
        <v>17</v>
      </c>
      <c r="F59" s="355">
        <v>1106169</v>
      </c>
      <c r="G59" s="296">
        <f>VLOOKUP($E59,Ratio,2,FALSE)*$F59</f>
        <v>496623.4840694089</v>
      </c>
      <c r="H59" s="296">
        <f>VLOOKUP($E59,Ratio,3,FALSE)*$F59</f>
        <v>192020.86960614636</v>
      </c>
      <c r="I59" s="296">
        <f>VLOOKUP($E59,Ratio,4,FALSE)*$F59</f>
        <v>417524.64632444485</v>
      </c>
    </row>
    <row r="60" spans="1:9" ht="15.75">
      <c r="A60" s="41"/>
      <c r="B60" s="170" t="s">
        <v>170</v>
      </c>
      <c r="C60" s="164" t="s">
        <v>127</v>
      </c>
      <c r="D60" s="18">
        <v>927</v>
      </c>
      <c r="E60" s="167" t="s">
        <v>2</v>
      </c>
      <c r="F60" s="355">
        <v>6230</v>
      </c>
      <c r="G60" s="296">
        <f>VLOOKUP($E60,Ratio,2,FALSE)*$F60</f>
        <v>0</v>
      </c>
      <c r="H60" s="296">
        <f>VLOOKUP($E60,Ratio,3,FALSE)*$F60</f>
        <v>0</v>
      </c>
      <c r="I60" s="296">
        <f>VLOOKUP($E60,Ratio,4,FALSE)*$F60</f>
        <v>6230</v>
      </c>
    </row>
    <row r="61" spans="1:9" ht="15.75">
      <c r="A61" s="41"/>
      <c r="B61" s="170" t="s">
        <v>172</v>
      </c>
      <c r="C61" s="164" t="s">
        <v>127</v>
      </c>
      <c r="D61" s="18">
        <v>928</v>
      </c>
      <c r="E61" s="167" t="s">
        <v>22</v>
      </c>
      <c r="F61" s="355">
        <v>1887178</v>
      </c>
      <c r="G61" s="296">
        <f>VLOOKUP($E61,Ratio,2,FALSE)*$F61</f>
        <v>847797.169611209</v>
      </c>
      <c r="H61" s="296">
        <f>VLOOKUP($E61,Ratio,3,FALSE)*$F61</f>
        <v>328096.99973393814</v>
      </c>
      <c r="I61" s="296">
        <f>VLOOKUP($E61,Ratio,4,FALSE)*$F61</f>
        <v>711283.8306548529</v>
      </c>
    </row>
    <row r="62" spans="1:9" ht="15.75">
      <c r="A62" s="41"/>
      <c r="B62" s="170" t="s">
        <v>258</v>
      </c>
      <c r="C62" s="164" t="s">
        <v>127</v>
      </c>
      <c r="D62" s="18">
        <v>929</v>
      </c>
      <c r="E62" s="167" t="s">
        <v>29</v>
      </c>
      <c r="F62" s="355">
        <v>0</v>
      </c>
      <c r="G62" s="296">
        <f>VLOOKUP($E62,Ratio,2,FALSE)*$F62</f>
        <v>0</v>
      </c>
      <c r="H62" s="296">
        <f>VLOOKUP($E62,Ratio,3,FALSE)*$F62</f>
        <v>0</v>
      </c>
      <c r="I62" s="296">
        <f>VLOOKUP($E62,Ratio,4,FALSE)*$F62</f>
        <v>0</v>
      </c>
    </row>
    <row r="63" spans="1:9" ht="15.75">
      <c r="A63" s="41"/>
      <c r="B63" s="170" t="s">
        <v>259</v>
      </c>
      <c r="C63" s="164" t="s">
        <v>127</v>
      </c>
      <c r="D63" s="18">
        <v>930.1</v>
      </c>
      <c r="E63" s="167" t="s">
        <v>2</v>
      </c>
      <c r="F63" s="355">
        <v>8678</v>
      </c>
      <c r="G63" s="296">
        <f>VLOOKUP($E63,Ratio,2,FALSE)*$F63</f>
        <v>0</v>
      </c>
      <c r="H63" s="296">
        <f>VLOOKUP($E63,Ratio,3,FALSE)*$F63</f>
        <v>0</v>
      </c>
      <c r="I63" s="296">
        <f>VLOOKUP($E63,Ratio,4,FALSE)*$F63</f>
        <v>8678</v>
      </c>
    </row>
    <row r="64" spans="1:9" ht="15.75">
      <c r="A64" s="41"/>
      <c r="B64" s="170" t="s">
        <v>171</v>
      </c>
      <c r="C64" s="164" t="s">
        <v>127</v>
      </c>
      <c r="D64" s="18">
        <v>930.2</v>
      </c>
      <c r="E64" s="167" t="s">
        <v>2</v>
      </c>
      <c r="F64" s="355">
        <v>2950213</v>
      </c>
      <c r="G64" s="296">
        <f>VLOOKUP($E64,Ratio,2,FALSE)*$F64</f>
        <v>0</v>
      </c>
      <c r="H64" s="296">
        <f>VLOOKUP($E64,Ratio,3,FALSE)*$F64</f>
        <v>0</v>
      </c>
      <c r="I64" s="296">
        <f>VLOOKUP($E64,Ratio,4,FALSE)*$F64</f>
        <v>2950213</v>
      </c>
    </row>
    <row r="65" spans="1:9" ht="15.75">
      <c r="A65" s="41"/>
      <c r="B65" s="170" t="s">
        <v>89</v>
      </c>
      <c r="C65" s="164" t="s">
        <v>127</v>
      </c>
      <c r="D65" s="18">
        <v>931</v>
      </c>
      <c r="E65" s="167" t="s">
        <v>2</v>
      </c>
      <c r="F65" s="355">
        <v>1068064</v>
      </c>
      <c r="G65" s="296">
        <f>VLOOKUP($E65,Ratio,2,FALSE)*$F65</f>
        <v>0</v>
      </c>
      <c r="H65" s="296">
        <f>VLOOKUP($E65,Ratio,3,FALSE)*$F65</f>
        <v>0</v>
      </c>
      <c r="I65" s="296">
        <f>VLOOKUP($E65,Ratio,4,FALSE)*$F65</f>
        <v>1068064</v>
      </c>
    </row>
    <row r="66" spans="1:9" ht="15.75">
      <c r="A66" s="41"/>
      <c r="B66" s="170" t="s">
        <v>359</v>
      </c>
      <c r="C66" s="164" t="s">
        <v>358</v>
      </c>
      <c r="D66" s="18">
        <v>933</v>
      </c>
      <c r="E66" s="167" t="s">
        <v>2</v>
      </c>
      <c r="F66" s="355"/>
      <c r="G66" s="296">
        <f>VLOOKUP($E66,Ratio,2,FALSE)*$F66</f>
        <v>0</v>
      </c>
      <c r="H66" s="296">
        <f>VLOOKUP($E66,Ratio,3,FALSE)*$F66</f>
        <v>0</v>
      </c>
      <c r="I66" s="296">
        <f>VLOOKUP($E66,Ratio,4,FALSE)*$F66</f>
        <v>0</v>
      </c>
    </row>
    <row r="67" spans="1:9" ht="15.75">
      <c r="A67" s="41"/>
      <c r="B67" s="265" t="s">
        <v>186</v>
      </c>
      <c r="C67" s="164"/>
      <c r="D67" s="18"/>
      <c r="E67" s="167"/>
      <c r="G67" s="91"/>
      <c r="H67" s="55"/>
      <c r="I67" s="55"/>
    </row>
    <row r="68" spans="1:9" ht="15.75">
      <c r="A68" s="41"/>
      <c r="B68" s="168" t="s">
        <v>9</v>
      </c>
      <c r="C68" s="164" t="s">
        <v>127</v>
      </c>
      <c r="D68" s="18">
        <v>935</v>
      </c>
      <c r="E68" s="167" t="s">
        <v>8</v>
      </c>
      <c r="F68" s="355">
        <v>5940101</v>
      </c>
      <c r="G68" s="296">
        <f>VLOOKUP($E68,Ratio,2,FALSE)*$F68</f>
        <v>2668180.1768661533</v>
      </c>
      <c r="H68" s="296">
        <f>VLOOKUP($E68,Ratio,3,FALSE)*$F68</f>
        <v>1032580.0016407951</v>
      </c>
      <c r="I68" s="296">
        <f>VLOOKUP($E68,Ratio,4,FALSE)*$F68</f>
        <v>2239340.821493052</v>
      </c>
    </row>
    <row r="69" spans="1:9" ht="15.75">
      <c r="A69" s="247" t="s">
        <v>90</v>
      </c>
      <c r="B69" s="255"/>
      <c r="C69" s="76"/>
      <c r="D69" s="16"/>
      <c r="E69" s="190"/>
      <c r="F69" s="311">
        <f>SUM(F53:F68)</f>
        <v>49517622</v>
      </c>
      <c r="G69" s="133">
        <f>SUM(G53:G68)</f>
        <v>20423673.660750844</v>
      </c>
      <c r="H69" s="133">
        <f>SUM(H53:H68)</f>
        <v>7904451.030339182</v>
      </c>
      <c r="I69" s="133">
        <f>SUM(I53:I68)</f>
        <v>21199814.74899242</v>
      </c>
    </row>
    <row r="70" spans="1:9" ht="15.75">
      <c r="A70" s="21"/>
      <c r="B70" s="255"/>
      <c r="C70" s="41"/>
      <c r="D70" s="16"/>
      <c r="E70" s="90"/>
      <c r="F70" s="307"/>
      <c r="G70" s="20"/>
      <c r="H70" s="20"/>
      <c r="I70" s="20"/>
    </row>
    <row r="71" spans="1:9" ht="15.75">
      <c r="A71" s="247" t="s">
        <v>91</v>
      </c>
      <c r="B71" s="255"/>
      <c r="C71" s="76"/>
      <c r="D71" s="16"/>
      <c r="E71" s="190"/>
      <c r="F71" s="308">
        <f>F32+F38+F43+F49+F69</f>
        <v>548502873</v>
      </c>
      <c r="G71" s="156">
        <f>G32+G38+G43+G49+G69</f>
        <v>451432464.66075087</v>
      </c>
      <c r="H71" s="156">
        <f>H32+H38+H43+H49+H69</f>
        <v>27451731.03033918</v>
      </c>
      <c r="I71" s="156">
        <f>I32+I38+I43+I49+I69</f>
        <v>69628994.74899241</v>
      </c>
    </row>
    <row r="72" spans="1:9" ht="15.75">
      <c r="A72" s="291" t="s">
        <v>174</v>
      </c>
      <c r="B72" s="291"/>
      <c r="C72" s="276"/>
      <c r="D72" s="16"/>
      <c r="E72" s="190"/>
      <c r="F72" s="306"/>
      <c r="G72" s="104"/>
      <c r="H72" s="104"/>
      <c r="I72" s="104"/>
    </row>
    <row r="73" spans="1:9" ht="25.5" customHeight="1">
      <c r="A73" s="291"/>
      <c r="B73" s="291"/>
      <c r="C73" s="277"/>
      <c r="D73" s="278"/>
      <c r="E73" s="276"/>
      <c r="F73" s="309"/>
      <c r="G73" s="104"/>
      <c r="H73" s="104"/>
      <c r="I73" s="104"/>
    </row>
    <row r="74" spans="1:9" ht="15.75">
      <c r="A74" s="279"/>
      <c r="B74" s="279"/>
      <c r="C74" s="280"/>
      <c r="D74" s="277"/>
      <c r="E74" s="276"/>
      <c r="F74" s="309"/>
      <c r="G74" s="104"/>
      <c r="H74" s="104"/>
      <c r="I74" s="104"/>
    </row>
    <row r="75" spans="1:9" ht="15.75">
      <c r="A75" s="274" t="s">
        <v>92</v>
      </c>
      <c r="B75" s="255"/>
      <c r="C75" s="76"/>
      <c r="D75" s="16"/>
      <c r="E75" s="190"/>
      <c r="F75" s="305"/>
      <c r="G75" s="104"/>
      <c r="H75" s="104"/>
      <c r="I75" s="104"/>
    </row>
    <row r="76" spans="1:9" ht="15.75">
      <c r="A76" s="41"/>
      <c r="B76" s="168" t="s">
        <v>45</v>
      </c>
      <c r="C76" s="173">
        <v>336</v>
      </c>
      <c r="D76" s="18" t="s">
        <v>93</v>
      </c>
      <c r="E76" s="167" t="s">
        <v>5</v>
      </c>
      <c r="F76" s="356">
        <v>1751126</v>
      </c>
      <c r="G76" s="350"/>
      <c r="H76" s="350"/>
      <c r="I76" s="350"/>
    </row>
    <row r="77" spans="1:9" ht="15.75">
      <c r="A77" s="41"/>
      <c r="B77" s="168" t="s">
        <v>0</v>
      </c>
      <c r="C77" s="173">
        <v>336</v>
      </c>
      <c r="D77" s="18" t="s">
        <v>93</v>
      </c>
      <c r="E77" s="167" t="s">
        <v>3</v>
      </c>
      <c r="F77" s="356">
        <v>11388514</v>
      </c>
      <c r="G77" s="296">
        <f>VLOOKUP($E77,Ratio,2,FALSE)*$F77</f>
        <v>11388514</v>
      </c>
      <c r="H77" s="296">
        <f>VLOOKUP($E77,Ratio,3,FALSE)*$F77</f>
        <v>0</v>
      </c>
      <c r="I77" s="296">
        <f>VLOOKUP($E77,Ratio,4,FALSE)*$F77</f>
        <v>0</v>
      </c>
    </row>
    <row r="78" spans="1:9" ht="15.75">
      <c r="A78" s="41"/>
      <c r="B78" s="168" t="s">
        <v>1</v>
      </c>
      <c r="C78" s="173">
        <v>336</v>
      </c>
      <c r="D78" s="18" t="s">
        <v>93</v>
      </c>
      <c r="E78" s="167" t="s">
        <v>3</v>
      </c>
      <c r="F78" s="356">
        <v>0</v>
      </c>
      <c r="G78" s="296">
        <f>VLOOKUP($E78,Ratio,2,FALSE)*$F78</f>
        <v>0</v>
      </c>
      <c r="H78" s="296">
        <f>VLOOKUP($E78,Ratio,3,FALSE)*$F78</f>
        <v>0</v>
      </c>
      <c r="I78" s="296">
        <f>VLOOKUP($E78,Ratio,4,FALSE)*$F78</f>
        <v>0</v>
      </c>
    </row>
    <row r="79" spans="1:9" ht="15.75">
      <c r="A79" s="41"/>
      <c r="B79" s="168" t="s">
        <v>177</v>
      </c>
      <c r="C79" s="173">
        <v>336</v>
      </c>
      <c r="D79" s="18" t="s">
        <v>93</v>
      </c>
      <c r="E79" s="167" t="s">
        <v>3</v>
      </c>
      <c r="F79" s="356">
        <v>6208520</v>
      </c>
      <c r="G79" s="296">
        <f>VLOOKUP($E79,Ratio,2,FALSE)*$F79</f>
        <v>6208520</v>
      </c>
      <c r="H79" s="296">
        <f>VLOOKUP($E79,Ratio,3,FALSE)*$F79</f>
        <v>0</v>
      </c>
      <c r="I79" s="296">
        <f>VLOOKUP($E79,Ratio,4,FALSE)*$F79</f>
        <v>0</v>
      </c>
    </row>
    <row r="80" spans="1:9" ht="15.75">
      <c r="A80" s="41"/>
      <c r="B80" s="168" t="s">
        <v>178</v>
      </c>
      <c r="C80" s="173">
        <v>336</v>
      </c>
      <c r="D80" s="18" t="s">
        <v>93</v>
      </c>
      <c r="E80" s="167" t="s">
        <v>3</v>
      </c>
      <c r="F80" s="356">
        <v>0</v>
      </c>
      <c r="G80" s="296">
        <f>VLOOKUP($E80,Ratio,2,FALSE)*$F80</f>
        <v>0</v>
      </c>
      <c r="H80" s="296">
        <f>VLOOKUP($E80,Ratio,3,FALSE)*$F80</f>
        <v>0</v>
      </c>
      <c r="I80" s="296">
        <f>VLOOKUP($E80,Ratio,4,FALSE)*$F80</f>
        <v>0</v>
      </c>
    </row>
    <row r="81" spans="1:9" ht="15.75">
      <c r="A81" s="41"/>
      <c r="B81" s="168" t="s">
        <v>60</v>
      </c>
      <c r="C81" s="173">
        <v>336</v>
      </c>
      <c r="D81" s="18" t="s">
        <v>93</v>
      </c>
      <c r="E81" s="167" t="s">
        <v>3</v>
      </c>
      <c r="F81" s="356">
        <v>13075208</v>
      </c>
      <c r="G81" s="296">
        <f>VLOOKUP($E81,Ratio,2,FALSE)*$F81</f>
        <v>13075208</v>
      </c>
      <c r="H81" s="296">
        <f>VLOOKUP($E81,Ratio,3,FALSE)*$F81</f>
        <v>0</v>
      </c>
      <c r="I81" s="296">
        <f>VLOOKUP($E81,Ratio,4,FALSE)*$F81</f>
        <v>0</v>
      </c>
    </row>
    <row r="82" spans="1:9" ht="15.75">
      <c r="A82" s="41"/>
      <c r="B82" s="168" t="s">
        <v>367</v>
      </c>
      <c r="C82" s="173">
        <v>336</v>
      </c>
      <c r="D82" s="18" t="s">
        <v>93</v>
      </c>
      <c r="E82" s="167" t="s">
        <v>4</v>
      </c>
      <c r="F82" s="356">
        <v>9049748</v>
      </c>
      <c r="G82" s="296">
        <f>VLOOKUP($E82,Ratio,2,FALSE)*$F82</f>
        <v>0</v>
      </c>
      <c r="H82" s="296">
        <f>VLOOKUP($E82,Ratio,3,FALSE)*$F82</f>
        <v>9049748</v>
      </c>
      <c r="I82" s="296">
        <f>VLOOKUP($E82,Ratio,4,FALSE)*$F82</f>
        <v>0</v>
      </c>
    </row>
    <row r="83" spans="1:9" ht="15.75">
      <c r="A83" s="41"/>
      <c r="B83" s="168" t="s">
        <v>61</v>
      </c>
      <c r="C83" s="173">
        <v>336</v>
      </c>
      <c r="D83" s="18" t="s">
        <v>93</v>
      </c>
      <c r="E83" s="167" t="s">
        <v>2</v>
      </c>
      <c r="F83" s="356">
        <v>17457435</v>
      </c>
      <c r="G83" s="296">
        <f>VLOOKUP($E83,Ratio,2,FALSE)*$F83</f>
        <v>0</v>
      </c>
      <c r="H83" s="296">
        <f>VLOOKUP($E83,Ratio,3,FALSE)*$F83</f>
        <v>0</v>
      </c>
      <c r="I83" s="296">
        <f>VLOOKUP($E83,Ratio,4,FALSE)*$F83</f>
        <v>17457435</v>
      </c>
    </row>
    <row r="84" spans="1:9" ht="15.75">
      <c r="A84" s="41"/>
      <c r="B84" s="168" t="s">
        <v>7</v>
      </c>
      <c r="C84" s="173">
        <v>336</v>
      </c>
      <c r="D84" s="18" t="s">
        <v>93</v>
      </c>
      <c r="E84" s="167" t="s">
        <v>6</v>
      </c>
      <c r="F84" s="356">
        <v>3166338</v>
      </c>
      <c r="G84" s="296">
        <f>VLOOKUP($E84,Ratio,2,FALSE)*$F84</f>
        <v>808309.5259632004</v>
      </c>
      <c r="H84" s="296">
        <f>VLOOKUP($E84,Ratio,3,FALSE)*$F84</f>
        <v>744346.6198880015</v>
      </c>
      <c r="I84" s="296">
        <f>VLOOKUP($E84,Ratio,4,FALSE)*$F84</f>
        <v>1613681.8541487984</v>
      </c>
    </row>
    <row r="85" spans="1:9" ht="15.75">
      <c r="A85" s="41"/>
      <c r="B85" s="168" t="s">
        <v>179</v>
      </c>
      <c r="C85" s="173">
        <v>336</v>
      </c>
      <c r="D85" s="18">
        <v>404</v>
      </c>
      <c r="E85" s="167" t="s">
        <v>22</v>
      </c>
      <c r="F85" s="356">
        <v>5293863</v>
      </c>
      <c r="G85" s="296">
        <f>VLOOKUP($E85,Ratio,2,FALSE)*$F85</f>
        <v>2378218.7306706114</v>
      </c>
      <c r="H85" s="296">
        <f>VLOOKUP($E85,Ratio,3,FALSE)*$F85</f>
        <v>920369.2324213746</v>
      </c>
      <c r="I85" s="296">
        <f>VLOOKUP($E85,Ratio,4,FALSE)*$F85</f>
        <v>1995275.036908014</v>
      </c>
    </row>
    <row r="86" spans="1:9" ht="15.75">
      <c r="A86" s="41"/>
      <c r="B86" s="168" t="s">
        <v>289</v>
      </c>
      <c r="C86" s="164" t="s">
        <v>124</v>
      </c>
      <c r="D86" s="18">
        <v>114</v>
      </c>
      <c r="E86" s="167" t="s">
        <v>5</v>
      </c>
      <c r="F86" s="355"/>
      <c r="G86" s="350"/>
      <c r="H86" s="350"/>
      <c r="I86" s="350"/>
    </row>
    <row r="87" spans="1:9" ht="15.75">
      <c r="A87" s="247" t="s">
        <v>62</v>
      </c>
      <c r="B87" s="255"/>
      <c r="C87" s="76"/>
      <c r="D87" s="16"/>
      <c r="E87" s="190"/>
      <c r="F87" s="352">
        <f>SUM(F76:F86)</f>
        <v>67390752</v>
      </c>
      <c r="G87" s="354">
        <f>SUM(G76:G86)</f>
        <v>33858770.25663381</v>
      </c>
      <c r="H87" s="354">
        <f>SUM(H76:H86)</f>
        <v>10714463.852309376</v>
      </c>
      <c r="I87" s="354">
        <f>SUM(I76:I86)</f>
        <v>21066391.891056813</v>
      </c>
    </row>
    <row r="88" spans="1:9" ht="15.75">
      <c r="A88" s="281"/>
      <c r="B88" s="255"/>
      <c r="C88" s="76"/>
      <c r="D88" s="16"/>
      <c r="E88" s="190"/>
      <c r="F88" s="310"/>
      <c r="G88" s="142"/>
      <c r="H88" s="142"/>
      <c r="I88" s="142"/>
    </row>
    <row r="89" spans="1:5" ht="15.75">
      <c r="A89" s="139"/>
      <c r="B89" s="139"/>
      <c r="C89" s="139"/>
      <c r="D89" s="139"/>
      <c r="E89" s="139"/>
    </row>
    <row r="90" spans="1:9" ht="15.75">
      <c r="A90" s="256" t="s">
        <v>103</v>
      </c>
      <c r="B90" s="86"/>
      <c r="C90" s="41"/>
      <c r="D90" s="41"/>
      <c r="E90" s="19"/>
      <c r="F90" s="311">
        <f>F71+F87</f>
        <v>615893625</v>
      </c>
      <c r="G90" s="133">
        <f>G71+G87</f>
        <v>485291234.9173847</v>
      </c>
      <c r="H90" s="133">
        <f>H71+H87</f>
        <v>38166194.88264856</v>
      </c>
      <c r="I90" s="133">
        <f>I71+I87</f>
        <v>90695386.64004922</v>
      </c>
    </row>
    <row r="91" spans="1:9" ht="15.75">
      <c r="A91" s="85" t="s">
        <v>295</v>
      </c>
      <c r="B91" s="86"/>
      <c r="C91" s="41"/>
      <c r="D91" s="41"/>
      <c r="E91" s="19"/>
      <c r="F91" s="307"/>
      <c r="G91" s="20"/>
      <c r="H91" s="20"/>
      <c r="I91" s="20"/>
    </row>
    <row r="92" spans="1:5" ht="15.75">
      <c r="A92" s="139"/>
      <c r="B92" s="139"/>
      <c r="C92" s="139"/>
      <c r="D92" s="139"/>
      <c r="E92" s="139"/>
    </row>
    <row r="93" spans="1:5" ht="15.75">
      <c r="A93" s="139"/>
      <c r="B93" s="139"/>
      <c r="C93" s="139"/>
      <c r="D93" s="139"/>
      <c r="E93" s="139"/>
    </row>
    <row r="94" spans="1:5" ht="15.75">
      <c r="A94" s="139"/>
      <c r="B94" s="139"/>
      <c r="C94" s="139"/>
      <c r="D94" s="139"/>
      <c r="E94" s="139"/>
    </row>
    <row r="95" spans="1:5" ht="15.75">
      <c r="A95" s="139"/>
      <c r="B95" s="139"/>
      <c r="C95" s="139"/>
      <c r="D95" s="139"/>
      <c r="E95" s="139"/>
    </row>
    <row r="96" spans="1:5" ht="15.75">
      <c r="A96" s="139"/>
      <c r="B96" s="139"/>
      <c r="C96" s="139"/>
      <c r="D96" s="139"/>
      <c r="E96" s="139"/>
    </row>
    <row r="97" spans="1:5" ht="15.75">
      <c r="A97" s="139"/>
      <c r="B97" s="139"/>
      <c r="C97" s="139"/>
      <c r="D97" s="139"/>
      <c r="E97" s="139"/>
    </row>
    <row r="98" spans="1:5" ht="15.75">
      <c r="A98" s="139"/>
      <c r="B98" s="139"/>
      <c r="C98" s="139"/>
      <c r="D98" s="139"/>
      <c r="E98" s="139"/>
    </row>
    <row r="99" spans="1:5" ht="15.75">
      <c r="A99" s="139"/>
      <c r="B99" s="139"/>
      <c r="C99" s="139"/>
      <c r="D99" s="139"/>
      <c r="E99" s="139"/>
    </row>
    <row r="100" spans="1:5" ht="15.75">
      <c r="A100" s="139"/>
      <c r="B100" s="139"/>
      <c r="C100" s="139"/>
      <c r="D100" s="139"/>
      <c r="E100" s="139"/>
    </row>
    <row r="101" spans="1:5" ht="15.75">
      <c r="A101" s="139"/>
      <c r="B101" s="139"/>
      <c r="C101" s="139"/>
      <c r="D101" s="139"/>
      <c r="E101" s="139"/>
    </row>
    <row r="102" spans="1:5" ht="15.75">
      <c r="A102" s="139"/>
      <c r="B102" s="139"/>
      <c r="C102" s="139"/>
      <c r="D102" s="139"/>
      <c r="E102" s="139"/>
    </row>
    <row r="103" spans="1:5" ht="15.75">
      <c r="A103" s="139"/>
      <c r="B103" s="139"/>
      <c r="C103" s="139"/>
      <c r="D103" s="139"/>
      <c r="E103" s="139"/>
    </row>
  </sheetData>
  <mergeCells count="1">
    <mergeCell ref="A72:B73"/>
  </mergeCells>
  <printOptions horizontalCentered="1"/>
  <pageMargins left="0.2" right="0.28" top="0.25" bottom="0.5" header="0.25" footer="0.25"/>
  <pageSetup horizontalDpi="600" verticalDpi="600" orientation="landscape" paperSize="9" scale="85" r:id="rId1"/>
  <headerFooter alignWithMargins="0">
    <oddHeader>&amp;RDraft FRN Template
</oddHeader>
    <oddFooter>&amp;L&amp;F&amp;CPage &amp;P of &amp;N&amp;R&amp;D</oddFooter>
  </headerFooter>
  <rowBreaks count="2" manualBreakCount="2">
    <brk id="43" max="8" man="1"/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32"/>
  <sheetViews>
    <sheetView zoomScale="75" zoomScaleNormal="75" workbookViewId="0" topLeftCell="A95">
      <selection activeCell="K14" sqref="K14"/>
    </sheetView>
  </sheetViews>
  <sheetFormatPr defaultColWidth="9.00390625" defaultRowHeight="15.75"/>
  <cols>
    <col min="1" max="1" width="5.375" style="0" customWidth="1"/>
    <col min="2" max="2" width="26.75390625" style="0" customWidth="1"/>
    <col min="3" max="3" width="4.75390625" style="0" customWidth="1"/>
    <col min="4" max="4" width="11.375" style="0" customWidth="1"/>
    <col min="5" max="5" width="13.00390625" style="0" customWidth="1"/>
    <col min="6" max="9" width="11.125" style="0" customWidth="1"/>
    <col min="10" max="10" width="10.50390625" style="0" customWidth="1"/>
  </cols>
  <sheetData>
    <row r="1" spans="7:9" ht="15.75">
      <c r="G1">
        <v>2</v>
      </c>
      <c r="H1">
        <v>3</v>
      </c>
      <c r="I1">
        <v>4</v>
      </c>
    </row>
    <row r="2" spans="1:9" ht="18.75">
      <c r="A2" s="131" t="s">
        <v>107</v>
      </c>
      <c r="B2" s="131"/>
      <c r="C2" s="131"/>
      <c r="D2" s="131"/>
      <c r="E2" s="131"/>
      <c r="F2" s="131"/>
      <c r="G2" s="131"/>
      <c r="H2" s="131"/>
      <c r="I2" s="131"/>
    </row>
    <row r="3" spans="1:9" ht="15.75">
      <c r="A3" s="132" t="s">
        <v>109</v>
      </c>
      <c r="B3" s="132"/>
      <c r="C3" s="132"/>
      <c r="D3" s="132"/>
      <c r="E3" s="132"/>
      <c r="F3" s="132"/>
      <c r="G3" s="132"/>
      <c r="H3" s="132"/>
      <c r="I3" s="132"/>
    </row>
    <row r="4" spans="1:9" ht="15.75">
      <c r="A4" s="2" t="s">
        <v>285</v>
      </c>
      <c r="B4" s="2"/>
      <c r="C4" s="3"/>
      <c r="D4" s="3"/>
      <c r="E4" s="4"/>
      <c r="F4" s="5"/>
      <c r="G4" s="6"/>
      <c r="H4" s="34"/>
      <c r="I4" s="35"/>
    </row>
    <row r="5" spans="1:9" ht="15.75">
      <c r="A5" s="2"/>
      <c r="B5" s="2"/>
      <c r="C5" s="3"/>
      <c r="D5" s="3"/>
      <c r="E5" s="4"/>
      <c r="F5" s="5"/>
      <c r="G5" s="6"/>
      <c r="H5" s="34"/>
      <c r="I5" s="35"/>
    </row>
    <row r="6" spans="1:9" ht="15.75">
      <c r="A6" s="227" t="s">
        <v>216</v>
      </c>
      <c r="B6" s="8"/>
      <c r="C6" s="9"/>
      <c r="D6" s="9"/>
      <c r="E6" s="10"/>
      <c r="F6" s="11"/>
      <c r="G6" s="12"/>
      <c r="H6" s="36"/>
      <c r="I6" s="37"/>
    </row>
    <row r="7" spans="1:9" ht="15.75">
      <c r="A7" s="38"/>
      <c r="B7" s="39" t="s">
        <v>10</v>
      </c>
      <c r="C7" s="40"/>
      <c r="D7" s="41" t="s">
        <v>11</v>
      </c>
      <c r="E7" s="42" t="s">
        <v>12</v>
      </c>
      <c r="F7" s="43" t="s">
        <v>13</v>
      </c>
      <c r="G7" s="44" t="s">
        <v>14</v>
      </c>
      <c r="H7" s="44" t="s">
        <v>15</v>
      </c>
      <c r="I7" s="44" t="s">
        <v>16</v>
      </c>
    </row>
    <row r="8" spans="1:9" ht="15.75">
      <c r="A8" s="163"/>
      <c r="B8" s="178"/>
      <c r="C8" s="179" t="s">
        <v>199</v>
      </c>
      <c r="D8" s="180" t="s">
        <v>18</v>
      </c>
      <c r="E8" s="178" t="s">
        <v>19</v>
      </c>
      <c r="F8" s="181" t="s">
        <v>20</v>
      </c>
      <c r="G8" s="182"/>
      <c r="H8" s="182"/>
      <c r="I8" s="182" t="s">
        <v>21</v>
      </c>
    </row>
    <row r="9" spans="1:9" ht="16.5" thickBot="1">
      <c r="A9" s="226"/>
      <c r="B9" s="183" t="s">
        <v>23</v>
      </c>
      <c r="C9" s="184" t="s">
        <v>123</v>
      </c>
      <c r="D9" s="185" t="s">
        <v>337</v>
      </c>
      <c r="E9" s="186" t="s">
        <v>24</v>
      </c>
      <c r="F9" s="187" t="s">
        <v>25</v>
      </c>
      <c r="G9" s="188" t="s">
        <v>26</v>
      </c>
      <c r="H9" s="188" t="s">
        <v>27</v>
      </c>
      <c r="I9" s="188" t="s">
        <v>28</v>
      </c>
    </row>
    <row r="10" spans="1:9" ht="16.5" thickTop="1">
      <c r="A10" s="231" t="s">
        <v>217</v>
      </c>
      <c r="C10" s="198"/>
      <c r="D10" s="14"/>
      <c r="E10" s="167"/>
      <c r="F10" s="229"/>
      <c r="G10" s="230"/>
      <c r="H10" s="230"/>
      <c r="I10" s="230"/>
    </row>
    <row r="11" spans="1:9" ht="15.75">
      <c r="A11" s="21"/>
      <c r="B11" s="328" t="s">
        <v>296</v>
      </c>
      <c r="C11" s="329">
        <v>262</v>
      </c>
      <c r="D11" s="330" t="s">
        <v>218</v>
      </c>
      <c r="E11" s="167"/>
      <c r="F11" s="296"/>
      <c r="G11" s="296"/>
      <c r="H11" s="296"/>
      <c r="I11" s="296"/>
    </row>
    <row r="12" spans="1:9" ht="15.75">
      <c r="A12" s="21"/>
      <c r="B12" s="234" t="s">
        <v>219</v>
      </c>
      <c r="C12" s="198">
        <v>262</v>
      </c>
      <c r="D12" s="14" t="s">
        <v>218</v>
      </c>
      <c r="E12" s="167" t="s">
        <v>17</v>
      </c>
      <c r="F12" s="350"/>
      <c r="G12" s="296">
        <f>VLOOKUP($E12,Ratio,2,FALSE)*$F12</f>
        <v>0</v>
      </c>
      <c r="H12" s="296">
        <f>VLOOKUP($E12,Ratio,3,FALSE)*$F12</f>
        <v>0</v>
      </c>
      <c r="I12" s="296">
        <f>VLOOKUP($E12,Ratio,4,FALSE)*$F12</f>
        <v>0</v>
      </c>
    </row>
    <row r="13" spans="1:9" ht="16.5" thickBot="1">
      <c r="A13" s="21"/>
      <c r="B13" s="234" t="s">
        <v>220</v>
      </c>
      <c r="C13" s="198">
        <v>262</v>
      </c>
      <c r="D13" s="14" t="s">
        <v>218</v>
      </c>
      <c r="E13" s="167" t="s">
        <v>2</v>
      </c>
      <c r="F13" s="350"/>
      <c r="G13" s="296">
        <f>VLOOKUP($E13,Ratio,2,FALSE)*$F13</f>
        <v>0</v>
      </c>
      <c r="H13" s="296">
        <f>VLOOKUP($E13,Ratio,3,FALSE)*$F13</f>
        <v>0</v>
      </c>
      <c r="I13" s="296">
        <f>VLOOKUP($E13,Ratio,4,FALSE)*$F13</f>
        <v>0</v>
      </c>
    </row>
    <row r="14" spans="1:9" ht="16.5" thickBot="1">
      <c r="A14" s="240" t="s">
        <v>330</v>
      </c>
      <c r="B14" s="240"/>
      <c r="C14" s="198">
        <v>262</v>
      </c>
      <c r="D14" s="14" t="s">
        <v>218</v>
      </c>
      <c r="E14" s="167"/>
      <c r="F14" s="283">
        <f>SUM(F12:F13)</f>
        <v>0</v>
      </c>
      <c r="G14" s="283">
        <f>SUM(G12:G13)</f>
        <v>0</v>
      </c>
      <c r="H14" s="283">
        <f>SUM(H12:H13)</f>
        <v>0</v>
      </c>
      <c r="I14" s="283">
        <f>SUM(I12:I13)</f>
        <v>0</v>
      </c>
    </row>
    <row r="15" spans="1:9" ht="15.75">
      <c r="A15" s="240"/>
      <c r="B15" s="240"/>
      <c r="C15" s="198"/>
      <c r="D15" s="14"/>
      <c r="E15" s="167"/>
      <c r="F15" s="287"/>
      <c r="G15" s="287"/>
      <c r="H15" s="287"/>
      <c r="I15" s="287"/>
    </row>
    <row r="16" spans="1:9" ht="15.75">
      <c r="A16" s="288" t="s">
        <v>331</v>
      </c>
      <c r="B16" s="234"/>
      <c r="C16" s="235"/>
      <c r="D16" s="233"/>
      <c r="E16" s="167"/>
      <c r="F16" s="232"/>
      <c r="G16" s="232"/>
      <c r="H16" s="232"/>
      <c r="I16" s="232"/>
    </row>
    <row r="17" spans="1:9" ht="15.75">
      <c r="A17" s="240" t="s">
        <v>297</v>
      </c>
      <c r="B17" s="249"/>
      <c r="C17" s="235"/>
      <c r="D17" s="233"/>
      <c r="E17" s="167"/>
      <c r="F17" s="232"/>
      <c r="G17" s="232"/>
      <c r="H17" s="232"/>
      <c r="I17" s="232"/>
    </row>
    <row r="18" spans="1:9" ht="15.75">
      <c r="A18" s="21"/>
      <c r="B18" s="234" t="s">
        <v>221</v>
      </c>
      <c r="C18" s="235">
        <v>262</v>
      </c>
      <c r="D18" s="233" t="s">
        <v>218</v>
      </c>
      <c r="E18" s="167" t="s">
        <v>29</v>
      </c>
      <c r="F18" s="359">
        <v>2058</v>
      </c>
      <c r="G18" s="296">
        <f>VLOOKUP($E18,Ratio,2,FALSE)*$F18</f>
        <v>921.1724280392621</v>
      </c>
      <c r="H18" s="296">
        <f>VLOOKUP($E18,Ratio,3,FALSE)*$F18</f>
        <v>364.48344260621445</v>
      </c>
      <c r="I18" s="296">
        <f>VLOOKUP($E18,Ratio,4,FALSE)*$F18</f>
        <v>790.1663990289388</v>
      </c>
    </row>
    <row r="19" spans="1:9" ht="16.5" thickBot="1">
      <c r="A19" s="21"/>
      <c r="B19" s="234" t="s">
        <v>226</v>
      </c>
      <c r="C19" s="235">
        <v>262</v>
      </c>
      <c r="D19" s="233" t="s">
        <v>218</v>
      </c>
      <c r="E19" s="167" t="s">
        <v>2</v>
      </c>
      <c r="F19" s="359"/>
      <c r="G19" s="296">
        <f>VLOOKUP($E19,Ratio,2,FALSE)*$F19</f>
        <v>0</v>
      </c>
      <c r="H19" s="296">
        <f>VLOOKUP($E19,Ratio,3,FALSE)*$F19</f>
        <v>0</v>
      </c>
      <c r="I19" s="296">
        <f>VLOOKUP($E19,Ratio,4,FALSE)*$F19</f>
        <v>0</v>
      </c>
    </row>
    <row r="20" spans="1:9" ht="16.5" thickBot="1">
      <c r="A20" s="240" t="s">
        <v>360</v>
      </c>
      <c r="B20" s="234"/>
      <c r="C20" s="235"/>
      <c r="D20" s="233"/>
      <c r="E20" s="167"/>
      <c r="F20" s="283">
        <f>SUM(F18:F19)</f>
        <v>2058</v>
      </c>
      <c r="G20" s="283">
        <f>SUM(G18:G19)</f>
        <v>921.1724280392621</v>
      </c>
      <c r="H20" s="283">
        <f>SUM(H18:H19)</f>
        <v>364.48344260621445</v>
      </c>
      <c r="I20" s="283">
        <f>SUM(I18:I19)</f>
        <v>790.1663990289388</v>
      </c>
    </row>
    <row r="21" spans="1:9" ht="15.75">
      <c r="A21" s="21"/>
      <c r="B21" s="234"/>
      <c r="C21" s="235"/>
      <c r="D21" s="233"/>
      <c r="E21" s="167"/>
      <c r="F21" s="232"/>
      <c r="G21" s="232"/>
      <c r="H21" s="232"/>
      <c r="I21" s="232"/>
    </row>
    <row r="22" spans="1:9" ht="15.75">
      <c r="A22" s="240" t="s">
        <v>299</v>
      </c>
      <c r="B22" s="249"/>
      <c r="C22" s="235"/>
      <c r="D22" s="233"/>
      <c r="E22" s="167"/>
      <c r="F22" s="232"/>
      <c r="G22" s="232"/>
      <c r="H22" s="232"/>
      <c r="I22" s="232"/>
    </row>
    <row r="23" spans="1:9" ht="15.75">
      <c r="A23" s="21"/>
      <c r="B23" s="234" t="s">
        <v>221</v>
      </c>
      <c r="C23" s="235">
        <v>262</v>
      </c>
      <c r="D23" s="233" t="s">
        <v>218</v>
      </c>
      <c r="E23" s="167" t="s">
        <v>29</v>
      </c>
      <c r="F23" s="359">
        <v>33124</v>
      </c>
      <c r="G23" s="296">
        <f>VLOOKUP($E23,Ratio,2,FALSE)*$F23</f>
        <v>14826.489556060504</v>
      </c>
      <c r="H23" s="296">
        <f>VLOOKUP($E23,Ratio,3,FALSE)*$F23</f>
        <v>5866.447790519071</v>
      </c>
      <c r="I23" s="296">
        <f>VLOOKUP($E23,Ratio,4,FALSE)*$F23</f>
        <v>12717.916327227682</v>
      </c>
    </row>
    <row r="24" spans="1:9" ht="15.75">
      <c r="A24" s="21"/>
      <c r="B24" s="234" t="s">
        <v>228</v>
      </c>
      <c r="C24" s="235">
        <v>262</v>
      </c>
      <c r="D24" s="233" t="s">
        <v>218</v>
      </c>
      <c r="E24" s="167" t="s">
        <v>17</v>
      </c>
      <c r="F24" s="359"/>
      <c r="G24" s="296">
        <f>VLOOKUP($E24,Ratio,2,FALSE)*$F24</f>
        <v>0</v>
      </c>
      <c r="H24" s="296">
        <f>VLOOKUP($E24,Ratio,3,FALSE)*$F24</f>
        <v>0</v>
      </c>
      <c r="I24" s="296">
        <f>VLOOKUP($E24,Ratio,4,FALSE)*$F24</f>
        <v>0</v>
      </c>
    </row>
    <row r="25" spans="1:9" ht="15.75">
      <c r="A25" s="21"/>
      <c r="B25" s="234" t="s">
        <v>300</v>
      </c>
      <c r="C25" s="235">
        <v>262</v>
      </c>
      <c r="D25" s="233" t="s">
        <v>218</v>
      </c>
      <c r="E25" s="167" t="s">
        <v>2</v>
      </c>
      <c r="F25" s="359"/>
      <c r="G25" s="296">
        <f>VLOOKUP($E25,Ratio,2,FALSE)*$F25</f>
        <v>0</v>
      </c>
      <c r="H25" s="296">
        <f>VLOOKUP($E25,Ratio,3,FALSE)*$F25</f>
        <v>0</v>
      </c>
      <c r="I25" s="296">
        <f>VLOOKUP($E25,Ratio,4,FALSE)*$F25</f>
        <v>0</v>
      </c>
    </row>
    <row r="26" spans="1:9" ht="15.75">
      <c r="A26" s="21"/>
      <c r="B26" s="234" t="s">
        <v>229</v>
      </c>
      <c r="C26" s="235">
        <v>262</v>
      </c>
      <c r="D26" s="233"/>
      <c r="E26" s="167" t="s">
        <v>2</v>
      </c>
      <c r="F26" s="359"/>
      <c r="G26" s="296">
        <f>VLOOKUP($E26,Ratio,2,FALSE)*$F26</f>
        <v>0</v>
      </c>
      <c r="H26" s="296">
        <f>VLOOKUP($E26,Ratio,3,FALSE)*$F26</f>
        <v>0</v>
      </c>
      <c r="I26" s="296">
        <f>VLOOKUP($E26,Ratio,4,FALSE)*$F26</f>
        <v>0</v>
      </c>
    </row>
    <row r="27" spans="1:9" ht="15.75">
      <c r="A27" s="21"/>
      <c r="B27" s="234" t="s">
        <v>301</v>
      </c>
      <c r="C27" s="235">
        <v>262</v>
      </c>
      <c r="D27" s="233"/>
      <c r="E27" s="167" t="s">
        <v>2</v>
      </c>
      <c r="F27" s="359"/>
      <c r="G27" s="296">
        <f>VLOOKUP($E27,Ratio,2,FALSE)*$F27</f>
        <v>0</v>
      </c>
      <c r="H27" s="296">
        <f>VLOOKUP($E27,Ratio,3,FALSE)*$F27</f>
        <v>0</v>
      </c>
      <c r="I27" s="296">
        <f>VLOOKUP($E27,Ratio,4,FALSE)*$F27</f>
        <v>0</v>
      </c>
    </row>
    <row r="28" spans="1:9" ht="16.5" thickBot="1">
      <c r="A28" s="21"/>
      <c r="B28" s="234" t="s">
        <v>302</v>
      </c>
      <c r="C28" s="235">
        <v>262</v>
      </c>
      <c r="D28" s="233" t="s">
        <v>218</v>
      </c>
      <c r="E28" s="167" t="s">
        <v>2</v>
      </c>
      <c r="F28" s="359"/>
      <c r="G28" s="296">
        <f>VLOOKUP($E28,Ratio,2,FALSE)*$F28</f>
        <v>0</v>
      </c>
      <c r="H28" s="296">
        <f>VLOOKUP($E28,Ratio,3,FALSE)*$F28</f>
        <v>0</v>
      </c>
      <c r="I28" s="296">
        <f>VLOOKUP($E28,Ratio,4,FALSE)*$F28</f>
        <v>0</v>
      </c>
    </row>
    <row r="29" spans="1:9" ht="16.5" thickBot="1">
      <c r="A29" s="240" t="s">
        <v>298</v>
      </c>
      <c r="B29" s="234"/>
      <c r="C29" s="235"/>
      <c r="D29" s="233"/>
      <c r="E29" s="167"/>
      <c r="F29" s="283">
        <f>SUM(F23:F28)</f>
        <v>33124</v>
      </c>
      <c r="G29" s="283">
        <f>SUM(G23:G28)</f>
        <v>14826.489556060504</v>
      </c>
      <c r="H29" s="283">
        <f>SUM(H23:H28)</f>
        <v>5866.447790519071</v>
      </c>
      <c r="I29" s="283">
        <f>SUM(I23:I28)</f>
        <v>12717.916327227682</v>
      </c>
    </row>
    <row r="30" spans="1:9" ht="15.75">
      <c r="A30" s="240"/>
      <c r="B30" s="234"/>
      <c r="C30" s="235"/>
      <c r="D30" s="233"/>
      <c r="E30" s="167"/>
      <c r="F30" s="232"/>
      <c r="G30" s="232"/>
      <c r="H30" s="232"/>
      <c r="I30" s="232"/>
    </row>
    <row r="31" spans="1:9" ht="15.75">
      <c r="A31" s="240" t="s">
        <v>303</v>
      </c>
      <c r="B31" s="249"/>
      <c r="C31" s="235"/>
      <c r="D31" s="233"/>
      <c r="E31" s="167"/>
      <c r="F31" s="232"/>
      <c r="G31" s="232"/>
      <c r="H31" s="232"/>
      <c r="I31" s="232"/>
    </row>
    <row r="32" spans="1:9" ht="15.75">
      <c r="A32" s="21"/>
      <c r="B32" s="234" t="s">
        <v>221</v>
      </c>
      <c r="C32" s="235">
        <v>262</v>
      </c>
      <c r="D32" s="233" t="s">
        <v>218</v>
      </c>
      <c r="E32" s="167" t="s">
        <v>29</v>
      </c>
      <c r="F32" s="359"/>
      <c r="G32" s="296">
        <f>VLOOKUP($E32,Ratio,2,FALSE)*$F32</f>
        <v>0</v>
      </c>
      <c r="H32" s="296">
        <f>VLOOKUP($E32,Ratio,3,FALSE)*$F32</f>
        <v>0</v>
      </c>
      <c r="I32" s="296">
        <f>VLOOKUP($E32,Ratio,4,FALSE)*$F32</f>
        <v>0</v>
      </c>
    </row>
    <row r="33" spans="1:9" ht="16.5" thickBot="1">
      <c r="A33" s="21"/>
      <c r="B33" s="234" t="s">
        <v>226</v>
      </c>
      <c r="C33" s="235">
        <v>262</v>
      </c>
      <c r="D33" s="233" t="s">
        <v>218</v>
      </c>
      <c r="E33" s="167" t="s">
        <v>2</v>
      </c>
      <c r="F33" s="359"/>
      <c r="G33" s="296">
        <f>VLOOKUP($E33,Ratio,2,FALSE)*$F33</f>
        <v>0</v>
      </c>
      <c r="H33" s="296">
        <f>VLOOKUP($E33,Ratio,3,FALSE)*$F33</f>
        <v>0</v>
      </c>
      <c r="I33" s="296">
        <f>VLOOKUP($E33,Ratio,4,FALSE)*$F33</f>
        <v>0</v>
      </c>
    </row>
    <row r="34" spans="1:9" ht="16.5" thickBot="1">
      <c r="A34" s="240" t="s">
        <v>304</v>
      </c>
      <c r="B34" s="234"/>
      <c r="C34" s="235"/>
      <c r="D34" s="233"/>
      <c r="E34" s="167"/>
      <c r="F34" s="283">
        <f>SUM(F32:F33)</f>
        <v>0</v>
      </c>
      <c r="G34" s="283">
        <f>SUM(G32:G33)</f>
        <v>0</v>
      </c>
      <c r="H34" s="283">
        <f>SUM(H32:H33)</f>
        <v>0</v>
      </c>
      <c r="I34" s="283">
        <f>SUM(I32:I33)</f>
        <v>0</v>
      </c>
    </row>
    <row r="35" spans="1:9" ht="15.75">
      <c r="A35" s="21"/>
      <c r="B35" s="234"/>
      <c r="C35" s="235"/>
      <c r="D35" s="233"/>
      <c r="E35" s="167"/>
      <c r="F35" s="232"/>
      <c r="G35" s="232"/>
      <c r="H35" s="232"/>
      <c r="I35" s="232"/>
    </row>
    <row r="36" spans="1:11" ht="15.75">
      <c r="A36" s="240" t="s">
        <v>225</v>
      </c>
      <c r="B36" s="249"/>
      <c r="C36" s="235"/>
      <c r="D36" s="233"/>
      <c r="E36" s="167"/>
      <c r="F36" s="236"/>
      <c r="G36" s="237"/>
      <c r="H36" s="237"/>
      <c r="I36" s="237"/>
      <c r="K36" s="238"/>
    </row>
    <row r="37" spans="1:11" ht="15.75">
      <c r="A37" s="21"/>
      <c r="B37" s="234" t="s">
        <v>221</v>
      </c>
      <c r="C37" s="235">
        <v>262</v>
      </c>
      <c r="D37" s="233" t="s">
        <v>218</v>
      </c>
      <c r="E37" s="167" t="s">
        <v>29</v>
      </c>
      <c r="F37" s="360">
        <v>9660129</v>
      </c>
      <c r="G37" s="296">
        <f>VLOOKUP($E37,Ratio,2,FALSE)*$F37</f>
        <v>4323928.321721326</v>
      </c>
      <c r="H37" s="296">
        <f>VLOOKUP($E37,Ratio,3,FALSE)*$F37</f>
        <v>1710863.4955977297</v>
      </c>
      <c r="I37" s="296">
        <f>VLOOKUP($E37,Ratio,4,FALSE)*$F37</f>
        <v>3708993.851353267</v>
      </c>
      <c r="K37" s="238"/>
    </row>
    <row r="38" spans="1:11" ht="15.75">
      <c r="A38" s="21"/>
      <c r="B38" s="234" t="s">
        <v>226</v>
      </c>
      <c r="C38" s="235">
        <v>262</v>
      </c>
      <c r="D38" s="233" t="s">
        <v>218</v>
      </c>
      <c r="E38" s="167" t="s">
        <v>2</v>
      </c>
      <c r="F38" s="360"/>
      <c r="G38" s="296">
        <f>VLOOKUP($E38,Ratio,2,FALSE)*$F38</f>
        <v>0</v>
      </c>
      <c r="H38" s="296">
        <f>VLOOKUP($E38,Ratio,3,FALSE)*$F38</f>
        <v>0</v>
      </c>
      <c r="I38" s="296">
        <f>VLOOKUP($E38,Ratio,4,FALSE)*$F38</f>
        <v>0</v>
      </c>
      <c r="K38" s="238"/>
    </row>
    <row r="39" spans="1:11" ht="15.75">
      <c r="A39" s="21"/>
      <c r="B39" s="234" t="s">
        <v>227</v>
      </c>
      <c r="C39" s="235">
        <v>262</v>
      </c>
      <c r="D39" s="233" t="s">
        <v>218</v>
      </c>
      <c r="E39" s="167" t="s">
        <v>2</v>
      </c>
      <c r="F39" s="360"/>
      <c r="G39" s="296">
        <f>VLOOKUP($E39,Ratio,2,FALSE)*$F39</f>
        <v>0</v>
      </c>
      <c r="H39" s="296">
        <f>VLOOKUP($E39,Ratio,3,FALSE)*$F39</f>
        <v>0</v>
      </c>
      <c r="I39" s="296">
        <f>VLOOKUP($E39,Ratio,4,FALSE)*$F39</f>
        <v>0</v>
      </c>
      <c r="K39" s="238"/>
    </row>
    <row r="40" spans="1:11" ht="15.75">
      <c r="A40" s="21"/>
      <c r="B40" s="234" t="s">
        <v>228</v>
      </c>
      <c r="C40" s="235">
        <v>262</v>
      </c>
      <c r="D40" s="233"/>
      <c r="E40" s="167" t="s">
        <v>17</v>
      </c>
      <c r="F40" s="360"/>
      <c r="G40" s="296">
        <f>VLOOKUP($E40,Ratio,2,FALSE)*$F40</f>
        <v>0</v>
      </c>
      <c r="H40" s="296">
        <f>VLOOKUP($E40,Ratio,3,FALSE)*$F40</f>
        <v>0</v>
      </c>
      <c r="I40" s="296">
        <f>VLOOKUP($E40,Ratio,4,FALSE)*$F40</f>
        <v>0</v>
      </c>
      <c r="K40" s="238"/>
    </row>
    <row r="41" spans="1:11" ht="15.75">
      <c r="A41" s="21"/>
      <c r="B41" s="234" t="s">
        <v>229</v>
      </c>
      <c r="C41" s="235">
        <v>262</v>
      </c>
      <c r="D41" s="233"/>
      <c r="E41" s="167" t="s">
        <v>2</v>
      </c>
      <c r="F41" s="360"/>
      <c r="G41" s="296">
        <f>VLOOKUP($E41,Ratio,2,FALSE)*$F41</f>
        <v>0</v>
      </c>
      <c r="H41" s="296">
        <f>VLOOKUP($E41,Ratio,3,FALSE)*$F41</f>
        <v>0</v>
      </c>
      <c r="I41" s="296">
        <f>VLOOKUP($E41,Ratio,4,FALSE)*$F41</f>
        <v>0</v>
      </c>
      <c r="K41" s="238"/>
    </row>
    <row r="42" spans="1:11" ht="16.5" thickBot="1">
      <c r="A42" s="21"/>
      <c r="B42" s="234" t="s">
        <v>230</v>
      </c>
      <c r="C42" s="235">
        <v>262</v>
      </c>
      <c r="D42" s="233" t="s">
        <v>218</v>
      </c>
      <c r="E42" s="167" t="s">
        <v>2</v>
      </c>
      <c r="F42" s="360"/>
      <c r="G42" s="296">
        <f>VLOOKUP($E42,Ratio,2,FALSE)*$F42</f>
        <v>0</v>
      </c>
      <c r="H42" s="296">
        <f>VLOOKUP($E42,Ratio,3,FALSE)*$F42</f>
        <v>0</v>
      </c>
      <c r="I42" s="296">
        <f>VLOOKUP($E42,Ratio,4,FALSE)*$F42</f>
        <v>0</v>
      </c>
      <c r="K42" s="238"/>
    </row>
    <row r="43" spans="1:11" ht="16.5" thickBot="1">
      <c r="A43" s="240" t="s">
        <v>231</v>
      </c>
      <c r="B43" s="249"/>
      <c r="C43" s="235"/>
      <c r="D43" s="233" t="s">
        <v>218</v>
      </c>
      <c r="E43" s="167"/>
      <c r="F43" s="283">
        <f>SUM(F37:F42)</f>
        <v>9660129</v>
      </c>
      <c r="G43" s="283">
        <f>SUM(G37:G42)</f>
        <v>4323928.321721326</v>
      </c>
      <c r="H43" s="283">
        <f>SUM(H37:H42)</f>
        <v>1710863.4955977297</v>
      </c>
      <c r="I43" s="283">
        <f>SUM(I37:I42)</f>
        <v>3708993.851353267</v>
      </c>
      <c r="K43" s="238"/>
    </row>
    <row r="44" spans="1:11" ht="15.75">
      <c r="A44" s="21"/>
      <c r="B44" s="234"/>
      <c r="C44" s="235"/>
      <c r="D44" s="233"/>
      <c r="E44" s="167"/>
      <c r="F44" s="236"/>
      <c r="G44" s="237"/>
      <c r="H44" s="237"/>
      <c r="I44" s="237"/>
      <c r="K44" s="238"/>
    </row>
    <row r="45" spans="1:11" ht="15.75">
      <c r="A45" s="240" t="s">
        <v>235</v>
      </c>
      <c r="B45" s="249"/>
      <c r="C45" s="235"/>
      <c r="D45" s="233"/>
      <c r="E45" s="167"/>
      <c r="F45" s="236"/>
      <c r="G45" s="237"/>
      <c r="H45" s="237"/>
      <c r="I45" s="237"/>
      <c r="K45" s="238"/>
    </row>
    <row r="46" spans="1:11" ht="15.75">
      <c r="A46" s="21"/>
      <c r="B46" s="234" t="s">
        <v>221</v>
      </c>
      <c r="C46" s="235">
        <v>262</v>
      </c>
      <c r="D46" s="233" t="s">
        <v>218</v>
      </c>
      <c r="E46" s="167" t="s">
        <v>3</v>
      </c>
      <c r="F46" s="360">
        <v>9051303</v>
      </c>
      <c r="G46" s="296">
        <f>VLOOKUP($E46,Ratio,2,FALSE)*$F46</f>
        <v>9051303</v>
      </c>
      <c r="H46" s="296">
        <f>VLOOKUP($E46,Ratio,3,FALSE)*$F46</f>
        <v>0</v>
      </c>
      <c r="I46" s="296">
        <f>VLOOKUP($E46,Ratio,4,FALSE)*$F46</f>
        <v>0</v>
      </c>
      <c r="K46" s="238"/>
    </row>
    <row r="47" spans="1:11" ht="15.75">
      <c r="A47" s="21"/>
      <c r="B47" s="234" t="s">
        <v>334</v>
      </c>
      <c r="C47" s="235">
        <v>262</v>
      </c>
      <c r="D47" s="233"/>
      <c r="E47" s="167" t="s">
        <v>2</v>
      </c>
      <c r="F47" s="360"/>
      <c r="G47" s="296">
        <f>VLOOKUP($E47,Ratio,2,FALSE)*$F47</f>
        <v>0</v>
      </c>
      <c r="H47" s="296">
        <f>VLOOKUP($E47,Ratio,3,FALSE)*$F47</f>
        <v>0</v>
      </c>
      <c r="I47" s="296">
        <f>VLOOKUP($E47,Ratio,4,FALSE)*$F47</f>
        <v>0</v>
      </c>
      <c r="K47" s="238"/>
    </row>
    <row r="48" spans="1:11" ht="15.75">
      <c r="A48" s="21"/>
      <c r="B48" s="234" t="s">
        <v>335</v>
      </c>
      <c r="C48" s="235">
        <v>262</v>
      </c>
      <c r="D48" s="233"/>
      <c r="E48" s="167" t="s">
        <v>2</v>
      </c>
      <c r="F48" s="360"/>
      <c r="G48" s="296">
        <f>VLOOKUP($E48,Ratio,2,FALSE)*$F48</f>
        <v>0</v>
      </c>
      <c r="H48" s="296">
        <f>VLOOKUP($E48,Ratio,3,FALSE)*$F48</f>
        <v>0</v>
      </c>
      <c r="I48" s="296">
        <f>VLOOKUP($E48,Ratio,4,FALSE)*$F48</f>
        <v>0</v>
      </c>
      <c r="K48" s="238"/>
    </row>
    <row r="49" spans="1:11" ht="16.5" thickBot="1">
      <c r="A49" s="21"/>
      <c r="B49" s="234" t="s">
        <v>305</v>
      </c>
      <c r="C49" s="235">
        <v>262</v>
      </c>
      <c r="D49" s="233"/>
      <c r="E49" s="167" t="s">
        <v>2</v>
      </c>
      <c r="F49" s="360"/>
      <c r="G49" s="296">
        <f>VLOOKUP($E49,Ratio,2,FALSE)*$F49</f>
        <v>0</v>
      </c>
      <c r="H49" s="296">
        <f>VLOOKUP($E49,Ratio,3,FALSE)*$F49</f>
        <v>0</v>
      </c>
      <c r="I49" s="296">
        <f>VLOOKUP($E49,Ratio,4,FALSE)*$F49</f>
        <v>0</v>
      </c>
      <c r="K49" s="238"/>
    </row>
    <row r="50" spans="1:11" ht="16.5" thickBot="1">
      <c r="A50" s="240" t="s">
        <v>236</v>
      </c>
      <c r="B50" s="249"/>
      <c r="C50" s="235"/>
      <c r="D50" s="233"/>
      <c r="E50" s="167"/>
      <c r="F50" s="283">
        <f>SUM(F46:F49)</f>
        <v>9051303</v>
      </c>
      <c r="G50" s="283">
        <f>SUM(G46:G49)</f>
        <v>9051303</v>
      </c>
      <c r="H50" s="283">
        <f>SUM(H46:H49)</f>
        <v>0</v>
      </c>
      <c r="I50" s="283">
        <f>SUM(I46:I49)</f>
        <v>0</v>
      </c>
      <c r="K50" s="238"/>
    </row>
    <row r="51" spans="1:11" ht="15.75">
      <c r="A51" s="21"/>
      <c r="B51" s="234"/>
      <c r="C51" s="235"/>
      <c r="D51" s="233"/>
      <c r="E51" s="190"/>
      <c r="F51" s="236"/>
      <c r="G51" s="239"/>
      <c r="H51" s="239"/>
      <c r="I51" s="239"/>
      <c r="K51" s="238"/>
    </row>
    <row r="52" spans="1:11" ht="15.75">
      <c r="A52" s="240" t="s">
        <v>237</v>
      </c>
      <c r="B52" s="249"/>
      <c r="C52" s="235"/>
      <c r="D52" s="233"/>
      <c r="E52" s="167"/>
      <c r="F52" s="236"/>
      <c r="G52" s="237"/>
      <c r="H52" s="237"/>
      <c r="I52" s="237"/>
      <c r="K52" s="238"/>
    </row>
    <row r="53" spans="1:11" ht="15.75">
      <c r="A53" s="21"/>
      <c r="B53" s="234" t="s">
        <v>221</v>
      </c>
      <c r="C53" s="235">
        <v>262</v>
      </c>
      <c r="D53" s="233" t="s">
        <v>218</v>
      </c>
      <c r="E53" s="167" t="s">
        <v>29</v>
      </c>
      <c r="F53" s="360"/>
      <c r="G53" s="296">
        <f>VLOOKUP($E53,Ratio,2,FALSE)*$F53</f>
        <v>0</v>
      </c>
      <c r="H53" s="296">
        <f>VLOOKUP($E53,Ratio,3,FALSE)*$F53</f>
        <v>0</v>
      </c>
      <c r="I53" s="296">
        <f>VLOOKUP($E53,Ratio,4,FALSE)*$F53</f>
        <v>0</v>
      </c>
      <c r="K53" s="238"/>
    </row>
    <row r="54" spans="1:11" ht="15.75">
      <c r="A54" s="21"/>
      <c r="B54" s="234" t="s">
        <v>238</v>
      </c>
      <c r="C54" s="235">
        <v>262</v>
      </c>
      <c r="D54" s="233" t="s">
        <v>218</v>
      </c>
      <c r="E54" s="167" t="s">
        <v>2</v>
      </c>
      <c r="F54" s="360"/>
      <c r="G54" s="296">
        <f>VLOOKUP($E54,Ratio,2,FALSE)*$F54</f>
        <v>0</v>
      </c>
      <c r="H54" s="296">
        <f>VLOOKUP($E54,Ratio,3,FALSE)*$F54</f>
        <v>0</v>
      </c>
      <c r="I54" s="296">
        <f>VLOOKUP($E54,Ratio,4,FALSE)*$F54</f>
        <v>0</v>
      </c>
      <c r="K54" s="238"/>
    </row>
    <row r="55" spans="1:11" ht="16.5" thickBot="1">
      <c r="A55" s="21"/>
      <c r="B55" s="234" t="s">
        <v>228</v>
      </c>
      <c r="C55" s="235">
        <v>262</v>
      </c>
      <c r="D55" s="233"/>
      <c r="E55" s="167" t="s">
        <v>17</v>
      </c>
      <c r="F55" s="360"/>
      <c r="G55" s="296">
        <f>VLOOKUP($E55,Ratio,2,FALSE)*$F55</f>
        <v>0</v>
      </c>
      <c r="H55" s="296">
        <f>VLOOKUP($E55,Ratio,3,FALSE)*$F55</f>
        <v>0</v>
      </c>
      <c r="I55" s="296">
        <f>VLOOKUP($E55,Ratio,4,FALSE)*$F55</f>
        <v>0</v>
      </c>
      <c r="K55" s="238"/>
    </row>
    <row r="56" spans="1:11" ht="16.5" thickBot="1">
      <c r="A56" s="240" t="s">
        <v>239</v>
      </c>
      <c r="B56" s="249"/>
      <c r="C56" s="235"/>
      <c r="D56" s="233" t="s">
        <v>218</v>
      </c>
      <c r="E56" s="167"/>
      <c r="F56" s="283">
        <f>SUM(F53:F55)</f>
        <v>0</v>
      </c>
      <c r="G56" s="283">
        <f>SUM(G53:G55)</f>
        <v>0</v>
      </c>
      <c r="H56" s="283">
        <f>SUM(H53:H55)</f>
        <v>0</v>
      </c>
      <c r="I56" s="283">
        <f>SUM(I53:I55)</f>
        <v>0</v>
      </c>
      <c r="K56" s="238"/>
    </row>
    <row r="57" spans="1:11" ht="15.75">
      <c r="A57" s="21"/>
      <c r="B57" s="234"/>
      <c r="C57" s="235"/>
      <c r="D57" s="233"/>
      <c r="E57" s="167"/>
      <c r="F57" s="236"/>
      <c r="G57" s="237"/>
      <c r="H57" s="237"/>
      <c r="I57" s="237"/>
      <c r="K57" s="238"/>
    </row>
    <row r="58" spans="1:11" ht="15.75">
      <c r="A58" s="240" t="s">
        <v>306</v>
      </c>
      <c r="B58" s="249"/>
      <c r="C58" s="235"/>
      <c r="D58" s="233"/>
      <c r="E58" s="167"/>
      <c r="F58" s="236"/>
      <c r="G58" s="237"/>
      <c r="H58" s="237"/>
      <c r="I58" s="237"/>
      <c r="K58" s="238"/>
    </row>
    <row r="59" spans="1:11" ht="16.5" thickBot="1">
      <c r="A59" s="21"/>
      <c r="B59" s="234" t="s">
        <v>221</v>
      </c>
      <c r="C59" s="235">
        <v>262</v>
      </c>
      <c r="D59" s="233" t="s">
        <v>218</v>
      </c>
      <c r="E59" s="167" t="s">
        <v>29</v>
      </c>
      <c r="F59" s="361"/>
      <c r="G59" s="296">
        <f>VLOOKUP($E59,Ratio,2,FALSE)*$F59</f>
        <v>0</v>
      </c>
      <c r="H59" s="296">
        <f>VLOOKUP($E59,Ratio,3,FALSE)*$F59</f>
        <v>0</v>
      </c>
      <c r="I59" s="296">
        <f>VLOOKUP($E59,Ratio,4,FALSE)*$F59</f>
        <v>0</v>
      </c>
      <c r="K59" s="238"/>
    </row>
    <row r="60" spans="1:11" ht="16.5" thickBot="1">
      <c r="A60" s="240" t="s">
        <v>307</v>
      </c>
      <c r="B60" s="249"/>
      <c r="C60" s="235"/>
      <c r="D60" s="233"/>
      <c r="E60" s="167"/>
      <c r="F60" s="283">
        <f>SUM(F59)</f>
        <v>0</v>
      </c>
      <c r="G60" s="283">
        <f>SUM(G59)</f>
        <v>0</v>
      </c>
      <c r="H60" s="283">
        <f>SUM(H59)</f>
        <v>0</v>
      </c>
      <c r="I60" s="283">
        <f>SUM(I59)</f>
        <v>0</v>
      </c>
      <c r="K60" s="238"/>
    </row>
    <row r="61" spans="1:11" ht="15.75">
      <c r="A61" s="240"/>
      <c r="B61" s="249"/>
      <c r="C61" s="235"/>
      <c r="D61" s="233"/>
      <c r="E61" s="167"/>
      <c r="F61" s="236"/>
      <c r="G61" s="237"/>
      <c r="H61" s="237"/>
      <c r="I61" s="237"/>
      <c r="K61" s="238"/>
    </row>
    <row r="62" spans="1:11" ht="15.75">
      <c r="A62" s="240" t="s">
        <v>232</v>
      </c>
      <c r="B62" s="249"/>
      <c r="C62" s="235"/>
      <c r="D62" s="233"/>
      <c r="E62" s="167"/>
      <c r="F62" s="236"/>
      <c r="G62" s="237"/>
      <c r="H62" s="237"/>
      <c r="I62" s="237"/>
      <c r="K62" s="238"/>
    </row>
    <row r="63" spans="1:11" ht="15.75">
      <c r="A63" s="21"/>
      <c r="B63" s="234" t="s">
        <v>221</v>
      </c>
      <c r="C63" s="235">
        <v>262</v>
      </c>
      <c r="D63" s="233" t="s">
        <v>218</v>
      </c>
      <c r="E63" s="167" t="s">
        <v>29</v>
      </c>
      <c r="F63" s="360">
        <v>6137158</v>
      </c>
      <c r="G63" s="296">
        <f>VLOOKUP($E63,Ratio,2,FALSE)*$F63</f>
        <v>2747026.5967544126</v>
      </c>
      <c r="H63" s="296">
        <f>VLOOKUP($E63,Ratio,3,FALSE)*$F63</f>
        <v>1086925.4011944945</v>
      </c>
      <c r="I63" s="296">
        <f>VLOOKUP($E63,Ratio,4,FALSE)*$F63</f>
        <v>2356353.7595391856</v>
      </c>
      <c r="K63" s="238"/>
    </row>
    <row r="64" spans="1:11" ht="15.75">
      <c r="A64" s="21"/>
      <c r="B64" s="234" t="s">
        <v>226</v>
      </c>
      <c r="C64" s="235">
        <v>262</v>
      </c>
      <c r="D64" s="233" t="s">
        <v>218</v>
      </c>
      <c r="E64" s="167" t="s">
        <v>2</v>
      </c>
      <c r="F64" s="360"/>
      <c r="G64" s="296">
        <f>VLOOKUP($E64,Ratio,2,FALSE)*$F64</f>
        <v>0</v>
      </c>
      <c r="H64" s="296">
        <f>VLOOKUP($E64,Ratio,3,FALSE)*$F64</f>
        <v>0</v>
      </c>
      <c r="I64" s="296">
        <f>VLOOKUP($E64,Ratio,4,FALSE)*$F64</f>
        <v>0</v>
      </c>
      <c r="K64" s="238"/>
    </row>
    <row r="65" spans="1:11" ht="15.75">
      <c r="A65" s="21"/>
      <c r="B65" s="234" t="s">
        <v>308</v>
      </c>
      <c r="C65" s="235">
        <v>262</v>
      </c>
      <c r="D65" s="233"/>
      <c r="E65" s="167" t="s">
        <v>17</v>
      </c>
      <c r="F65" s="360"/>
      <c r="G65" s="296">
        <f>VLOOKUP($E65,Ratio,2,FALSE)*$F65</f>
        <v>0</v>
      </c>
      <c r="H65" s="296">
        <f>VLOOKUP($E65,Ratio,3,FALSE)*$F65</f>
        <v>0</v>
      </c>
      <c r="I65" s="296">
        <f>VLOOKUP($E65,Ratio,4,FALSE)*$F65</f>
        <v>0</v>
      </c>
      <c r="K65" s="238"/>
    </row>
    <row r="66" spans="1:11" ht="15.75">
      <c r="A66" s="21"/>
      <c r="B66" s="234" t="s">
        <v>229</v>
      </c>
      <c r="C66" s="235">
        <v>262</v>
      </c>
      <c r="D66" s="233" t="s">
        <v>218</v>
      </c>
      <c r="E66" s="167" t="s">
        <v>2</v>
      </c>
      <c r="F66" s="360"/>
      <c r="G66" s="296">
        <f>VLOOKUP($E66,Ratio,2,FALSE)*$F66</f>
        <v>0</v>
      </c>
      <c r="H66" s="296">
        <f>VLOOKUP($E66,Ratio,3,FALSE)*$F66</f>
        <v>0</v>
      </c>
      <c r="I66" s="296">
        <f>VLOOKUP($E66,Ratio,4,FALSE)*$F66</f>
        <v>0</v>
      </c>
      <c r="K66" s="238"/>
    </row>
    <row r="67" spans="1:11" ht="15.75">
      <c r="A67" s="21"/>
      <c r="B67" s="234" t="s">
        <v>309</v>
      </c>
      <c r="C67" s="235">
        <v>262</v>
      </c>
      <c r="D67" s="233"/>
      <c r="E67" s="167" t="s">
        <v>2</v>
      </c>
      <c r="F67" s="360"/>
      <c r="G67" s="296">
        <f>VLOOKUP($E67,Ratio,2,FALSE)*$F67</f>
        <v>0</v>
      </c>
      <c r="H67" s="296">
        <f>VLOOKUP($E67,Ratio,3,FALSE)*$F67</f>
        <v>0</v>
      </c>
      <c r="I67" s="296">
        <f>VLOOKUP($E67,Ratio,4,FALSE)*$F67</f>
        <v>0</v>
      </c>
      <c r="K67" s="238"/>
    </row>
    <row r="68" spans="1:11" ht="15.75">
      <c r="A68" s="21"/>
      <c r="B68" s="234" t="s">
        <v>310</v>
      </c>
      <c r="C68" s="235">
        <v>262</v>
      </c>
      <c r="D68" s="233"/>
      <c r="E68" s="167" t="s">
        <v>2</v>
      </c>
      <c r="F68" s="360"/>
      <c r="G68" s="296">
        <f>VLOOKUP($E68,Ratio,2,FALSE)*$F68</f>
        <v>0</v>
      </c>
      <c r="H68" s="296">
        <f>VLOOKUP($E68,Ratio,3,FALSE)*$F68</f>
        <v>0</v>
      </c>
      <c r="I68" s="296">
        <f>VLOOKUP($E68,Ratio,4,FALSE)*$F68</f>
        <v>0</v>
      </c>
      <c r="K68" s="238"/>
    </row>
    <row r="69" spans="1:11" ht="15.75">
      <c r="A69" s="21"/>
      <c r="B69" s="234" t="s">
        <v>311</v>
      </c>
      <c r="C69" s="235">
        <v>262</v>
      </c>
      <c r="D69" s="233"/>
      <c r="E69" s="167" t="s">
        <v>2</v>
      </c>
      <c r="F69" s="360"/>
      <c r="G69" s="296">
        <f>VLOOKUP($E69,Ratio,2,FALSE)*$F69</f>
        <v>0</v>
      </c>
      <c r="H69" s="296">
        <f>VLOOKUP($E69,Ratio,3,FALSE)*$F69</f>
        <v>0</v>
      </c>
      <c r="I69" s="296">
        <f>VLOOKUP($E69,Ratio,4,FALSE)*$F69</f>
        <v>0</v>
      </c>
      <c r="K69" s="238"/>
    </row>
    <row r="70" spans="1:11" ht="15.75">
      <c r="A70" s="21"/>
      <c r="B70" s="234" t="s">
        <v>312</v>
      </c>
      <c r="C70" s="235">
        <v>262</v>
      </c>
      <c r="D70" s="233"/>
      <c r="E70" s="167" t="s">
        <v>2</v>
      </c>
      <c r="F70" s="360"/>
      <c r="G70" s="296">
        <f>VLOOKUP($E70,Ratio,2,FALSE)*$F70</f>
        <v>0</v>
      </c>
      <c r="H70" s="296">
        <f>VLOOKUP($E70,Ratio,3,FALSE)*$F70</f>
        <v>0</v>
      </c>
      <c r="I70" s="296">
        <f>VLOOKUP($E70,Ratio,4,FALSE)*$F70</f>
        <v>0</v>
      </c>
      <c r="K70" s="238"/>
    </row>
    <row r="71" spans="1:11" ht="15.75">
      <c r="A71" s="21"/>
      <c r="B71" s="234" t="s">
        <v>313</v>
      </c>
      <c r="C71" s="235">
        <v>262</v>
      </c>
      <c r="D71" s="233"/>
      <c r="E71" s="167" t="s">
        <v>2</v>
      </c>
      <c r="F71" s="360"/>
      <c r="G71" s="296">
        <f>VLOOKUP($E71,Ratio,2,FALSE)*$F71</f>
        <v>0</v>
      </c>
      <c r="H71" s="296">
        <f>VLOOKUP($E71,Ratio,3,FALSE)*$F71</f>
        <v>0</v>
      </c>
      <c r="I71" s="296">
        <f>VLOOKUP($E71,Ratio,4,FALSE)*$F71</f>
        <v>0</v>
      </c>
      <c r="K71" s="238"/>
    </row>
    <row r="72" spans="1:11" ht="15.75">
      <c r="A72" s="21"/>
      <c r="B72" s="234" t="s">
        <v>228</v>
      </c>
      <c r="C72" s="235">
        <v>262</v>
      </c>
      <c r="D72" s="233" t="s">
        <v>218</v>
      </c>
      <c r="E72" s="167" t="s">
        <v>17</v>
      </c>
      <c r="F72" s="360"/>
      <c r="G72" s="296">
        <f>VLOOKUP($E72,Ratio,2,FALSE)*$F72</f>
        <v>0</v>
      </c>
      <c r="H72" s="296">
        <f>VLOOKUP($E72,Ratio,3,FALSE)*$F72</f>
        <v>0</v>
      </c>
      <c r="I72" s="296">
        <f>VLOOKUP($E72,Ratio,4,FALSE)*$F72</f>
        <v>0</v>
      </c>
      <c r="K72" s="238"/>
    </row>
    <row r="73" spans="1:11" ht="16.5" thickBot="1">
      <c r="A73" s="21"/>
      <c r="B73" s="234" t="s">
        <v>233</v>
      </c>
      <c r="C73" s="235">
        <v>262</v>
      </c>
      <c r="D73" s="233" t="s">
        <v>218</v>
      </c>
      <c r="E73" s="167" t="s">
        <v>2</v>
      </c>
      <c r="F73" s="360"/>
      <c r="G73" s="296">
        <f>VLOOKUP($E73,Ratio,2,FALSE)*$F73</f>
        <v>0</v>
      </c>
      <c r="H73" s="296">
        <f>VLOOKUP($E73,Ratio,3,FALSE)*$F73</f>
        <v>0</v>
      </c>
      <c r="I73" s="296">
        <f>VLOOKUP($E73,Ratio,4,FALSE)*$F73</f>
        <v>0</v>
      </c>
      <c r="K73" s="238"/>
    </row>
    <row r="74" spans="1:11" ht="16.5" thickBot="1">
      <c r="A74" s="240" t="s">
        <v>234</v>
      </c>
      <c r="B74" s="249"/>
      <c r="C74" s="235"/>
      <c r="D74" s="233"/>
      <c r="E74" s="167"/>
      <c r="F74" s="283">
        <f>SUM(F63:F73)</f>
        <v>6137158</v>
      </c>
      <c r="G74" s="283">
        <f>SUM(G63:G73)</f>
        <v>2747026.5967544126</v>
      </c>
      <c r="H74" s="283">
        <f>SUM(H63:H73)</f>
        <v>1086925.4011944945</v>
      </c>
      <c r="I74" s="283">
        <f>SUM(I63:I73)</f>
        <v>2356353.7595391856</v>
      </c>
      <c r="K74" s="238"/>
    </row>
    <row r="75" spans="1:11" ht="15.75">
      <c r="A75" s="240"/>
      <c r="B75" s="249"/>
      <c r="C75" s="235"/>
      <c r="D75" s="233"/>
      <c r="E75" s="167"/>
      <c r="F75" s="287"/>
      <c r="G75" s="287"/>
      <c r="H75" s="287"/>
      <c r="I75" s="287"/>
      <c r="K75" s="238"/>
    </row>
    <row r="76" spans="1:11" ht="15.75">
      <c r="A76" s="240" t="s">
        <v>314</v>
      </c>
      <c r="B76" s="249"/>
      <c r="C76" s="235"/>
      <c r="D76" s="233"/>
      <c r="E76" s="167"/>
      <c r="F76" s="287"/>
      <c r="G76" s="287"/>
      <c r="H76" s="287"/>
      <c r="I76" s="287"/>
      <c r="K76" s="238"/>
    </row>
    <row r="77" spans="1:11" ht="16.5" thickBot="1">
      <c r="A77" s="21"/>
      <c r="B77" s="234" t="s">
        <v>221</v>
      </c>
      <c r="C77" s="235">
        <v>262</v>
      </c>
      <c r="D77" s="233" t="s">
        <v>218</v>
      </c>
      <c r="E77" s="167" t="s">
        <v>29</v>
      </c>
      <c r="F77" s="360"/>
      <c r="G77" s="296">
        <f>VLOOKUP($E77,Ratio,2,FALSE)*$F77</f>
        <v>0</v>
      </c>
      <c r="H77" s="296">
        <f>VLOOKUP($E77,Ratio,3,FALSE)*$F77</f>
        <v>0</v>
      </c>
      <c r="I77" s="296">
        <f>VLOOKUP($E77,Ratio,4,FALSE)*$F77</f>
        <v>0</v>
      </c>
      <c r="K77" s="238"/>
    </row>
    <row r="78" spans="1:11" ht="16.5" thickBot="1">
      <c r="A78" s="240" t="s">
        <v>315</v>
      </c>
      <c r="B78" s="249"/>
      <c r="C78" s="235"/>
      <c r="D78" s="233"/>
      <c r="E78" s="167"/>
      <c r="F78" s="283">
        <f>SUM(F77)</f>
        <v>0</v>
      </c>
      <c r="G78" s="283">
        <f>SUM(G77)</f>
        <v>0</v>
      </c>
      <c r="H78" s="283">
        <f>SUM(H77)</f>
        <v>0</v>
      </c>
      <c r="I78" s="283">
        <f>SUM(I77)</f>
        <v>0</v>
      </c>
      <c r="K78" s="238"/>
    </row>
    <row r="79" spans="1:11" ht="15.75">
      <c r="A79" s="240"/>
      <c r="B79" s="249"/>
      <c r="C79" s="235"/>
      <c r="D79" s="233"/>
      <c r="E79" s="167"/>
      <c r="F79" s="287"/>
      <c r="G79" s="287"/>
      <c r="H79" s="287"/>
      <c r="I79" s="287"/>
      <c r="K79" s="238"/>
    </row>
    <row r="80" spans="1:11" ht="15.75">
      <c r="A80" s="240" t="s">
        <v>318</v>
      </c>
      <c r="B80" s="249"/>
      <c r="C80" s="235"/>
      <c r="D80" s="233"/>
      <c r="E80" s="167"/>
      <c r="F80" s="236"/>
      <c r="G80" s="237"/>
      <c r="H80" s="237"/>
      <c r="I80" s="237"/>
      <c r="K80" s="238"/>
    </row>
    <row r="81" spans="1:11" ht="15.75">
      <c r="A81" s="21"/>
      <c r="B81" s="234" t="s">
        <v>221</v>
      </c>
      <c r="C81" s="235">
        <v>262</v>
      </c>
      <c r="D81" s="233" t="s">
        <v>218</v>
      </c>
      <c r="E81" s="167" t="s">
        <v>29</v>
      </c>
      <c r="F81" s="360"/>
      <c r="G81" s="296">
        <f>VLOOKUP($E81,Ratio,2,FALSE)*$F81</f>
        <v>0</v>
      </c>
      <c r="H81" s="296">
        <f>VLOOKUP($E81,Ratio,3,FALSE)*$F81</f>
        <v>0</v>
      </c>
      <c r="I81" s="296">
        <f>VLOOKUP($E81,Ratio,4,FALSE)*$F81</f>
        <v>0</v>
      </c>
      <c r="K81" s="238"/>
    </row>
    <row r="82" spans="1:11" ht="15.75">
      <c r="A82" s="21"/>
      <c r="B82" s="234" t="s">
        <v>226</v>
      </c>
      <c r="C82" s="235">
        <v>262</v>
      </c>
      <c r="D82" s="233" t="s">
        <v>218</v>
      </c>
      <c r="E82" s="167" t="s">
        <v>2</v>
      </c>
      <c r="F82" s="360"/>
      <c r="G82" s="296">
        <f>VLOOKUP($E82,Ratio,2,FALSE)*$F82</f>
        <v>0</v>
      </c>
      <c r="H82" s="296">
        <f>VLOOKUP($E82,Ratio,3,FALSE)*$F82</f>
        <v>0</v>
      </c>
      <c r="I82" s="296">
        <f>VLOOKUP($E82,Ratio,4,FALSE)*$F82</f>
        <v>0</v>
      </c>
      <c r="K82" s="238"/>
    </row>
    <row r="83" spans="1:11" ht="15.75">
      <c r="A83" s="21"/>
      <c r="B83" s="234" t="s">
        <v>228</v>
      </c>
      <c r="C83" s="235">
        <v>262</v>
      </c>
      <c r="D83" s="233" t="s">
        <v>218</v>
      </c>
      <c r="E83" s="167" t="s">
        <v>17</v>
      </c>
      <c r="F83" s="360"/>
      <c r="G83" s="296">
        <f>VLOOKUP($E83,Ratio,2,FALSE)*$F83</f>
        <v>0</v>
      </c>
      <c r="H83" s="296">
        <f>VLOOKUP($E83,Ratio,3,FALSE)*$F83</f>
        <v>0</v>
      </c>
      <c r="I83" s="296">
        <f>VLOOKUP($E83,Ratio,4,FALSE)*$F83</f>
        <v>0</v>
      </c>
      <c r="K83" s="238"/>
    </row>
    <row r="84" spans="1:11" ht="15.75">
      <c r="A84" s="21"/>
      <c r="B84" s="234" t="s">
        <v>229</v>
      </c>
      <c r="C84" s="235">
        <v>262</v>
      </c>
      <c r="D84" s="233"/>
      <c r="E84" s="167" t="s">
        <v>2</v>
      </c>
      <c r="F84" s="360"/>
      <c r="G84" s="296">
        <f>VLOOKUP($E84,Ratio,2,FALSE)*$F84</f>
        <v>0</v>
      </c>
      <c r="H84" s="296">
        <f>VLOOKUP($E84,Ratio,3,FALSE)*$F84</f>
        <v>0</v>
      </c>
      <c r="I84" s="296">
        <f>VLOOKUP($E84,Ratio,4,FALSE)*$F84</f>
        <v>0</v>
      </c>
      <c r="K84" s="238"/>
    </row>
    <row r="85" spans="1:11" ht="15.75">
      <c r="A85" s="21"/>
      <c r="B85" s="234" t="s">
        <v>320</v>
      </c>
      <c r="C85" s="235">
        <v>262</v>
      </c>
      <c r="D85" s="233"/>
      <c r="E85" s="167" t="s">
        <v>2</v>
      </c>
      <c r="F85" s="360"/>
      <c r="G85" s="296">
        <f>VLOOKUP($E85,Ratio,2,FALSE)*$F85</f>
        <v>0</v>
      </c>
      <c r="H85" s="296">
        <f>VLOOKUP($E85,Ratio,3,FALSE)*$F85</f>
        <v>0</v>
      </c>
      <c r="I85" s="296">
        <f>VLOOKUP($E85,Ratio,4,FALSE)*$F85</f>
        <v>0</v>
      </c>
      <c r="K85" s="238"/>
    </row>
    <row r="86" spans="1:11" ht="15.75">
      <c r="A86" s="21"/>
      <c r="B86" s="234" t="s">
        <v>301</v>
      </c>
      <c r="C86" s="235">
        <v>262</v>
      </c>
      <c r="D86" s="233"/>
      <c r="E86" s="167" t="s">
        <v>2</v>
      </c>
      <c r="F86" s="360"/>
      <c r="G86" s="296">
        <f>VLOOKUP($E86,Ratio,2,FALSE)*$F86</f>
        <v>0</v>
      </c>
      <c r="H86" s="296">
        <f>VLOOKUP($E86,Ratio,3,FALSE)*$F86</f>
        <v>0</v>
      </c>
      <c r="I86" s="296">
        <f>VLOOKUP($E86,Ratio,4,FALSE)*$F86</f>
        <v>0</v>
      </c>
      <c r="K86" s="238"/>
    </row>
    <row r="87" spans="1:11" ht="16.5" thickBot="1">
      <c r="A87" s="21"/>
      <c r="B87" s="234" t="s">
        <v>336</v>
      </c>
      <c r="C87" s="235">
        <v>262</v>
      </c>
      <c r="D87" s="233" t="s">
        <v>218</v>
      </c>
      <c r="E87" s="167" t="s">
        <v>2</v>
      </c>
      <c r="F87" s="360"/>
      <c r="G87" s="296">
        <f>VLOOKUP($E87,Ratio,2,FALSE)*$F87</f>
        <v>0</v>
      </c>
      <c r="H87" s="296">
        <f>VLOOKUP($E87,Ratio,3,FALSE)*$F87</f>
        <v>0</v>
      </c>
      <c r="I87" s="296">
        <f>VLOOKUP($E87,Ratio,4,FALSE)*$F87</f>
        <v>0</v>
      </c>
      <c r="K87" s="238"/>
    </row>
    <row r="88" spans="1:11" ht="16.5" thickBot="1">
      <c r="A88" s="240" t="s">
        <v>319</v>
      </c>
      <c r="B88" s="249"/>
      <c r="C88" s="235"/>
      <c r="D88" s="233" t="s">
        <v>218</v>
      </c>
      <c r="E88" s="167"/>
      <c r="F88" s="283">
        <f>SUM(F81:F87)</f>
        <v>0</v>
      </c>
      <c r="G88" s="283">
        <f>SUM(G81:G87)</f>
        <v>0</v>
      </c>
      <c r="H88" s="283">
        <f>SUM(H81:H87)</f>
        <v>0</v>
      </c>
      <c r="I88" s="283">
        <f>SUM(I81:I87)</f>
        <v>0</v>
      </c>
      <c r="K88" s="238"/>
    </row>
    <row r="89" spans="1:11" ht="15.75">
      <c r="A89" s="21"/>
      <c r="B89" s="234"/>
      <c r="C89" s="198"/>
      <c r="D89" s="14"/>
      <c r="E89" s="167"/>
      <c r="F89" s="232"/>
      <c r="G89" s="232"/>
      <c r="H89" s="232"/>
      <c r="I89" s="232"/>
      <c r="K89" s="238"/>
    </row>
    <row r="90" spans="1:11" ht="15.75">
      <c r="A90" s="240" t="s">
        <v>316</v>
      </c>
      <c r="B90" s="250"/>
      <c r="C90" s="198"/>
      <c r="D90" s="14"/>
      <c r="E90" s="167"/>
      <c r="F90" s="229"/>
      <c r="G90" s="230"/>
      <c r="H90" s="230"/>
      <c r="I90" s="230"/>
      <c r="K90" s="238"/>
    </row>
    <row r="91" spans="1:11" ht="15.75">
      <c r="A91" s="21"/>
      <c r="B91" s="234" t="s">
        <v>221</v>
      </c>
      <c r="C91" s="198">
        <v>262</v>
      </c>
      <c r="D91" s="14" t="s">
        <v>218</v>
      </c>
      <c r="E91" s="167" t="s">
        <v>29</v>
      </c>
      <c r="F91" s="360">
        <v>51378142</v>
      </c>
      <c r="G91" s="296">
        <f>VLOOKUP($E91,Ratio,2,FALSE)*$F91</f>
        <v>22997146.654172007</v>
      </c>
      <c r="H91" s="296">
        <f>VLOOKUP($E91,Ratio,3,FALSE)*$F91</f>
        <v>9099359.606837189</v>
      </c>
      <c r="I91" s="296">
        <f>VLOOKUP($E91,Ratio,4,FALSE)*$F91</f>
        <v>19726570.190931723</v>
      </c>
      <c r="K91" s="238"/>
    </row>
    <row r="92" spans="1:11" ht="15.75">
      <c r="A92" s="21"/>
      <c r="B92" s="234" t="s">
        <v>228</v>
      </c>
      <c r="C92" s="198">
        <v>262</v>
      </c>
      <c r="D92" s="14"/>
      <c r="E92" s="167" t="s">
        <v>17</v>
      </c>
      <c r="F92" s="360"/>
      <c r="G92" s="296">
        <f>VLOOKUP($E92,Ratio,2,FALSE)*$F92</f>
        <v>0</v>
      </c>
      <c r="H92" s="296">
        <f>VLOOKUP($E92,Ratio,3,FALSE)*$F92</f>
        <v>0</v>
      </c>
      <c r="I92" s="296">
        <f>VLOOKUP($E92,Ratio,4,FALSE)*$F92</f>
        <v>0</v>
      </c>
      <c r="K92" s="238"/>
    </row>
    <row r="93" spans="1:11" ht="15.75">
      <c r="A93" s="21"/>
      <c r="B93" s="234" t="s">
        <v>321</v>
      </c>
      <c r="C93" s="198">
        <v>262</v>
      </c>
      <c r="D93" s="14"/>
      <c r="E93" s="167" t="s">
        <v>2</v>
      </c>
      <c r="F93" s="360"/>
      <c r="G93" s="296">
        <f>VLOOKUP($E93,Ratio,2,FALSE)*$F93</f>
        <v>0</v>
      </c>
      <c r="H93" s="296">
        <f>VLOOKUP($E93,Ratio,3,FALSE)*$F93</f>
        <v>0</v>
      </c>
      <c r="I93" s="296">
        <f>VLOOKUP($E93,Ratio,4,FALSE)*$F93</f>
        <v>0</v>
      </c>
      <c r="K93" s="238"/>
    </row>
    <row r="94" spans="1:11" ht="15.75">
      <c r="A94" s="21"/>
      <c r="B94" s="234" t="s">
        <v>322</v>
      </c>
      <c r="C94" s="198">
        <v>262</v>
      </c>
      <c r="D94" s="14"/>
      <c r="E94" s="167" t="s">
        <v>2</v>
      </c>
      <c r="F94" s="360"/>
      <c r="G94" s="296">
        <f>VLOOKUP($E94,Ratio,2,FALSE)*$F94</f>
        <v>0</v>
      </c>
      <c r="H94" s="296">
        <f>VLOOKUP($E94,Ratio,3,FALSE)*$F94</f>
        <v>0</v>
      </c>
      <c r="I94" s="296">
        <f>VLOOKUP($E94,Ratio,4,FALSE)*$F94</f>
        <v>0</v>
      </c>
      <c r="K94" s="238"/>
    </row>
    <row r="95" spans="1:11" ht="15.75">
      <c r="A95" s="21"/>
      <c r="B95" s="234" t="s">
        <v>229</v>
      </c>
      <c r="C95" s="198">
        <v>262</v>
      </c>
      <c r="D95" s="14"/>
      <c r="E95" s="167" t="s">
        <v>2</v>
      </c>
      <c r="F95" s="360"/>
      <c r="G95" s="296">
        <f>VLOOKUP($E95,Ratio,2,FALSE)*$F95</f>
        <v>0</v>
      </c>
      <c r="H95" s="296">
        <f>VLOOKUP($E95,Ratio,3,FALSE)*$F95</f>
        <v>0</v>
      </c>
      <c r="I95" s="296">
        <f>VLOOKUP($E95,Ratio,4,FALSE)*$F95</f>
        <v>0</v>
      </c>
      <c r="K95" s="238"/>
    </row>
    <row r="96" spans="1:11" ht="15.75">
      <c r="A96" s="21"/>
      <c r="B96" s="234" t="s">
        <v>301</v>
      </c>
      <c r="C96" s="198">
        <v>262</v>
      </c>
      <c r="D96" s="14" t="s">
        <v>218</v>
      </c>
      <c r="E96" s="167" t="s">
        <v>2</v>
      </c>
      <c r="F96" s="360"/>
      <c r="G96" s="296">
        <f>VLOOKUP($E96,Ratio,2,FALSE)*$F96</f>
        <v>0</v>
      </c>
      <c r="H96" s="296">
        <f>VLOOKUP($E96,Ratio,3,FALSE)*$F96</f>
        <v>0</v>
      </c>
      <c r="I96" s="296">
        <f>VLOOKUP($E96,Ratio,4,FALSE)*$F96</f>
        <v>0</v>
      </c>
      <c r="K96" s="238"/>
    </row>
    <row r="97" spans="1:11" ht="15.75">
      <c r="A97" s="21"/>
      <c r="B97" s="234" t="s">
        <v>323</v>
      </c>
      <c r="C97" s="198">
        <v>262</v>
      </c>
      <c r="D97" s="14"/>
      <c r="E97" s="167" t="s">
        <v>2</v>
      </c>
      <c r="F97" s="360"/>
      <c r="G97" s="296">
        <f>VLOOKUP($E97,Ratio,2,FALSE)*$F97</f>
        <v>0</v>
      </c>
      <c r="H97" s="296">
        <f>VLOOKUP($E97,Ratio,3,FALSE)*$F97</f>
        <v>0</v>
      </c>
      <c r="I97" s="296">
        <f>VLOOKUP($E97,Ratio,4,FALSE)*$F97</f>
        <v>0</v>
      </c>
      <c r="K97" s="238"/>
    </row>
    <row r="98" spans="1:11" ht="15.75">
      <c r="A98" s="21"/>
      <c r="B98" s="234" t="s">
        <v>324</v>
      </c>
      <c r="C98" s="198">
        <v>262</v>
      </c>
      <c r="D98" s="14"/>
      <c r="E98" s="167" t="s">
        <v>2</v>
      </c>
      <c r="F98" s="360"/>
      <c r="G98" s="296">
        <f>VLOOKUP($E98,Ratio,2,FALSE)*$F98</f>
        <v>0</v>
      </c>
      <c r="H98" s="296">
        <f>VLOOKUP($E98,Ratio,3,FALSE)*$F98</f>
        <v>0</v>
      </c>
      <c r="I98" s="296">
        <f>VLOOKUP($E98,Ratio,4,FALSE)*$F98</f>
        <v>0</v>
      </c>
      <c r="K98" s="238"/>
    </row>
    <row r="99" spans="1:11" ht="15.75">
      <c r="A99" s="21"/>
      <c r="B99" s="234" t="s">
        <v>222</v>
      </c>
      <c r="C99" s="198">
        <v>262</v>
      </c>
      <c r="D99" s="14" t="s">
        <v>218</v>
      </c>
      <c r="E99" s="167" t="s">
        <v>2</v>
      </c>
      <c r="F99" s="360"/>
      <c r="G99" s="296">
        <f>VLOOKUP($E99,Ratio,2,FALSE)*$F99</f>
        <v>0</v>
      </c>
      <c r="H99" s="296">
        <f>VLOOKUP($E99,Ratio,3,FALSE)*$F99</f>
        <v>0</v>
      </c>
      <c r="I99" s="296">
        <f>VLOOKUP($E99,Ratio,4,FALSE)*$F99</f>
        <v>0</v>
      </c>
      <c r="K99" s="238"/>
    </row>
    <row r="100" spans="1:11" ht="16.5" thickBot="1">
      <c r="A100" s="21"/>
      <c r="B100" s="234" t="s">
        <v>223</v>
      </c>
      <c r="C100" s="198">
        <v>262</v>
      </c>
      <c r="D100" s="14" t="s">
        <v>218</v>
      </c>
      <c r="E100" s="167" t="s">
        <v>2</v>
      </c>
      <c r="F100" s="360"/>
      <c r="G100" s="296">
        <f>VLOOKUP($E100,Ratio,2,FALSE)*$F100</f>
        <v>0</v>
      </c>
      <c r="H100" s="296">
        <f>VLOOKUP($E100,Ratio,3,FALSE)*$F100</f>
        <v>0</v>
      </c>
      <c r="I100" s="296">
        <f>VLOOKUP($E100,Ratio,4,FALSE)*$F100</f>
        <v>0</v>
      </c>
      <c r="K100" s="238"/>
    </row>
    <row r="101" spans="1:11" ht="16.5" thickBot="1">
      <c r="A101" s="240" t="s">
        <v>317</v>
      </c>
      <c r="B101" s="234"/>
      <c r="C101" s="198"/>
      <c r="D101" s="14"/>
      <c r="E101" s="167"/>
      <c r="F101" s="283">
        <f>SUM(F91:F100)</f>
        <v>51378142</v>
      </c>
      <c r="G101" s="283">
        <f>SUM(G91:G100)</f>
        <v>22997146.654172007</v>
      </c>
      <c r="H101" s="283">
        <f>SUM(H91:H100)</f>
        <v>9099359.606837189</v>
      </c>
      <c r="I101" s="283">
        <f>SUM(I91:I100)</f>
        <v>19726570.190931723</v>
      </c>
      <c r="K101" s="238"/>
    </row>
    <row r="102" spans="1:11" ht="15.75">
      <c r="A102" s="21"/>
      <c r="B102" s="234"/>
      <c r="C102" s="198"/>
      <c r="D102" s="14"/>
      <c r="E102" s="167"/>
      <c r="F102" s="229"/>
      <c r="G102" s="230"/>
      <c r="H102" s="230"/>
      <c r="I102" s="230"/>
      <c r="K102" s="238"/>
    </row>
    <row r="103" spans="1:11" ht="15.75">
      <c r="A103" s="240" t="s">
        <v>240</v>
      </c>
      <c r="B103" s="249"/>
      <c r="C103" s="235"/>
      <c r="D103" s="233"/>
      <c r="E103" s="167"/>
      <c r="F103" s="236"/>
      <c r="G103" s="237"/>
      <c r="H103" s="237"/>
      <c r="I103" s="237"/>
      <c r="K103" s="238"/>
    </row>
    <row r="104" spans="1:11" ht="15.75">
      <c r="A104" s="21"/>
      <c r="B104" s="234" t="s">
        <v>241</v>
      </c>
      <c r="C104" s="235">
        <v>262</v>
      </c>
      <c r="D104" s="233" t="s">
        <v>218</v>
      </c>
      <c r="E104" s="167" t="s">
        <v>2</v>
      </c>
      <c r="F104" s="360"/>
      <c r="G104" s="296">
        <f>VLOOKUP($E104,Ratio,2,FALSE)*$F104</f>
        <v>0</v>
      </c>
      <c r="H104" s="296">
        <f>VLOOKUP($E104,Ratio,3,FALSE)*$F104</f>
        <v>0</v>
      </c>
      <c r="I104" s="296">
        <f>VLOOKUP($E104,Ratio,4,FALSE)*$F104</f>
        <v>0</v>
      </c>
      <c r="K104" s="238"/>
    </row>
    <row r="105" spans="1:11" ht="15.75">
      <c r="A105" s="21"/>
      <c r="B105" s="234" t="s">
        <v>221</v>
      </c>
      <c r="C105" s="235">
        <v>262</v>
      </c>
      <c r="D105" s="233" t="s">
        <v>218</v>
      </c>
      <c r="E105" s="167" t="s">
        <v>29</v>
      </c>
      <c r="F105" s="360"/>
      <c r="G105" s="296">
        <f>VLOOKUP($E105,Ratio,2,FALSE)*$F105</f>
        <v>0</v>
      </c>
      <c r="H105" s="296">
        <f>VLOOKUP($E105,Ratio,3,FALSE)*$F105</f>
        <v>0</v>
      </c>
      <c r="I105" s="296">
        <f>VLOOKUP($E105,Ratio,4,FALSE)*$F105</f>
        <v>0</v>
      </c>
      <c r="K105" s="238"/>
    </row>
    <row r="106" spans="1:11" ht="15.75">
      <c r="A106" s="21"/>
      <c r="B106" s="234" t="s">
        <v>228</v>
      </c>
      <c r="C106" s="235">
        <v>262</v>
      </c>
      <c r="D106" s="233"/>
      <c r="E106" s="167" t="s">
        <v>17</v>
      </c>
      <c r="F106" s="360"/>
      <c r="G106" s="296">
        <f>VLOOKUP($E106,Ratio,2,FALSE)*$F106</f>
        <v>0</v>
      </c>
      <c r="H106" s="296">
        <f>VLOOKUP($E106,Ratio,3,FALSE)*$F106</f>
        <v>0</v>
      </c>
      <c r="I106" s="296">
        <f>VLOOKUP($E106,Ratio,4,FALSE)*$F106</f>
        <v>0</v>
      </c>
      <c r="K106" s="238"/>
    </row>
    <row r="107" spans="1:11" ht="15.75">
      <c r="A107" s="21"/>
      <c r="B107" s="234" t="s">
        <v>325</v>
      </c>
      <c r="C107" s="235">
        <v>262</v>
      </c>
      <c r="D107" s="233"/>
      <c r="E107" s="167" t="s">
        <v>2</v>
      </c>
      <c r="F107" s="360"/>
      <c r="G107" s="296">
        <f>VLOOKUP($E107,Ratio,2,FALSE)*$F107</f>
        <v>0</v>
      </c>
      <c r="H107" s="296">
        <f>VLOOKUP($E107,Ratio,3,FALSE)*$F107</f>
        <v>0</v>
      </c>
      <c r="I107" s="296">
        <f>VLOOKUP($E107,Ratio,4,FALSE)*$F107</f>
        <v>0</v>
      </c>
      <c r="K107" s="238"/>
    </row>
    <row r="108" spans="1:11" ht="15.75">
      <c r="A108" s="21"/>
      <c r="B108" s="234" t="s">
        <v>229</v>
      </c>
      <c r="C108" s="235">
        <v>262</v>
      </c>
      <c r="D108" s="233"/>
      <c r="E108" s="167" t="s">
        <v>2</v>
      </c>
      <c r="F108" s="360"/>
      <c r="G108" s="296">
        <f>VLOOKUP($E108,Ratio,2,FALSE)*$F108</f>
        <v>0</v>
      </c>
      <c r="H108" s="296">
        <f>VLOOKUP($E108,Ratio,3,FALSE)*$F108</f>
        <v>0</v>
      </c>
      <c r="I108" s="296">
        <f>VLOOKUP($E108,Ratio,4,FALSE)*$F108</f>
        <v>0</v>
      </c>
      <c r="K108" s="238"/>
    </row>
    <row r="109" spans="1:11" ht="15.75">
      <c r="A109" s="21"/>
      <c r="B109" s="234" t="s">
        <v>233</v>
      </c>
      <c r="C109" s="235">
        <v>262</v>
      </c>
      <c r="D109" s="233"/>
      <c r="E109" s="167" t="s">
        <v>2</v>
      </c>
      <c r="F109" s="360"/>
      <c r="G109" s="296">
        <f>VLOOKUP($E109,Ratio,2,FALSE)*$F109</f>
        <v>0</v>
      </c>
      <c r="H109" s="296">
        <f>VLOOKUP($E109,Ratio,3,FALSE)*$F109</f>
        <v>0</v>
      </c>
      <c r="I109" s="296">
        <f>VLOOKUP($E109,Ratio,4,FALSE)*$F109</f>
        <v>0</v>
      </c>
      <c r="K109" s="238"/>
    </row>
    <row r="110" spans="1:11" ht="15.75">
      <c r="A110" s="21"/>
      <c r="B110" s="234" t="s">
        <v>301</v>
      </c>
      <c r="C110" s="235">
        <v>262</v>
      </c>
      <c r="D110" s="233"/>
      <c r="E110" s="167" t="s">
        <v>2</v>
      </c>
      <c r="F110" s="360"/>
      <c r="G110" s="296">
        <f>VLOOKUP($E110,Ratio,2,FALSE)*$F110</f>
        <v>0</v>
      </c>
      <c r="H110" s="296">
        <f>VLOOKUP($E110,Ratio,3,FALSE)*$F110</f>
        <v>0</v>
      </c>
      <c r="I110" s="296">
        <f>VLOOKUP($E110,Ratio,4,FALSE)*$F110</f>
        <v>0</v>
      </c>
      <c r="K110" s="238"/>
    </row>
    <row r="111" spans="1:11" ht="16.5" thickBot="1">
      <c r="A111" s="21"/>
      <c r="B111" s="234" t="s">
        <v>326</v>
      </c>
      <c r="C111" s="235">
        <v>262</v>
      </c>
      <c r="D111" s="233" t="s">
        <v>218</v>
      </c>
      <c r="E111" s="167" t="s">
        <v>2</v>
      </c>
      <c r="F111" s="360"/>
      <c r="G111" s="296">
        <f>VLOOKUP($E111,Ratio,2,FALSE)*$F111</f>
        <v>0</v>
      </c>
      <c r="H111" s="296">
        <f>VLOOKUP($E111,Ratio,3,FALSE)*$F111</f>
        <v>0</v>
      </c>
      <c r="I111" s="296">
        <f>VLOOKUP($E111,Ratio,4,FALSE)*$F111</f>
        <v>0</v>
      </c>
      <c r="K111" s="238"/>
    </row>
    <row r="112" spans="1:11" ht="16.5" thickBot="1">
      <c r="A112" s="240" t="s">
        <v>242</v>
      </c>
      <c r="B112" s="249"/>
      <c r="C112" s="235"/>
      <c r="D112" s="233"/>
      <c r="E112" s="167"/>
      <c r="F112" s="283">
        <f>SUM(F104:F111)</f>
        <v>0</v>
      </c>
      <c r="G112" s="283">
        <f>SUM(G104:G111)</f>
        <v>0</v>
      </c>
      <c r="H112" s="283">
        <f>SUM(H104:H111)</f>
        <v>0</v>
      </c>
      <c r="I112" s="283">
        <f>SUM(I104:I111)</f>
        <v>0</v>
      </c>
      <c r="K112" s="238"/>
    </row>
    <row r="113" spans="1:11" ht="15.75">
      <c r="A113" s="21"/>
      <c r="B113" s="234"/>
      <c r="C113" s="198"/>
      <c r="D113" s="14"/>
      <c r="E113" s="167"/>
      <c r="F113" s="229"/>
      <c r="G113" s="230"/>
      <c r="H113" s="230"/>
      <c r="I113" s="230"/>
      <c r="K113" s="238"/>
    </row>
    <row r="114" spans="1:11" ht="15.75">
      <c r="A114" s="21"/>
      <c r="B114" s="234"/>
      <c r="C114" s="198"/>
      <c r="D114" s="14" t="s">
        <v>218</v>
      </c>
      <c r="E114" s="167"/>
      <c r="F114" s="229"/>
      <c r="G114" s="230"/>
      <c r="H114" s="230"/>
      <c r="I114" s="230"/>
      <c r="K114" s="238"/>
    </row>
    <row r="115" spans="1:11" ht="15.75">
      <c r="A115" s="240" t="s">
        <v>327</v>
      </c>
      <c r="B115" s="249"/>
      <c r="C115" s="198"/>
      <c r="D115" s="14" t="s">
        <v>218</v>
      </c>
      <c r="E115" s="167"/>
      <c r="F115" s="229"/>
      <c r="G115" s="230"/>
      <c r="H115" s="230"/>
      <c r="I115" s="230"/>
      <c r="K115" s="238"/>
    </row>
    <row r="116" spans="1:11" ht="15.75">
      <c r="A116" s="21"/>
      <c r="B116" s="234" t="s">
        <v>221</v>
      </c>
      <c r="C116" s="198">
        <v>262</v>
      </c>
      <c r="D116" s="14" t="s">
        <v>218</v>
      </c>
      <c r="E116" s="167" t="s">
        <v>29</v>
      </c>
      <c r="F116" s="360">
        <v>11907</v>
      </c>
      <c r="G116" s="296">
        <f>VLOOKUP($E116,Ratio,2,FALSE)*$F116</f>
        <v>5329.640476512874</v>
      </c>
      <c r="H116" s="296">
        <f>VLOOKUP($E116,Ratio,3,FALSE)*$F116</f>
        <v>2108.797060793098</v>
      </c>
      <c r="I116" s="296">
        <f>VLOOKUP($E116,Ratio,4,FALSE)*$F116</f>
        <v>4571.677022953146</v>
      </c>
      <c r="K116" s="238"/>
    </row>
    <row r="117" spans="1:11" ht="15.75">
      <c r="A117" s="21"/>
      <c r="B117" s="234" t="s">
        <v>228</v>
      </c>
      <c r="C117" s="198">
        <v>262</v>
      </c>
      <c r="D117" s="14"/>
      <c r="E117" s="167" t="s">
        <v>17</v>
      </c>
      <c r="F117" s="360"/>
      <c r="G117" s="296">
        <f>VLOOKUP($E117,Ratio,2,FALSE)*$F117</f>
        <v>0</v>
      </c>
      <c r="H117" s="296">
        <f>VLOOKUP($E117,Ratio,3,FALSE)*$F117</f>
        <v>0</v>
      </c>
      <c r="I117" s="296">
        <f>VLOOKUP($E117,Ratio,4,FALSE)*$F117</f>
        <v>0</v>
      </c>
      <c r="K117" s="238"/>
    </row>
    <row r="118" spans="1:11" ht="15.75">
      <c r="A118" s="21"/>
      <c r="B118" s="234" t="s">
        <v>224</v>
      </c>
      <c r="C118" s="198">
        <v>262</v>
      </c>
      <c r="D118" s="14" t="s">
        <v>218</v>
      </c>
      <c r="E118" s="167" t="s">
        <v>2</v>
      </c>
      <c r="F118" s="360"/>
      <c r="G118" s="296">
        <f>VLOOKUP($E118,Ratio,2,FALSE)*$F118</f>
        <v>0</v>
      </c>
      <c r="H118" s="296">
        <f>VLOOKUP($E118,Ratio,3,FALSE)*$F118</f>
        <v>0</v>
      </c>
      <c r="I118" s="296">
        <f>VLOOKUP($E118,Ratio,4,FALSE)*$F118</f>
        <v>0</v>
      </c>
      <c r="K118" s="238"/>
    </row>
    <row r="119" spans="1:11" ht="16.5" thickBot="1">
      <c r="A119" s="21"/>
      <c r="B119" s="234" t="s">
        <v>226</v>
      </c>
      <c r="C119" s="198">
        <v>262</v>
      </c>
      <c r="D119" s="14" t="s">
        <v>218</v>
      </c>
      <c r="E119" s="167" t="s">
        <v>2</v>
      </c>
      <c r="F119" s="360"/>
      <c r="G119" s="296">
        <f>VLOOKUP($E119,Ratio,2,FALSE)*$F119</f>
        <v>0</v>
      </c>
      <c r="H119" s="296">
        <f>VLOOKUP($E119,Ratio,3,FALSE)*$F119</f>
        <v>0</v>
      </c>
      <c r="I119" s="296">
        <f>VLOOKUP($E119,Ratio,4,FALSE)*$F119</f>
        <v>0</v>
      </c>
      <c r="K119" s="238"/>
    </row>
    <row r="120" spans="1:11" ht="16.5" thickBot="1">
      <c r="A120" s="240" t="s">
        <v>328</v>
      </c>
      <c r="B120" s="234"/>
      <c r="C120" s="198"/>
      <c r="D120" s="14" t="s">
        <v>218</v>
      </c>
      <c r="E120" s="167"/>
      <c r="F120" s="283">
        <f>SUM(F116:F119)</f>
        <v>11907</v>
      </c>
      <c r="G120" s="283">
        <f>SUM(G116:G119)</f>
        <v>5329.640476512874</v>
      </c>
      <c r="H120" s="283">
        <f>SUM(H116:H119)</f>
        <v>2108.797060793098</v>
      </c>
      <c r="I120" s="283">
        <f>SUM(I116:I119)</f>
        <v>4571.677022953146</v>
      </c>
      <c r="K120" s="238"/>
    </row>
    <row r="121" spans="1:11" ht="15.75">
      <c r="A121" s="21"/>
      <c r="B121" s="234"/>
      <c r="C121" s="198"/>
      <c r="D121" s="14" t="s">
        <v>218</v>
      </c>
      <c r="E121" s="167"/>
      <c r="F121" s="229"/>
      <c r="G121" s="229"/>
      <c r="H121" s="229"/>
      <c r="I121" s="229"/>
      <c r="K121" s="238"/>
    </row>
    <row r="122" spans="1:11" ht="16.5" thickBot="1">
      <c r="A122" s="21"/>
      <c r="B122" s="234"/>
      <c r="C122" s="198"/>
      <c r="D122" s="14" t="s">
        <v>218</v>
      </c>
      <c r="E122" s="167"/>
      <c r="F122" s="229"/>
      <c r="G122" s="229"/>
      <c r="H122" s="229"/>
      <c r="I122" s="229"/>
      <c r="K122" s="238"/>
    </row>
    <row r="123" spans="1:11" ht="16.5" thickBot="1">
      <c r="A123" s="240" t="s">
        <v>329</v>
      </c>
      <c r="B123" s="249"/>
      <c r="C123" s="173"/>
      <c r="D123" s="18"/>
      <c r="E123" s="169"/>
      <c r="F123" s="283">
        <f>+F14+F20+F29+F34+F43+F50+F56+F60+F74+F78+F88+F101+F112+F120</f>
        <v>76273821</v>
      </c>
      <c r="G123" s="283">
        <f>+G14+G20+G29+G34+G43+G50+G56+G60+G74+G78+G88+G101+G112+G120</f>
        <v>39140481.875108354</v>
      </c>
      <c r="H123" s="283">
        <f>+H14+H20+H29+H34+H43+H50+H56+H60+H74+H78+H88+H101+H112+H120</f>
        <v>11905488.231923332</v>
      </c>
      <c r="I123" s="283">
        <f>+I14+I20+I29+I34+I43+I50+I56+I60+I74+I78+I88+I101+I112+I120</f>
        <v>25809997.561573382</v>
      </c>
      <c r="K123" s="238"/>
    </row>
    <row r="124" spans="1:11" ht="15.75">
      <c r="A124" s="15"/>
      <c r="B124" s="238"/>
      <c r="C124" s="238"/>
      <c r="D124" s="238"/>
      <c r="E124" s="238"/>
      <c r="F124" s="238"/>
      <c r="G124" s="238"/>
      <c r="H124" s="238"/>
      <c r="I124" s="238"/>
      <c r="K124" s="238"/>
    </row>
    <row r="125" spans="1:11" ht="15.75">
      <c r="A125" s="238"/>
      <c r="B125" s="238"/>
      <c r="C125" s="238"/>
      <c r="D125" s="238"/>
      <c r="E125" s="238"/>
      <c r="F125" s="238"/>
      <c r="G125" s="238"/>
      <c r="H125" s="238"/>
      <c r="I125" s="238"/>
      <c r="K125" s="238"/>
    </row>
    <row r="126" spans="1:11" ht="15.75">
      <c r="A126" s="238"/>
      <c r="B126" s="238"/>
      <c r="C126" s="238"/>
      <c r="D126" s="238"/>
      <c r="E126" s="238"/>
      <c r="F126" s="238"/>
      <c r="G126" s="238"/>
      <c r="H126" s="238"/>
      <c r="I126" s="238"/>
      <c r="K126" s="238"/>
    </row>
    <row r="127" spans="1:11" ht="15.75">
      <c r="A127" s="238"/>
      <c r="B127" s="238"/>
      <c r="C127" s="238"/>
      <c r="D127" s="238"/>
      <c r="E127" s="238"/>
      <c r="F127" s="238"/>
      <c r="G127" s="238"/>
      <c r="H127" s="238"/>
      <c r="I127" s="238"/>
      <c r="K127" s="238"/>
    </row>
    <row r="128" spans="1:11" ht="15.75">
      <c r="A128" s="238"/>
      <c r="B128" s="238"/>
      <c r="C128" s="238"/>
      <c r="D128" s="238"/>
      <c r="E128" s="238"/>
      <c r="F128" s="238"/>
      <c r="G128" s="238"/>
      <c r="H128" s="238"/>
      <c r="I128" s="238"/>
      <c r="K128" s="238"/>
    </row>
    <row r="129" spans="1:11" ht="15.75">
      <c r="A129" s="238"/>
      <c r="B129" s="238"/>
      <c r="C129" s="238"/>
      <c r="D129" s="238"/>
      <c r="E129" s="238"/>
      <c r="F129" s="238"/>
      <c r="G129" s="238"/>
      <c r="H129" s="238"/>
      <c r="I129" s="238"/>
      <c r="K129" s="238"/>
    </row>
    <row r="130" spans="1:11" ht="15.75">
      <c r="A130" s="238"/>
      <c r="B130" s="238"/>
      <c r="C130" s="238"/>
      <c r="D130" s="238"/>
      <c r="E130" s="238"/>
      <c r="F130" s="238"/>
      <c r="G130" s="238"/>
      <c r="H130" s="238"/>
      <c r="I130" s="238"/>
      <c r="K130" s="238"/>
    </row>
    <row r="131" spans="1:11" ht="15.75">
      <c r="A131" s="238"/>
      <c r="B131" s="238"/>
      <c r="C131" s="238"/>
      <c r="D131" s="238"/>
      <c r="E131" s="238"/>
      <c r="F131" s="238"/>
      <c r="G131" s="238"/>
      <c r="H131" s="238"/>
      <c r="I131" s="238"/>
      <c r="K131" s="238"/>
    </row>
    <row r="132" spans="1:11" ht="15.75">
      <c r="A132" s="238"/>
      <c r="B132" s="238"/>
      <c r="C132" s="238"/>
      <c r="D132" s="238"/>
      <c r="E132" s="238"/>
      <c r="F132" s="238"/>
      <c r="G132" s="238"/>
      <c r="H132" s="238"/>
      <c r="I132" s="238"/>
      <c r="K132" s="238"/>
    </row>
  </sheetData>
  <printOptions horizontalCentered="1"/>
  <pageMargins left="0.2" right="0.28" top="0.25" bottom="0.5" header="0.25" footer="0.25"/>
  <pageSetup fitToHeight="2" horizontalDpi="600" verticalDpi="600" orientation="landscape" paperSize="9" scale="80" r:id="rId1"/>
  <headerFooter alignWithMargins="0">
    <oddHeader>&amp;RDraft FRN Template</oddHeader>
    <oddFooter>&amp;L&amp;F&amp;CPage &amp;P of &amp;N&amp;R&amp;D</oddFooter>
  </headerFooter>
  <rowBreaks count="3" manualBreakCount="3">
    <brk id="44" max="8" man="1"/>
    <brk id="79" max="8" man="1"/>
    <brk id="11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62"/>
  <sheetViews>
    <sheetView zoomScale="75" zoomScaleNormal="75" workbookViewId="0" topLeftCell="A1">
      <selection activeCell="K24" sqref="K24"/>
    </sheetView>
  </sheetViews>
  <sheetFormatPr defaultColWidth="9.00390625" defaultRowHeight="15.75"/>
  <cols>
    <col min="1" max="1" width="5.375" style="15" customWidth="1"/>
    <col min="2" max="2" width="24.50390625" style="15" customWidth="1"/>
    <col min="3" max="3" width="12.875" style="15" customWidth="1"/>
    <col min="4" max="4" width="9.75390625" style="15" customWidth="1"/>
    <col min="5" max="5" width="9.00390625" style="15" customWidth="1"/>
    <col min="6" max="7" width="11.375" style="15" customWidth="1"/>
    <col min="8" max="8" width="12.75390625" style="15" customWidth="1"/>
    <col min="9" max="9" width="12.50390625" style="15" customWidth="1"/>
    <col min="10" max="16384" width="9.00390625" style="15" customWidth="1"/>
  </cols>
  <sheetData>
    <row r="1" spans="7:9" ht="15.75">
      <c r="G1" s="15">
        <v>2</v>
      </c>
      <c r="H1" s="15">
        <v>3</v>
      </c>
      <c r="I1" s="15">
        <v>4</v>
      </c>
    </row>
    <row r="2" spans="1:9" ht="18.75">
      <c r="A2" s="131" t="s">
        <v>107</v>
      </c>
      <c r="B2" s="131"/>
      <c r="C2" s="131"/>
      <c r="D2" s="131"/>
      <c r="E2" s="131"/>
      <c r="F2" s="131"/>
      <c r="G2" s="131"/>
      <c r="H2" s="131"/>
      <c r="I2" s="131"/>
    </row>
    <row r="3" spans="1:9" ht="15.75">
      <c r="A3" s="132" t="s">
        <v>109</v>
      </c>
      <c r="B3" s="132"/>
      <c r="C3" s="132"/>
      <c r="D3" s="132"/>
      <c r="E3" s="132"/>
      <c r="F3" s="132"/>
      <c r="G3" s="132"/>
      <c r="H3" s="132"/>
      <c r="I3" s="132"/>
    </row>
    <row r="4" spans="1:9" ht="15.75">
      <c r="A4" s="2" t="s">
        <v>285</v>
      </c>
      <c r="B4" s="2"/>
      <c r="C4" s="3"/>
      <c r="D4" s="3"/>
      <c r="E4" s="4"/>
      <c r="F4" s="5"/>
      <c r="G4" s="6"/>
      <c r="H4" s="34"/>
      <c r="I4" s="35"/>
    </row>
    <row r="5" spans="1:9" ht="15.75">
      <c r="A5" s="2"/>
      <c r="B5" s="2"/>
      <c r="C5" s="3"/>
      <c r="D5" s="3"/>
      <c r="E5" s="4"/>
      <c r="F5" s="5"/>
      <c r="G5" s="6"/>
      <c r="H5" s="34"/>
      <c r="I5" s="35"/>
    </row>
    <row r="6" spans="1:9" ht="15.75">
      <c r="A6" s="7" t="s">
        <v>250</v>
      </c>
      <c r="B6" s="8"/>
      <c r="C6" s="9"/>
      <c r="D6" s="9"/>
      <c r="E6" s="10"/>
      <c r="F6" s="11"/>
      <c r="G6" s="12"/>
      <c r="H6" s="36"/>
      <c r="I6" s="37"/>
    </row>
    <row r="7" spans="1:9" ht="15.75">
      <c r="A7" s="199"/>
      <c r="B7" s="200" t="s">
        <v>10</v>
      </c>
      <c r="C7" s="201"/>
      <c r="D7" s="180" t="s">
        <v>11</v>
      </c>
      <c r="E7" s="178" t="s">
        <v>12</v>
      </c>
      <c r="F7" s="181" t="s">
        <v>13</v>
      </c>
      <c r="G7" s="182" t="s">
        <v>14</v>
      </c>
      <c r="H7" s="182" t="s">
        <v>15</v>
      </c>
      <c r="I7" s="182" t="s">
        <v>16</v>
      </c>
    </row>
    <row r="8" spans="1:9" ht="15.75">
      <c r="A8" s="178"/>
      <c r="B8" s="178"/>
      <c r="C8" s="179" t="s">
        <v>199</v>
      </c>
      <c r="D8" s="180" t="s">
        <v>18</v>
      </c>
      <c r="E8" s="178" t="s">
        <v>19</v>
      </c>
      <c r="F8" s="181" t="s">
        <v>20</v>
      </c>
      <c r="G8" s="182"/>
      <c r="H8" s="182"/>
      <c r="I8" s="182" t="s">
        <v>21</v>
      </c>
    </row>
    <row r="9" spans="1:9" ht="16.5" thickBot="1">
      <c r="A9" s="202"/>
      <c r="B9" s="183" t="s">
        <v>23</v>
      </c>
      <c r="C9" s="184" t="s">
        <v>123</v>
      </c>
      <c r="D9" s="185" t="s">
        <v>337</v>
      </c>
      <c r="E9" s="186" t="s">
        <v>24</v>
      </c>
      <c r="F9" s="187" t="s">
        <v>25</v>
      </c>
      <c r="G9" s="188" t="s">
        <v>26</v>
      </c>
      <c r="H9" s="188" t="s">
        <v>27</v>
      </c>
      <c r="I9" s="188" t="s">
        <v>28</v>
      </c>
    </row>
    <row r="10" spans="1:9" ht="16.5" thickTop="1">
      <c r="A10" s="165" t="s">
        <v>94</v>
      </c>
      <c r="B10" s="82"/>
      <c r="C10" s="135"/>
      <c r="D10" s="69"/>
      <c r="E10" s="19"/>
      <c r="F10" s="20"/>
      <c r="G10" s="20"/>
      <c r="H10" s="20"/>
      <c r="I10" s="20"/>
    </row>
    <row r="11" spans="1:9" ht="15.75">
      <c r="A11" s="46"/>
      <c r="B11" s="170" t="s">
        <v>173</v>
      </c>
      <c r="C11" s="135">
        <v>114</v>
      </c>
      <c r="D11" s="69">
        <v>411.6</v>
      </c>
      <c r="E11" s="19" t="s">
        <v>2</v>
      </c>
      <c r="F11" s="362">
        <v>0</v>
      </c>
      <c r="G11" s="296">
        <f>VLOOKUP($E11,Ratio,2,FALSE)*$F11</f>
        <v>0</v>
      </c>
      <c r="H11" s="296">
        <f>VLOOKUP($E11,Ratio,3,FALSE)*$F11</f>
        <v>0</v>
      </c>
      <c r="I11" s="296">
        <f>VLOOKUP($E11,Ratio,4,FALSE)*$F11</f>
        <v>0</v>
      </c>
    </row>
    <row r="12" spans="1:9" ht="15.75">
      <c r="A12" s="46"/>
      <c r="B12" s="170" t="s">
        <v>211</v>
      </c>
      <c r="C12" s="135">
        <v>114</v>
      </c>
      <c r="D12" s="69" t="s">
        <v>95</v>
      </c>
      <c r="E12" s="19" t="s">
        <v>2</v>
      </c>
      <c r="F12" s="362">
        <v>0</v>
      </c>
      <c r="G12" s="296">
        <f>VLOOKUP($E12,Ratio,2,FALSE)*$F12</f>
        <v>0</v>
      </c>
      <c r="H12" s="296">
        <f>VLOOKUP($E12,Ratio,3,FALSE)*$F12</f>
        <v>0</v>
      </c>
      <c r="I12" s="296">
        <f>VLOOKUP($E12,Ratio,4,FALSE)*$F12</f>
        <v>0</v>
      </c>
    </row>
    <row r="13" spans="1:9" ht="15.75">
      <c r="A13" s="253" t="s">
        <v>132</v>
      </c>
      <c r="B13" s="166"/>
      <c r="C13" s="41"/>
      <c r="D13" s="41"/>
      <c r="E13" s="19"/>
      <c r="F13" s="108">
        <f>SUM(F11:F12)</f>
        <v>0</v>
      </c>
      <c r="G13" s="108">
        <f>SUM(G11:G12)</f>
        <v>0</v>
      </c>
      <c r="H13" s="108">
        <f>SUM(H11:H12)</f>
        <v>0</v>
      </c>
      <c r="I13" s="108">
        <f>SUM(I11:I12)</f>
        <v>0</v>
      </c>
    </row>
    <row r="14" spans="1:9" ht="15.75">
      <c r="A14" s="172"/>
      <c r="B14" s="166"/>
      <c r="C14" s="41"/>
      <c r="D14" s="41"/>
      <c r="E14" s="19"/>
      <c r="F14" s="20"/>
      <c r="G14" s="20"/>
      <c r="H14" s="20"/>
      <c r="I14" s="20"/>
    </row>
    <row r="15" spans="1:9" ht="15.75">
      <c r="A15" s="26" t="s">
        <v>117</v>
      </c>
      <c r="B15" s="166"/>
      <c r="C15" s="41"/>
      <c r="D15" s="41"/>
      <c r="E15" s="19"/>
      <c r="F15" s="20"/>
      <c r="G15" s="20"/>
      <c r="H15" s="20"/>
      <c r="I15" s="20"/>
    </row>
    <row r="16" spans="1:9" ht="15.75">
      <c r="A16" s="51"/>
      <c r="B16" s="168" t="s">
        <v>118</v>
      </c>
      <c r="C16" s="76">
        <v>310</v>
      </c>
      <c r="D16" s="16">
        <v>447</v>
      </c>
      <c r="E16" s="19" t="s">
        <v>3</v>
      </c>
      <c r="F16" s="362">
        <v>175572595</v>
      </c>
      <c r="G16" s="296">
        <f>VLOOKUP($E16,Ratio,G$1)*$F16</f>
        <v>175572595</v>
      </c>
      <c r="H16" s="296">
        <f>VLOOKUP($E16,Ratio,H$1)*$F16</f>
        <v>0</v>
      </c>
      <c r="I16" s="296">
        <f>VLOOKUP($E16,Ratio,I$1)*$F16</f>
        <v>0</v>
      </c>
    </row>
    <row r="17" spans="1:9" ht="15.75">
      <c r="A17" s="256" t="s">
        <v>119</v>
      </c>
      <c r="B17" s="87"/>
      <c r="C17" s="41"/>
      <c r="D17" s="41"/>
      <c r="E17" s="19"/>
      <c r="F17" s="108">
        <f>SUM(F16)</f>
        <v>175572595</v>
      </c>
      <c r="G17" s="108">
        <f>SUM(G16)</f>
        <v>175572595</v>
      </c>
      <c r="H17" s="108">
        <f>SUM(H16)</f>
        <v>0</v>
      </c>
      <c r="I17" s="108">
        <f>SUM(I16)</f>
        <v>0</v>
      </c>
    </row>
    <row r="18" spans="1:9" ht="15.75">
      <c r="A18" s="58"/>
      <c r="B18" s="87"/>
      <c r="C18" s="41"/>
      <c r="D18" s="41"/>
      <c r="E18" s="19"/>
      <c r="F18" s="20"/>
      <c r="G18" s="20"/>
      <c r="H18" s="20"/>
      <c r="I18" s="20"/>
    </row>
    <row r="19" spans="1:9" ht="15.75">
      <c r="A19" s="263" t="s">
        <v>96</v>
      </c>
      <c r="B19" s="87"/>
      <c r="C19" s="41"/>
      <c r="D19" s="41"/>
      <c r="E19" s="19"/>
      <c r="F19" s="20"/>
      <c r="G19" s="20"/>
      <c r="H19" s="20"/>
      <c r="I19" s="20"/>
    </row>
    <row r="20" spans="1:9" ht="15.75">
      <c r="A20" s="41"/>
      <c r="B20" s="193" t="s">
        <v>205</v>
      </c>
      <c r="C20" s="76">
        <v>300</v>
      </c>
      <c r="D20" s="16">
        <v>450</v>
      </c>
      <c r="E20" s="19" t="s">
        <v>2</v>
      </c>
      <c r="F20" s="362">
        <v>0</v>
      </c>
      <c r="G20" s="296">
        <f>VLOOKUP($E20,Ratio,2,FALSE)*$F20</f>
        <v>0</v>
      </c>
      <c r="H20" s="296">
        <f>VLOOKUP($E20,Ratio,3,FALSE)*$F20</f>
        <v>0</v>
      </c>
      <c r="I20" s="296">
        <f>VLOOKUP($E20,Ratio,4,FALSE)*$F20</f>
        <v>0</v>
      </c>
    </row>
    <row r="21" spans="1:9" ht="15.75">
      <c r="A21" s="41"/>
      <c r="B21" s="193" t="s">
        <v>210</v>
      </c>
      <c r="C21" s="76">
        <v>300</v>
      </c>
      <c r="D21" s="16" t="s">
        <v>97</v>
      </c>
      <c r="E21" s="19" t="s">
        <v>2</v>
      </c>
      <c r="F21" s="362">
        <v>447333</v>
      </c>
      <c r="G21" s="296">
        <f>VLOOKUP($E21,Ratio,2,FALSE)*$F21</f>
        <v>0</v>
      </c>
      <c r="H21" s="296">
        <f>VLOOKUP($E21,Ratio,3,FALSE)*$F21</f>
        <v>0</v>
      </c>
      <c r="I21" s="296">
        <f>VLOOKUP($E21,Ratio,4,FALSE)*$F21</f>
        <v>447333</v>
      </c>
    </row>
    <row r="22" spans="1:9" ht="15.75">
      <c r="A22" s="41"/>
      <c r="B22" s="193" t="s">
        <v>209</v>
      </c>
      <c r="C22" s="76">
        <v>300</v>
      </c>
      <c r="D22" s="16" t="s">
        <v>98</v>
      </c>
      <c r="E22" s="19" t="s">
        <v>2</v>
      </c>
      <c r="F22" s="362">
        <v>230504</v>
      </c>
      <c r="G22" s="296">
        <f>VLOOKUP($E22,Ratio,2,FALSE)*$F22</f>
        <v>0</v>
      </c>
      <c r="H22" s="296">
        <f>VLOOKUP($E22,Ratio,3,FALSE)*$F22</f>
        <v>0</v>
      </c>
      <c r="I22" s="296">
        <f>VLOOKUP($E22,Ratio,4,FALSE)*$F22</f>
        <v>230504</v>
      </c>
    </row>
    <row r="23" spans="1:9" ht="15.75">
      <c r="A23" s="41"/>
      <c r="B23" s="193" t="s">
        <v>208</v>
      </c>
      <c r="C23" s="76">
        <v>300</v>
      </c>
      <c r="D23" s="16" t="s">
        <v>99</v>
      </c>
      <c r="E23" s="19" t="s">
        <v>30</v>
      </c>
      <c r="F23" s="362">
        <v>2592254</v>
      </c>
      <c r="G23" s="296">
        <f>VLOOKUP($E23,Ratio,2,FALSE)*$F23</f>
        <v>0</v>
      </c>
      <c r="H23" s="296">
        <f>VLOOKUP($E23,Ratio,3,FALSE)*$F23</f>
        <v>818285.9786149393</v>
      </c>
      <c r="I23" s="296">
        <f>VLOOKUP($E23,Ratio,4,FALSE)*$F23</f>
        <v>1773968.0213850609</v>
      </c>
    </row>
    <row r="24" spans="1:9" ht="15.75">
      <c r="A24" s="41"/>
      <c r="B24" s="193" t="s">
        <v>207</v>
      </c>
      <c r="C24" s="76">
        <v>300</v>
      </c>
      <c r="D24" s="16">
        <v>455</v>
      </c>
      <c r="E24" s="19" t="s">
        <v>2</v>
      </c>
      <c r="F24" s="362">
        <v>0</v>
      </c>
      <c r="G24" s="296">
        <f>VLOOKUP($E24,Ratio,2,FALSE)*$F24</f>
        <v>0</v>
      </c>
      <c r="H24" s="296">
        <f>VLOOKUP($E24,Ratio,3,FALSE)*$F24</f>
        <v>0</v>
      </c>
      <c r="I24" s="296">
        <f>VLOOKUP($E24,Ratio,4,FALSE)*$F24</f>
        <v>0</v>
      </c>
    </row>
    <row r="25" spans="1:9" ht="15.75">
      <c r="A25" s="41"/>
      <c r="B25" s="193" t="s">
        <v>206</v>
      </c>
      <c r="C25" s="76">
        <v>300</v>
      </c>
      <c r="D25" s="16" t="s">
        <v>100</v>
      </c>
      <c r="E25" s="19" t="s">
        <v>5</v>
      </c>
      <c r="F25" s="362">
        <v>53121536</v>
      </c>
      <c r="G25" s="350"/>
      <c r="H25" s="350"/>
      <c r="I25" s="350"/>
    </row>
    <row r="26" spans="1:9" ht="15.75">
      <c r="A26" s="41"/>
      <c r="B26" s="193" t="s">
        <v>374</v>
      </c>
      <c r="C26" s="76">
        <v>330</v>
      </c>
      <c r="D26" s="41">
        <v>456.1</v>
      </c>
      <c r="E26" s="19" t="s">
        <v>4</v>
      </c>
      <c r="F26" s="362">
        <v>10605281</v>
      </c>
      <c r="G26" s="296">
        <f>VLOOKUP($E26,Ratio,2,FALSE)*$F26</f>
        <v>0</v>
      </c>
      <c r="H26" s="296">
        <f>VLOOKUP($E26,Ratio,3,FALSE)*$F26</f>
        <v>10605281</v>
      </c>
      <c r="I26" s="296">
        <f>VLOOKUP($E26,Ratio,4,FALSE)*$F26</f>
        <v>0</v>
      </c>
    </row>
    <row r="27" spans="1:9" ht="15.75">
      <c r="A27" s="52"/>
      <c r="B27" s="193"/>
      <c r="C27" s="76"/>
      <c r="D27" s="16"/>
      <c r="E27" s="19"/>
      <c r="F27" s="20"/>
      <c r="G27" s="20"/>
      <c r="H27" s="20"/>
      <c r="I27" s="20"/>
    </row>
    <row r="28" spans="1:9" ht="15.75">
      <c r="A28" s="256" t="s">
        <v>101</v>
      </c>
      <c r="B28" s="282"/>
      <c r="C28" s="41"/>
      <c r="D28" s="41"/>
      <c r="E28" s="19"/>
      <c r="F28" s="108">
        <f>SUM(F20:F27)</f>
        <v>66996908</v>
      </c>
      <c r="G28" s="108">
        <f>SUM(G20:G27)</f>
        <v>0</v>
      </c>
      <c r="H28" s="108">
        <f>SUM(H20:H27)</f>
        <v>11423566.97861494</v>
      </c>
      <c r="I28" s="108">
        <f>SUM(I20:I27)</f>
        <v>2451805.0213850606</v>
      </c>
    </row>
    <row r="29" spans="1:9" ht="15.75">
      <c r="A29" s="140"/>
      <c r="B29" s="86"/>
      <c r="C29" s="41"/>
      <c r="D29" s="41"/>
      <c r="E29" s="19"/>
      <c r="F29" s="20"/>
      <c r="G29" s="20"/>
      <c r="H29" s="20"/>
      <c r="I29" s="20"/>
    </row>
    <row r="30" spans="1:9" ht="15.75">
      <c r="A30" s="256" t="s">
        <v>102</v>
      </c>
      <c r="B30" s="86"/>
      <c r="C30" s="41"/>
      <c r="D30" s="41"/>
      <c r="E30" s="19"/>
      <c r="F30" s="108">
        <f>+F28+F17+F13</f>
        <v>242569503</v>
      </c>
      <c r="G30" s="108">
        <f>+G28+G17+G13</f>
        <v>175572595</v>
      </c>
      <c r="H30" s="108">
        <f>+H28+H17+H13</f>
        <v>11423566.97861494</v>
      </c>
      <c r="I30" s="108">
        <f>+I28+I17+I13</f>
        <v>2451805.0213850606</v>
      </c>
    </row>
    <row r="31" spans="1:5" ht="15.75">
      <c r="A31" s="85" t="s">
        <v>121</v>
      </c>
      <c r="B31" s="86"/>
      <c r="C31" s="139"/>
      <c r="D31" s="139"/>
      <c r="E31" s="139"/>
    </row>
    <row r="32" spans="1:5" ht="15.75">
      <c r="A32" s="139"/>
      <c r="B32" s="139"/>
      <c r="C32" s="139"/>
      <c r="D32" s="139"/>
      <c r="E32" s="139"/>
    </row>
    <row r="33" spans="1:5" ht="15.75">
      <c r="A33" s="139"/>
      <c r="B33" s="139"/>
      <c r="C33" s="139"/>
      <c r="D33" s="139"/>
      <c r="E33" s="139"/>
    </row>
    <row r="51" spans="1:6" ht="15.75">
      <c r="A51"/>
      <c r="B51"/>
      <c r="C51"/>
      <c r="D51"/>
      <c r="E51"/>
      <c r="F51"/>
    </row>
    <row r="52" spans="1:6" ht="15.75">
      <c r="A52"/>
      <c r="B52"/>
      <c r="C52"/>
      <c r="D52"/>
      <c r="E52"/>
      <c r="F52"/>
    </row>
    <row r="53" spans="1:6" ht="15.75">
      <c r="A53"/>
      <c r="B53"/>
      <c r="C53"/>
      <c r="D53"/>
      <c r="E53"/>
      <c r="F53"/>
    </row>
    <row r="54" spans="1:6" ht="15.75">
      <c r="A54"/>
      <c r="B54"/>
      <c r="C54"/>
      <c r="D54"/>
      <c r="E54"/>
      <c r="F54"/>
    </row>
    <row r="55" spans="1:6" ht="15.75">
      <c r="A55"/>
      <c r="B55"/>
      <c r="C55"/>
      <c r="D55"/>
      <c r="E55"/>
      <c r="F55"/>
    </row>
    <row r="56" spans="1:6" ht="15.75">
      <c r="A56"/>
      <c r="B56"/>
      <c r="C56"/>
      <c r="D56"/>
      <c r="E56"/>
      <c r="F56"/>
    </row>
    <row r="57" spans="1:6" ht="15.75">
      <c r="A57"/>
      <c r="B57"/>
      <c r="C57"/>
      <c r="D57"/>
      <c r="E57"/>
      <c r="F57"/>
    </row>
    <row r="58" spans="1:6" ht="15.75">
      <c r="A58"/>
      <c r="B58"/>
      <c r="C58"/>
      <c r="D58"/>
      <c r="E58"/>
      <c r="F58"/>
    </row>
    <row r="59" spans="1:6" ht="15.75">
      <c r="A59"/>
      <c r="B59"/>
      <c r="C59"/>
      <c r="D59"/>
      <c r="E59"/>
      <c r="F59"/>
    </row>
    <row r="60" spans="1:6" ht="15.75">
      <c r="A60"/>
      <c r="B60"/>
      <c r="C60"/>
      <c r="D60"/>
      <c r="E60"/>
      <c r="F60"/>
    </row>
    <row r="61" spans="1:6" ht="15.75">
      <c r="A61"/>
      <c r="B61"/>
      <c r="C61"/>
      <c r="D61"/>
      <c r="E61"/>
      <c r="F61"/>
    </row>
    <row r="62" spans="1:6" ht="15.75">
      <c r="A62"/>
      <c r="B62"/>
      <c r="C62"/>
      <c r="D62"/>
      <c r="E62"/>
      <c r="F62"/>
    </row>
  </sheetData>
  <printOptions horizontalCentered="1"/>
  <pageMargins left="0.2" right="0.28" top="0.25" bottom="0.5" header="0.25" footer="0.25"/>
  <pageSetup horizontalDpi="600" verticalDpi="600" orientation="landscape" paperSize="9" scale="85" r:id="rId1"/>
  <headerFooter alignWithMargins="0">
    <oddHeader>&amp;RDraft FRN Template</oddHeader>
    <oddFooter>&amp;L&amp;F&amp;CPage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75" zoomScaleNormal="75" workbookViewId="0" topLeftCell="A6">
      <selection activeCell="D35" sqref="D35"/>
    </sheetView>
  </sheetViews>
  <sheetFormatPr defaultColWidth="9.00390625" defaultRowHeight="15.75"/>
  <cols>
    <col min="1" max="1" width="35.00390625" style="15" customWidth="1"/>
    <col min="2" max="2" width="11.00390625" style="0" customWidth="1"/>
    <col min="3" max="6" width="14.625" style="0" customWidth="1"/>
    <col min="7" max="7" width="16.625" style="0" customWidth="1"/>
  </cols>
  <sheetData>
    <row r="1" spans="1:17" s="15" customFormat="1" ht="18.75">
      <c r="A1" s="197" t="s">
        <v>107</v>
      </c>
      <c r="B1" s="195"/>
      <c r="C1" s="195"/>
      <c r="D1" s="195"/>
      <c r="E1" s="195"/>
      <c r="F1" s="195"/>
      <c r="G1"/>
      <c r="H1"/>
      <c r="I1"/>
      <c r="J1"/>
      <c r="K1"/>
      <c r="L1"/>
      <c r="M1"/>
      <c r="N1"/>
      <c r="O1"/>
      <c r="P1"/>
      <c r="Q1"/>
    </row>
    <row r="2" spans="1:17" s="15" customFormat="1" ht="15.75">
      <c r="A2" s="196" t="s">
        <v>109</v>
      </c>
      <c r="B2" s="195"/>
      <c r="C2" s="195"/>
      <c r="D2" s="195"/>
      <c r="E2" s="195"/>
      <c r="F2" s="195"/>
      <c r="G2"/>
      <c r="H2"/>
      <c r="I2"/>
      <c r="J2"/>
      <c r="K2"/>
      <c r="L2"/>
      <c r="M2"/>
      <c r="N2"/>
      <c r="O2"/>
      <c r="P2"/>
      <c r="Q2"/>
    </row>
    <row r="3" spans="1:17" s="15" customFormat="1" ht="15.75">
      <c r="A3" s="2" t="s">
        <v>285</v>
      </c>
      <c r="B3" s="195"/>
      <c r="C3" s="195"/>
      <c r="D3" s="195"/>
      <c r="E3" s="195"/>
      <c r="F3" s="195"/>
      <c r="G3"/>
      <c r="H3"/>
      <c r="I3"/>
      <c r="J3"/>
      <c r="K3"/>
      <c r="L3"/>
      <c r="M3"/>
      <c r="N3"/>
      <c r="O3"/>
      <c r="P3"/>
      <c r="Q3"/>
    </row>
    <row r="4" spans="1:17" s="15" customFormat="1" ht="15.75">
      <c r="A4" s="196"/>
      <c r="B4" s="195"/>
      <c r="C4" s="195"/>
      <c r="D4" s="195"/>
      <c r="E4" s="195"/>
      <c r="F4" s="195"/>
      <c r="G4"/>
      <c r="H4"/>
      <c r="I4"/>
      <c r="J4"/>
      <c r="K4"/>
      <c r="L4"/>
      <c r="M4"/>
      <c r="N4"/>
      <c r="O4"/>
      <c r="P4"/>
      <c r="Q4"/>
    </row>
    <row r="5" spans="1:17" s="15" customFormat="1" ht="15.75">
      <c r="A5" s="207" t="s">
        <v>120</v>
      </c>
      <c r="B5" s="195"/>
      <c r="C5" s="195"/>
      <c r="D5" s="195"/>
      <c r="E5" s="195"/>
      <c r="F5" s="195"/>
      <c r="G5"/>
      <c r="H5"/>
      <c r="I5"/>
      <c r="J5"/>
      <c r="K5"/>
      <c r="L5"/>
      <c r="M5"/>
      <c r="N5"/>
      <c r="O5"/>
      <c r="P5"/>
      <c r="Q5"/>
    </row>
    <row r="6" spans="1:8" s="15" customFormat="1" ht="15.75">
      <c r="A6" s="7"/>
      <c r="B6" s="9"/>
      <c r="C6" s="9"/>
      <c r="D6" s="10"/>
      <c r="E6" s="11"/>
      <c r="F6" s="12"/>
      <c r="G6" s="36"/>
      <c r="H6" s="37"/>
    </row>
    <row r="7" spans="1:6" s="15" customFormat="1" ht="15.75">
      <c r="A7" s="7"/>
      <c r="B7" s="24"/>
      <c r="C7" s="181" t="s">
        <v>20</v>
      </c>
      <c r="D7" s="182"/>
      <c r="E7" s="182"/>
      <c r="F7" s="182" t="s">
        <v>21</v>
      </c>
    </row>
    <row r="8" spans="3:6" s="15" customFormat="1" ht="16.5" thickBot="1">
      <c r="C8" s="187" t="s">
        <v>25</v>
      </c>
      <c r="D8" s="188" t="s">
        <v>26</v>
      </c>
      <c r="E8" s="188" t="s">
        <v>27</v>
      </c>
      <c r="F8" s="188" t="s">
        <v>28</v>
      </c>
    </row>
    <row r="9" spans="1:6" s="15" customFormat="1" ht="17.25" thickBot="1" thickTop="1">
      <c r="A9" s="206" t="s">
        <v>103</v>
      </c>
      <c r="B9" s="41"/>
      <c r="C9" s="297">
        <f>'Sch 3 - Expenses'!F90</f>
        <v>615893625</v>
      </c>
      <c r="D9" s="297">
        <f>'Sch 3 - Expenses'!G90</f>
        <v>485291234.9173847</v>
      </c>
      <c r="E9" s="297">
        <f>'Sch 3 - Expenses'!H90</f>
        <v>38166194.88264856</v>
      </c>
      <c r="F9" s="297">
        <f>'Sch 3 - Expenses'!I90</f>
        <v>90695386.64004922</v>
      </c>
    </row>
    <row r="10" spans="1:6" s="15" customFormat="1" ht="15.75">
      <c r="A10" s="101" t="s">
        <v>122</v>
      </c>
      <c r="B10" s="41"/>
      <c r="C10" s="298"/>
      <c r="D10" s="298"/>
      <c r="E10" s="298"/>
      <c r="F10" s="298"/>
    </row>
    <row r="11" spans="1:6" s="15" customFormat="1" ht="16.5" thickBot="1">
      <c r="A11" s="134"/>
      <c r="B11" s="41"/>
      <c r="C11" s="298"/>
      <c r="D11" s="298"/>
      <c r="E11" s="298"/>
      <c r="F11" s="298"/>
    </row>
    <row r="12" spans="1:6" s="15" customFormat="1" ht="16.5" thickBot="1">
      <c r="A12" s="206" t="s">
        <v>365</v>
      </c>
      <c r="B12" s="41"/>
      <c r="C12" s="297">
        <f>'Sch 2 -Weighted Cost of Capital'!E30</f>
        <v>177399891.69944784</v>
      </c>
      <c r="D12" s="297">
        <f>'Sch 2 -Weighted Cost of Capital'!F30</f>
        <v>78339362.67003672</v>
      </c>
      <c r="E12" s="297">
        <f>'Sch 2 -Weighted Cost of Capital'!G30</f>
        <v>29682646.68287288</v>
      </c>
      <c r="F12" s="297">
        <f>'Sch 2 -Weighted Cost of Capital'!H30</f>
        <v>52276503.284089096</v>
      </c>
    </row>
    <row r="13" spans="1:6" s="15" customFormat="1" ht="15.75">
      <c r="A13" s="101" t="s">
        <v>339</v>
      </c>
      <c r="B13" s="41"/>
      <c r="C13" s="298"/>
      <c r="D13" s="298"/>
      <c r="E13" s="298"/>
      <c r="F13" s="298"/>
    </row>
    <row r="14" spans="1:6" s="15" customFormat="1" ht="16.5" thickBot="1">
      <c r="A14" s="134"/>
      <c r="B14" s="41"/>
      <c r="C14" s="298"/>
      <c r="D14" s="298"/>
      <c r="E14" s="298"/>
      <c r="F14" s="298"/>
    </row>
    <row r="15" spans="1:6" s="15" customFormat="1" ht="16.5" thickBot="1">
      <c r="A15" s="206" t="s">
        <v>332</v>
      </c>
      <c r="B15" s="41"/>
      <c r="C15" s="297">
        <f>'Sch 3A - Taxes'!F123</f>
        <v>76273821</v>
      </c>
      <c r="D15" s="297">
        <f>'Sch 3A - Taxes'!G123</f>
        <v>39140481.875108354</v>
      </c>
      <c r="E15" s="297">
        <f>'Sch 3A - Taxes'!H123</f>
        <v>11905488.231923332</v>
      </c>
      <c r="F15" s="297">
        <f>'Sch 3A - Taxes'!I123</f>
        <v>25809997.561573382</v>
      </c>
    </row>
    <row r="16" spans="1:6" s="15" customFormat="1" ht="15.75">
      <c r="A16" s="101" t="s">
        <v>251</v>
      </c>
      <c r="B16" s="41"/>
      <c r="C16" s="298"/>
      <c r="D16" s="298"/>
      <c r="E16" s="298"/>
      <c r="F16" s="298"/>
    </row>
    <row r="17" spans="1:6" s="15" customFormat="1" ht="16.5" thickBot="1">
      <c r="A17" s="134"/>
      <c r="B17" s="41"/>
      <c r="C17" s="298"/>
      <c r="D17" s="298"/>
      <c r="E17" s="298"/>
      <c r="F17" s="298"/>
    </row>
    <row r="18" spans="1:6" s="15" customFormat="1" ht="16.5" thickBot="1">
      <c r="A18" s="206" t="s">
        <v>102</v>
      </c>
      <c r="B18" s="41"/>
      <c r="C18" s="297">
        <f>'Sch 3B - Other Items'!F30</f>
        <v>242569503</v>
      </c>
      <c r="D18" s="297">
        <f>'Sch 3B - Other Items'!G30</f>
        <v>175572595</v>
      </c>
      <c r="E18" s="297">
        <f>'Sch 3B - Other Items'!H30</f>
        <v>11423566.97861494</v>
      </c>
      <c r="F18" s="297">
        <f>'Sch 3B - Other Items'!I30</f>
        <v>2451805.0213850606</v>
      </c>
    </row>
    <row r="19" spans="1:6" s="15" customFormat="1" ht="15.75">
      <c r="A19" s="101" t="s">
        <v>375</v>
      </c>
      <c r="B19" s="41"/>
      <c r="C19" s="298"/>
      <c r="D19" s="298"/>
      <c r="E19" s="298"/>
      <c r="F19" s="298"/>
    </row>
    <row r="20" spans="1:6" s="15" customFormat="1" ht="16.5" thickBot="1">
      <c r="A20" s="134"/>
      <c r="B20" s="41"/>
      <c r="C20" s="298"/>
      <c r="D20" s="298"/>
      <c r="E20" s="298"/>
      <c r="F20" s="298"/>
    </row>
    <row r="21" spans="1:6" s="15" customFormat="1" ht="16.5" thickBot="1">
      <c r="A21" s="206" t="s">
        <v>104</v>
      </c>
      <c r="B21" s="41"/>
      <c r="C21" s="297">
        <f>C9+C12+C15-C18</f>
        <v>626997834.6994479</v>
      </c>
      <c r="D21" s="297">
        <f>D9+D12+D15-D18</f>
        <v>427198484.4625298</v>
      </c>
      <c r="E21" s="297">
        <f>E9+E12+E15-E18</f>
        <v>68330762.81882982</v>
      </c>
      <c r="F21" s="297">
        <f>F9+F12+F15-F18</f>
        <v>166330082.46432662</v>
      </c>
    </row>
    <row r="22" spans="1:9" s="15" customFormat="1" ht="15.75">
      <c r="A22" s="101" t="s">
        <v>333</v>
      </c>
      <c r="B22" s="84"/>
      <c r="C22" s="176"/>
      <c r="D22" s="176"/>
      <c r="E22" s="214"/>
      <c r="F22" s="213"/>
      <c r="G22" s="20"/>
      <c r="H22" s="20"/>
      <c r="I22" s="20"/>
    </row>
    <row r="23" s="15" customFormat="1" ht="15.75"/>
    <row r="24" s="15" customFormat="1" ht="16.5" thickBot="1"/>
    <row r="25" spans="1:6" s="15" customFormat="1" ht="16.5" thickBot="1">
      <c r="A25" s="209" t="s">
        <v>376</v>
      </c>
      <c r="B25" s="157"/>
      <c r="C25" s="215"/>
      <c r="D25" s="216"/>
      <c r="E25" s="216"/>
      <c r="F25" s="158"/>
    </row>
    <row r="26" spans="1:9" s="15" customFormat="1" ht="15.75">
      <c r="A26" s="212" t="s">
        <v>195</v>
      </c>
      <c r="B26" s="135"/>
      <c r="C26" s="175"/>
      <c r="D26" s="374">
        <f>D21</f>
        <v>427198484.4625298</v>
      </c>
      <c r="E26" s="177"/>
      <c r="F26" s="217"/>
      <c r="G26" s="44"/>
      <c r="H26" s="44"/>
      <c r="I26" s="44"/>
    </row>
    <row r="27" spans="1:9" s="15" customFormat="1" ht="15.75">
      <c r="A27" s="212" t="s">
        <v>27</v>
      </c>
      <c r="B27" s="135"/>
      <c r="C27" s="175"/>
      <c r="D27" s="375">
        <f>+E21</f>
        <v>68330762.81882982</v>
      </c>
      <c r="E27" s="177"/>
      <c r="F27" s="218"/>
      <c r="G27"/>
      <c r="H27"/>
      <c r="I27" s="43"/>
    </row>
    <row r="28" spans="1:9" s="15" customFormat="1" ht="16.5" thickBot="1">
      <c r="A28" s="212" t="s">
        <v>380</v>
      </c>
      <c r="B28" s="135"/>
      <c r="C28" s="175"/>
      <c r="D28" s="376"/>
      <c r="E28" s="177"/>
      <c r="F28" s="218"/>
      <c r="G28"/>
      <c r="H28"/>
      <c r="I28" s="43"/>
    </row>
    <row r="29" spans="1:9" s="15" customFormat="1" ht="16.5" thickBot="1">
      <c r="A29" s="210" t="s">
        <v>377</v>
      </c>
      <c r="B29" s="135"/>
      <c r="C29" s="175"/>
      <c r="D29" s="297">
        <f>D26+D27-D28</f>
        <v>495529247.2813596</v>
      </c>
      <c r="E29" s="177"/>
      <c r="F29" s="218"/>
      <c r="G29"/>
      <c r="H29"/>
      <c r="I29" s="43"/>
    </row>
    <row r="30" spans="1:9" s="15" customFormat="1" ht="15.75">
      <c r="A30" s="212"/>
      <c r="B30" s="135"/>
      <c r="C30" s="175"/>
      <c r="D30" s="377"/>
      <c r="E30" s="177"/>
      <c r="F30" s="218"/>
      <c r="G30"/>
      <c r="H30"/>
      <c r="I30" s="137"/>
    </row>
    <row r="31" spans="1:9" s="15" customFormat="1" ht="16.5" thickBot="1">
      <c r="A31" s="211" t="s">
        <v>378</v>
      </c>
      <c r="B31" s="135"/>
      <c r="C31" s="175"/>
      <c r="D31" s="377"/>
      <c r="E31" s="177"/>
      <c r="F31" s="218"/>
      <c r="G31"/>
      <c r="H31"/>
      <c r="I31" s="111"/>
    </row>
    <row r="32" spans="1:9" s="15" customFormat="1" ht="15.75">
      <c r="A32" s="212" t="s">
        <v>196</v>
      </c>
      <c r="B32" s="135"/>
      <c r="C32" s="175"/>
      <c r="D32" s="378">
        <v>8787002</v>
      </c>
      <c r="E32" s="219"/>
      <c r="F32" s="218"/>
      <c r="G32"/>
      <c r="H32"/>
      <c r="I32" s="92"/>
    </row>
    <row r="33" spans="1:9" s="15" customFormat="1" ht="16.5" thickBot="1">
      <c r="A33" s="212" t="s">
        <v>197</v>
      </c>
      <c r="B33" s="135"/>
      <c r="C33" s="175"/>
      <c r="D33" s="379"/>
      <c r="E33" s="219"/>
      <c r="F33" s="218"/>
      <c r="G33"/>
      <c r="H33"/>
      <c r="I33" s="138"/>
    </row>
    <row r="34" spans="1:9" s="15" customFormat="1" ht="16.5" thickBot="1">
      <c r="A34" s="212" t="s">
        <v>381</v>
      </c>
      <c r="B34" s="135"/>
      <c r="C34" s="175"/>
      <c r="D34" s="297">
        <f>D32-D33</f>
        <v>8787002</v>
      </c>
      <c r="E34" s="219"/>
      <c r="F34" s="218"/>
      <c r="G34"/>
      <c r="H34"/>
      <c r="I34" s="92"/>
    </row>
    <row r="35" spans="1:9" s="15" customFormat="1" ht="16.5" thickBot="1">
      <c r="A35" s="212" t="s">
        <v>382</v>
      </c>
      <c r="B35" s="135"/>
      <c r="C35" s="175"/>
      <c r="D35" s="379">
        <f>D32*0.05</f>
        <v>439350.10000000003</v>
      </c>
      <c r="E35" s="220"/>
      <c r="F35" s="218"/>
      <c r="G35"/>
      <c r="H35"/>
      <c r="I35" s="92"/>
    </row>
    <row r="36" spans="1:9" s="15" customFormat="1" ht="16.5" thickBot="1">
      <c r="A36" s="210" t="s">
        <v>379</v>
      </c>
      <c r="B36" s="135"/>
      <c r="C36" s="175"/>
      <c r="D36" s="297">
        <f>D34+D35</f>
        <v>9226352.1</v>
      </c>
      <c r="E36" s="177"/>
      <c r="F36" s="221"/>
      <c r="G36"/>
      <c r="H36"/>
      <c r="I36" s="54"/>
    </row>
    <row r="37" spans="1:6" s="15" customFormat="1" ht="16.5" thickBot="1">
      <c r="A37" s="159"/>
      <c r="B37" s="135"/>
      <c r="C37" s="175"/>
      <c r="D37" s="222"/>
      <c r="E37" s="177"/>
      <c r="F37" s="160"/>
    </row>
    <row r="38" spans="1:6" s="15" customFormat="1" ht="16.5" thickBot="1">
      <c r="A38" s="208" t="s">
        <v>198</v>
      </c>
      <c r="B38" s="161"/>
      <c r="C38" s="223"/>
      <c r="D38" s="373">
        <f>D29/D36</f>
        <v>53.70803562562496</v>
      </c>
      <c r="E38" s="224"/>
      <c r="F38" s="162"/>
    </row>
    <row r="39" s="15" customFormat="1" ht="15.75"/>
    <row r="53" ht="15.75">
      <c r="A53"/>
    </row>
    <row r="54" ht="15.75">
      <c r="A54"/>
    </row>
    <row r="55" ht="15.75">
      <c r="A55"/>
    </row>
    <row r="56" ht="15.75">
      <c r="A56"/>
    </row>
    <row r="57" ht="15.75">
      <c r="A57"/>
    </row>
    <row r="58" ht="15.75">
      <c r="A58"/>
    </row>
    <row r="59" ht="15.75">
      <c r="A59"/>
    </row>
    <row r="60" ht="15.75">
      <c r="A60"/>
    </row>
    <row r="61" ht="15.75">
      <c r="A61"/>
    </row>
    <row r="62" ht="15.75">
      <c r="A62"/>
    </row>
    <row r="63" ht="15.75">
      <c r="A63"/>
    </row>
    <row r="64" ht="15.75">
      <c r="A64"/>
    </row>
    <row r="65" ht="15.75">
      <c r="A65"/>
    </row>
  </sheetData>
  <printOptions horizontalCentered="1"/>
  <pageMargins left="0.2" right="0.28" top="0.25" bottom="0.5" header="0.25" footer="0.25"/>
  <pageSetup horizontalDpi="600" verticalDpi="600" orientation="landscape" paperSize="9" scale="85" r:id="rId1"/>
  <headerFooter alignWithMargins="0">
    <oddHeader>&amp;RDRAFT FRN Template</oddHeader>
    <oddFooter>&amp;L&amp;F&amp;CPage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E29"/>
  <sheetViews>
    <sheetView zoomScale="75" zoomScaleNormal="75" workbookViewId="0" topLeftCell="B1">
      <selection activeCell="L17" sqref="L17"/>
    </sheetView>
  </sheetViews>
  <sheetFormatPr defaultColWidth="9.00390625" defaultRowHeight="15.75"/>
  <cols>
    <col min="1" max="2" width="9.00390625" style="238" customWidth="1"/>
    <col min="3" max="3" width="3.875" style="238" customWidth="1"/>
    <col min="4" max="4" width="44.375" style="238" bestFit="1" customWidth="1"/>
    <col min="5" max="5" width="12.125" style="325" bestFit="1" customWidth="1"/>
    <col min="6" max="16384" width="9.00390625" style="238" customWidth="1"/>
  </cols>
  <sheetData>
    <row r="1" spans="2:5" ht="12.75">
      <c r="B1" s="292">
        <v>1</v>
      </c>
      <c r="C1" s="292"/>
      <c r="D1" s="292" t="s">
        <v>391</v>
      </c>
      <c r="E1" s="326"/>
    </row>
    <row r="2" spans="2:5" ht="12.75">
      <c r="B2" s="292">
        <v>2</v>
      </c>
      <c r="C2" s="292"/>
      <c r="D2" s="292" t="s">
        <v>185</v>
      </c>
      <c r="E2" s="326"/>
    </row>
    <row r="3" spans="2:5" ht="12.75">
      <c r="B3" s="292">
        <v>3</v>
      </c>
      <c r="C3" s="292"/>
      <c r="D3" s="292" t="s">
        <v>26</v>
      </c>
      <c r="E3" s="363">
        <v>8032540</v>
      </c>
    </row>
    <row r="4" spans="2:5" ht="12.75">
      <c r="B4" s="292">
        <v>4</v>
      </c>
      <c r="C4" s="292"/>
      <c r="D4" s="292" t="s">
        <v>27</v>
      </c>
      <c r="E4" s="363">
        <v>1996647</v>
      </c>
    </row>
    <row r="5" spans="2:5" ht="12.75">
      <c r="B5" s="292">
        <v>5</v>
      </c>
      <c r="C5" s="292"/>
      <c r="D5" s="292" t="s">
        <v>400</v>
      </c>
      <c r="E5" s="363"/>
    </row>
    <row r="6" spans="2:5" ht="12.75">
      <c r="B6" s="292">
        <v>6</v>
      </c>
      <c r="C6" s="292"/>
      <c r="D6" s="292" t="s">
        <v>392</v>
      </c>
      <c r="E6" s="363">
        <v>5300368</v>
      </c>
    </row>
    <row r="7" spans="2:5" ht="12.75">
      <c r="B7" s="292">
        <v>7</v>
      </c>
      <c r="C7" s="292"/>
      <c r="D7" s="292" t="s">
        <v>393</v>
      </c>
      <c r="E7" s="363">
        <v>5329149</v>
      </c>
    </row>
    <row r="8" spans="2:5" ht="12.75">
      <c r="B8" s="292">
        <v>8</v>
      </c>
      <c r="C8" s="292"/>
      <c r="D8" s="292" t="s">
        <v>394</v>
      </c>
      <c r="E8" s="363">
        <v>300182</v>
      </c>
    </row>
    <row r="9" spans="2:5" ht="12.75">
      <c r="B9" s="292">
        <v>9</v>
      </c>
      <c r="C9" s="292"/>
      <c r="D9" s="292" t="s">
        <v>395</v>
      </c>
      <c r="E9" s="363">
        <v>428000</v>
      </c>
    </row>
    <row r="10" spans="2:5" ht="12.75">
      <c r="B10" s="292">
        <v>10</v>
      </c>
      <c r="C10" s="292"/>
      <c r="D10" s="292" t="s">
        <v>396</v>
      </c>
      <c r="E10" s="363">
        <v>11299946</v>
      </c>
    </row>
    <row r="11" spans="2:5" ht="12.75">
      <c r="B11" s="292">
        <v>11</v>
      </c>
      <c r="C11" s="292"/>
      <c r="D11" s="292" t="s">
        <v>397</v>
      </c>
      <c r="E11" s="364">
        <f>SUM(E3:E10)</f>
        <v>32686832</v>
      </c>
    </row>
    <row r="12" spans="2:5" ht="12.75">
      <c r="B12" s="292">
        <v>12</v>
      </c>
      <c r="C12" s="292"/>
      <c r="D12" s="292" t="s">
        <v>186</v>
      </c>
      <c r="E12" s="365"/>
    </row>
    <row r="13" spans="2:5" ht="12.75">
      <c r="B13" s="292">
        <v>13</v>
      </c>
      <c r="C13" s="292"/>
      <c r="D13" s="292" t="s">
        <v>26</v>
      </c>
      <c r="E13" s="363">
        <v>2494282</v>
      </c>
    </row>
    <row r="14" spans="2:5" ht="12.75">
      <c r="B14" s="292">
        <v>14</v>
      </c>
      <c r="C14" s="292"/>
      <c r="D14" s="292" t="s">
        <v>27</v>
      </c>
      <c r="E14" s="363">
        <v>672562</v>
      </c>
    </row>
    <row r="15" spans="2:5" ht="12.75">
      <c r="B15" s="292">
        <v>15</v>
      </c>
      <c r="C15" s="292"/>
      <c r="D15" s="292" t="s">
        <v>400</v>
      </c>
      <c r="E15" s="363"/>
    </row>
    <row r="16" spans="2:5" ht="12.75">
      <c r="B16" s="292">
        <v>16</v>
      </c>
      <c r="C16" s="292"/>
      <c r="D16" s="292" t="s">
        <v>392</v>
      </c>
      <c r="E16" s="363">
        <v>4558361</v>
      </c>
    </row>
    <row r="17" spans="2:5" ht="12.75">
      <c r="B17" s="292">
        <v>17</v>
      </c>
      <c r="C17" s="292"/>
      <c r="D17" s="292" t="s">
        <v>396</v>
      </c>
      <c r="E17" s="363"/>
    </row>
    <row r="18" spans="2:5" ht="12.75">
      <c r="B18" s="292">
        <v>18</v>
      </c>
      <c r="C18" s="292"/>
      <c r="D18" s="292" t="s">
        <v>398</v>
      </c>
      <c r="E18" s="364">
        <f>SUM(E12:E17)</f>
        <v>7725205</v>
      </c>
    </row>
    <row r="19" spans="2:5" ht="12.75">
      <c r="B19" s="292">
        <v>19</v>
      </c>
      <c r="C19" s="292"/>
      <c r="D19" s="292" t="s">
        <v>399</v>
      </c>
      <c r="E19" s="365"/>
    </row>
    <row r="20" spans="2:5" ht="12.75">
      <c r="B20" s="292">
        <v>20</v>
      </c>
      <c r="C20" s="292"/>
      <c r="D20" s="292" t="s">
        <v>383</v>
      </c>
      <c r="E20" s="366">
        <f>E3+E13</f>
        <v>10526822</v>
      </c>
    </row>
    <row r="21" spans="2:5" ht="12.75">
      <c r="B21" s="292">
        <v>21</v>
      </c>
      <c r="C21" s="292"/>
      <c r="D21" s="292" t="s">
        <v>384</v>
      </c>
      <c r="E21" s="367">
        <f>E4+E14</f>
        <v>2669209</v>
      </c>
    </row>
    <row r="22" spans="2:5" ht="12.75">
      <c r="B22" s="292">
        <v>22</v>
      </c>
      <c r="C22" s="292"/>
      <c r="D22" s="292" t="s">
        <v>401</v>
      </c>
      <c r="E22" s="367">
        <f>E5+E15</f>
        <v>0</v>
      </c>
    </row>
    <row r="23" spans="2:5" ht="12.75">
      <c r="B23" s="292">
        <v>23</v>
      </c>
      <c r="C23" s="292"/>
      <c r="D23" s="292" t="s">
        <v>385</v>
      </c>
      <c r="E23" s="367">
        <f>E6+E16</f>
        <v>9858729</v>
      </c>
    </row>
    <row r="24" spans="2:5" ht="12.75">
      <c r="B24" s="292">
        <v>24</v>
      </c>
      <c r="C24" s="292"/>
      <c r="D24" s="292" t="s">
        <v>386</v>
      </c>
      <c r="E24" s="367">
        <f>E7</f>
        <v>5329149</v>
      </c>
    </row>
    <row r="25" spans="2:5" ht="12.75">
      <c r="B25" s="292">
        <v>25</v>
      </c>
      <c r="C25" s="292"/>
      <c r="D25" s="292" t="s">
        <v>387</v>
      </c>
      <c r="E25" s="367">
        <f>E8</f>
        <v>300182</v>
      </c>
    </row>
    <row r="26" spans="2:5" ht="12.75">
      <c r="B26" s="292">
        <v>26</v>
      </c>
      <c r="C26" s="292"/>
      <c r="D26" s="292" t="s">
        <v>388</v>
      </c>
      <c r="E26" s="367">
        <f>E9</f>
        <v>428000</v>
      </c>
    </row>
    <row r="27" spans="2:5" ht="12.75">
      <c r="B27" s="292">
        <v>27</v>
      </c>
      <c r="C27" s="292"/>
      <c r="D27" s="292" t="s">
        <v>389</v>
      </c>
      <c r="E27" s="368">
        <f>E10+E17</f>
        <v>11299946</v>
      </c>
    </row>
    <row r="28" spans="4:5" ht="12.75">
      <c r="D28" s="292" t="s">
        <v>390</v>
      </c>
      <c r="E28" s="369">
        <f>SUM(E20:E27)</f>
        <v>40412037</v>
      </c>
    </row>
    <row r="29" ht="12.75">
      <c r="E29" s="37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7"/>
  <sheetViews>
    <sheetView zoomScale="75" zoomScaleNormal="75" workbookViewId="0" topLeftCell="A1">
      <selection activeCell="M10" sqref="M10"/>
    </sheetView>
  </sheetViews>
  <sheetFormatPr defaultColWidth="9.00390625" defaultRowHeight="15.75"/>
  <cols>
    <col min="1" max="1" width="13.00390625" style="314" bestFit="1" customWidth="1"/>
    <col min="2" max="2" width="27.625" style="293" customWidth="1"/>
    <col min="3" max="3" width="2.625" style="293" customWidth="1"/>
    <col min="4" max="4" width="2.125" style="293" customWidth="1"/>
    <col min="5" max="5" width="11.25390625" style="293" customWidth="1"/>
    <col min="6" max="7" width="13.25390625" style="294" bestFit="1" customWidth="1"/>
    <col min="8" max="9" width="12.125" style="294" bestFit="1" customWidth="1"/>
    <col min="10" max="10" width="8.125" style="293" bestFit="1" customWidth="1"/>
    <col min="11" max="16384" width="8.00390625" style="293" customWidth="1"/>
  </cols>
  <sheetData>
    <row r="1" spans="5:9" ht="12.75">
      <c r="E1" s="293" t="s">
        <v>406</v>
      </c>
      <c r="F1" s="327"/>
      <c r="G1" s="327"/>
      <c r="H1" s="327"/>
      <c r="I1" s="327"/>
    </row>
    <row r="2" ht="12.75">
      <c r="A2" s="314" t="s">
        <v>402</v>
      </c>
    </row>
    <row r="3" spans="2:9" ht="12.75">
      <c r="B3" s="293" t="s">
        <v>26</v>
      </c>
      <c r="E3" s="293" t="s">
        <v>3</v>
      </c>
      <c r="F3" s="294">
        <f>Salaries!E20</f>
        <v>10526822</v>
      </c>
      <c r="G3" s="296">
        <f>VLOOKUP($E3,Ratio,2,FALSE)*$F3</f>
        <v>10526822</v>
      </c>
      <c r="H3" s="296">
        <f>VLOOKUP($E3,Ratio,3,FALSE)*$F3</f>
        <v>0</v>
      </c>
      <c r="I3" s="296">
        <f>VLOOKUP($E3,Ratio,4,FALSE)*$F3</f>
        <v>0</v>
      </c>
    </row>
    <row r="4" spans="2:9" ht="12.75">
      <c r="B4" s="293" t="s">
        <v>27</v>
      </c>
      <c r="E4" s="293" t="s">
        <v>4</v>
      </c>
      <c r="F4" s="294">
        <f>Salaries!E21</f>
        <v>2669209</v>
      </c>
      <c r="G4" s="296">
        <f>VLOOKUP($E4,Ratio,2,FALSE)*$F4</f>
        <v>0</v>
      </c>
      <c r="H4" s="296">
        <f>VLOOKUP($E4,Ratio,3,FALSE)*$F4</f>
        <v>2669209</v>
      </c>
      <c r="I4" s="296">
        <f>VLOOKUP($E4,Ratio,4,FALSE)*$F4</f>
        <v>0</v>
      </c>
    </row>
    <row r="5" spans="2:9" ht="12.75">
      <c r="B5" s="293" t="s">
        <v>400</v>
      </c>
      <c r="G5" s="296"/>
      <c r="H5" s="296"/>
      <c r="I5" s="296"/>
    </row>
    <row r="6" spans="2:9" ht="12.75">
      <c r="B6" s="293" t="s">
        <v>392</v>
      </c>
      <c r="E6" s="293" t="s">
        <v>2</v>
      </c>
      <c r="F6" s="294">
        <f>Salaries!E23</f>
        <v>9858729</v>
      </c>
      <c r="G6" s="296">
        <f>VLOOKUP($E6,Ratio,2,FALSE)*$F6</f>
        <v>0</v>
      </c>
      <c r="H6" s="296">
        <f>VLOOKUP($E6,Ratio,3,FALSE)*$F6</f>
        <v>0</v>
      </c>
      <c r="I6" s="296">
        <f>VLOOKUP($E6,Ratio,4,FALSE)*$F6</f>
        <v>9858729</v>
      </c>
    </row>
    <row r="7" spans="2:9" ht="12.75">
      <c r="B7" s="293" t="s">
        <v>393</v>
      </c>
      <c r="E7" s="293" t="s">
        <v>2</v>
      </c>
      <c r="F7" s="294">
        <f>Salaries!E24</f>
        <v>5329149</v>
      </c>
      <c r="G7" s="296">
        <f>VLOOKUP($E7,Ratio,2,FALSE)*$F7</f>
        <v>0</v>
      </c>
      <c r="H7" s="296">
        <f>VLOOKUP($E7,Ratio,3,FALSE)*$F7</f>
        <v>0</v>
      </c>
      <c r="I7" s="296">
        <f>VLOOKUP($E7,Ratio,4,FALSE)*$F7</f>
        <v>5329149</v>
      </c>
    </row>
    <row r="8" spans="2:9" ht="12.75">
      <c r="B8" s="293" t="s">
        <v>394</v>
      </c>
      <c r="E8" s="293" t="s">
        <v>2</v>
      </c>
      <c r="F8" s="294">
        <f>Salaries!E25</f>
        <v>300182</v>
      </c>
      <c r="G8" s="296">
        <f>VLOOKUP($E8,Ratio,2,FALSE)*$F8</f>
        <v>0</v>
      </c>
      <c r="H8" s="296">
        <f>VLOOKUP($E8,Ratio,3,FALSE)*$F8</f>
        <v>0</v>
      </c>
      <c r="I8" s="296">
        <f>VLOOKUP($E8,Ratio,4,FALSE)*$F8</f>
        <v>300182</v>
      </c>
    </row>
    <row r="9" spans="2:9" ht="12.75">
      <c r="B9" s="293" t="s">
        <v>395</v>
      </c>
      <c r="E9" s="293" t="s">
        <v>2</v>
      </c>
      <c r="F9" s="294">
        <f>Salaries!E26</f>
        <v>428000</v>
      </c>
      <c r="G9" s="296">
        <f>VLOOKUP($E9,Ratio,2,FALSE)*$F9</f>
        <v>0</v>
      </c>
      <c r="H9" s="296">
        <f>VLOOKUP($E9,Ratio,3,FALSE)*$F9</f>
        <v>0</v>
      </c>
      <c r="I9" s="296">
        <f>VLOOKUP($E9,Ratio,4,FALSE)*$F9</f>
        <v>428000</v>
      </c>
    </row>
    <row r="10" spans="2:9" ht="12.75">
      <c r="B10" s="293" t="s">
        <v>403</v>
      </c>
      <c r="E10" s="293" t="s">
        <v>22</v>
      </c>
      <c r="F10" s="294">
        <f>Salaries!E27</f>
        <v>11299946</v>
      </c>
      <c r="G10" s="296">
        <f>VLOOKUP($E10,Ratio,2,FALSE)*$F10</f>
        <v>5076395.674154479</v>
      </c>
      <c r="H10" s="296">
        <f>VLOOKUP($E10,Ratio,3,FALSE)*$F10</f>
        <v>1964562.1026503674</v>
      </c>
      <c r="I10" s="296">
        <f>VLOOKUP($E10,Ratio,4,FALSE)*$F10</f>
        <v>4258988.223195153</v>
      </c>
    </row>
    <row r="12" spans="1:9" ht="12.75">
      <c r="A12" s="314" t="s">
        <v>404</v>
      </c>
      <c r="F12" s="312">
        <f>SUM(F3:F11)</f>
        <v>40412037</v>
      </c>
      <c r="G12" s="312">
        <f>SUM(G3:G11)</f>
        <v>15603217.674154479</v>
      </c>
      <c r="H12" s="312">
        <f>SUM(H3:H11)</f>
        <v>4633771.102650368</v>
      </c>
      <c r="I12" s="312">
        <f>SUM(I3:I11)</f>
        <v>20175048.223195154</v>
      </c>
    </row>
    <row r="13" spans="6:9" ht="12.75">
      <c r="F13" s="313">
        <v>1</v>
      </c>
      <c r="G13" s="313">
        <v>0.44895805620064283</v>
      </c>
      <c r="H13" s="313">
        <v>0.17359089759896215</v>
      </c>
      <c r="I13" s="313">
        <v>0.3774510462003951</v>
      </c>
    </row>
    <row r="14" ht="12.75">
      <c r="F14" s="294" t="s">
        <v>25</v>
      </c>
    </row>
    <row r="15" spans="1:9" ht="12.75">
      <c r="A15" s="314" t="s">
        <v>6</v>
      </c>
      <c r="B15" s="293" t="s">
        <v>26</v>
      </c>
      <c r="F15" s="294" t="s">
        <v>19</v>
      </c>
      <c r="G15" s="294" t="s">
        <v>26</v>
      </c>
      <c r="H15" s="294" t="s">
        <v>27</v>
      </c>
      <c r="I15" s="294" t="s">
        <v>392</v>
      </c>
    </row>
    <row r="16" spans="2:9" ht="12.75">
      <c r="B16" s="293" t="s">
        <v>47</v>
      </c>
      <c r="C16" s="190"/>
      <c r="D16" s="167"/>
      <c r="E16" s="293" t="s">
        <v>22</v>
      </c>
      <c r="F16" s="294">
        <f>'Sch 1- Rate Base '!F32</f>
        <v>124681</v>
      </c>
      <c r="G16" s="296">
        <f>VLOOKUP($E16,Ratio,2,FALSE)*$F16</f>
        <v>56011.77997215691</v>
      </c>
      <c r="H16" s="296">
        <f>VLOOKUP($E16,Ratio,3,FALSE)*$F16</f>
        <v>21676.52549140947</v>
      </c>
      <c r="I16" s="296">
        <f>VLOOKUP($E16,Ratio,4,FALSE)*$F16</f>
        <v>46992.69453643362</v>
      </c>
    </row>
    <row r="17" spans="2:9" ht="12.75">
      <c r="B17" s="293" t="s">
        <v>48</v>
      </c>
      <c r="C17" s="190"/>
      <c r="D17" s="167"/>
      <c r="E17" s="293" t="s">
        <v>22</v>
      </c>
      <c r="F17" s="294">
        <f>'Sch 1- Rate Base '!F33</f>
        <v>2042518</v>
      </c>
      <c r="G17" s="296">
        <f>VLOOKUP($E17,Ratio,2,FALSE)*$F17</f>
        <v>917582.2202674826</v>
      </c>
      <c r="H17" s="296">
        <f>VLOOKUP($E17,Ratio,3,FALSE)*$F17</f>
        <v>355103.7727774295</v>
      </c>
      <c r="I17" s="296">
        <f>VLOOKUP($E17,Ratio,4,FALSE)*$F17</f>
        <v>769832.0069550879</v>
      </c>
    </row>
    <row r="18" spans="2:9" ht="12.75">
      <c r="B18" s="293" t="s">
        <v>49</v>
      </c>
      <c r="C18" s="190"/>
      <c r="D18" s="167"/>
      <c r="E18" s="293" t="s">
        <v>17</v>
      </c>
      <c r="F18" s="294">
        <f>'Sch 1- Rate Base '!F34</f>
        <v>136601</v>
      </c>
      <c r="G18" s="296">
        <f>VLOOKUP($E18,Ratio,2,FALSE)*$F18</f>
        <v>61328.119435064014</v>
      </c>
      <c r="H18" s="296">
        <f>VLOOKUP($E18,Ratio,3,FALSE)*$F18</f>
        <v>23712.69020291583</v>
      </c>
      <c r="I18" s="296">
        <f>VLOOKUP($E18,Ratio,4,FALSE)*$F18</f>
        <v>51560.19036202017</v>
      </c>
    </row>
    <row r="19" spans="2:9" ht="12.75">
      <c r="B19" s="293" t="s">
        <v>50</v>
      </c>
      <c r="C19" s="190"/>
      <c r="D19" s="167"/>
      <c r="E19" s="293" t="s">
        <v>30</v>
      </c>
      <c r="F19" s="294">
        <f>'Sch 1- Rate Base '!F35</f>
        <v>8275752</v>
      </c>
      <c r="G19" s="296">
        <f>VLOOKUP($E19,Ratio,2,FALSE)*$F19</f>
        <v>0</v>
      </c>
      <c r="H19" s="296">
        <f>VLOOKUP($E19,Ratio,3,FALSE)*$F19</f>
        <v>2612372.0222225683</v>
      </c>
      <c r="I19" s="296">
        <f>VLOOKUP($E19,Ratio,4,FALSE)*$F19</f>
        <v>5663379.977777433</v>
      </c>
    </row>
    <row r="20" spans="2:9" ht="12.75">
      <c r="B20" s="293" t="s">
        <v>51</v>
      </c>
      <c r="C20" s="190"/>
      <c r="D20" s="167"/>
      <c r="E20" s="293" t="s">
        <v>22</v>
      </c>
      <c r="F20" s="294">
        <f>'Sch 1- Rate Base '!F36</f>
        <v>120561</v>
      </c>
      <c r="G20" s="296">
        <f>VLOOKUP($E20,Ratio,2,FALSE)*$F20</f>
        <v>54160.90827971551</v>
      </c>
      <c r="H20" s="296">
        <f>VLOOKUP($E20,Ratio,3,FALSE)*$F20</f>
        <v>20960.239248721275</v>
      </c>
      <c r="I20" s="296">
        <f>VLOOKUP($E20,Ratio,4,FALSE)*$F20</f>
        <v>45439.852471563216</v>
      </c>
    </row>
    <row r="21" spans="2:9" ht="12.75">
      <c r="B21" s="293" t="s">
        <v>52</v>
      </c>
      <c r="C21" s="190"/>
      <c r="D21" s="167"/>
      <c r="E21" s="293" t="s">
        <v>22</v>
      </c>
      <c r="F21" s="294">
        <f>'Sch 1- Rate Base '!F37</f>
        <v>2988365</v>
      </c>
      <c r="G21" s="296">
        <f>VLOOKUP($E21,Ratio,2,FALSE)*$F21</f>
        <v>1342495.1905783133</v>
      </c>
      <c r="H21" s="296">
        <f>VLOOKUP($E21,Ratio,3,FALSE)*$F21</f>
        <v>519544.8392308039</v>
      </c>
      <c r="I21" s="296">
        <f>VLOOKUP($E21,Ratio,4,FALSE)*$F21</f>
        <v>1126324.9701908827</v>
      </c>
    </row>
    <row r="22" spans="2:9" ht="12.75">
      <c r="B22" s="293" t="s">
        <v>53</v>
      </c>
      <c r="C22" s="190"/>
      <c r="D22" s="167"/>
      <c r="E22" s="293" t="s">
        <v>22</v>
      </c>
      <c r="F22" s="294">
        <f>'Sch 1- Rate Base '!F38</f>
        <v>3039673</v>
      </c>
      <c r="G22" s="296">
        <f>VLOOKUP($E22,Ratio,2,FALSE)*$F22</f>
        <v>1365544.8325190376</v>
      </c>
      <c r="H22" s="296">
        <f>VLOOKUP($E22,Ratio,3,FALSE)*$F22</f>
        <v>528465.03693465</v>
      </c>
      <c r="I22" s="296">
        <f>VLOOKUP($E22,Ratio,4,FALSE)*$F22</f>
        <v>1145663.1305463125</v>
      </c>
    </row>
    <row r="23" spans="2:9" ht="12.75">
      <c r="B23" s="293" t="s">
        <v>54</v>
      </c>
      <c r="C23" s="190"/>
      <c r="D23" s="167"/>
      <c r="E23" s="293" t="s">
        <v>30</v>
      </c>
      <c r="F23" s="294">
        <f>'Sch 1- Rate Base '!F39</f>
        <v>19674347</v>
      </c>
      <c r="G23" s="296">
        <f>VLOOKUP($E23,Ratio,2,FALSE)*$F23</f>
        <v>0</v>
      </c>
      <c r="H23" s="296">
        <f>VLOOKUP($E23,Ratio,3,FALSE)*$F23</f>
        <v>6210518.833611557</v>
      </c>
      <c r="I23" s="296">
        <f>VLOOKUP($E23,Ratio,4,FALSE)*$F23</f>
        <v>13463828.166388443</v>
      </c>
    </row>
    <row r="24" spans="2:9" ht="12.75">
      <c r="B24" s="293" t="s">
        <v>55</v>
      </c>
      <c r="C24" s="190"/>
      <c r="D24" s="167"/>
      <c r="E24" s="293" t="s">
        <v>22</v>
      </c>
      <c r="F24" s="294">
        <f>'Sch 1- Rate Base '!F40</f>
        <v>28330864</v>
      </c>
      <c r="G24" s="296">
        <f>VLOOKUP($E24,Ratio,2,FALSE)*$F24</f>
        <v>12727377.233011456</v>
      </c>
      <c r="H24" s="296">
        <f>VLOOKUP($E24,Ratio,3,FALSE)*$F24</f>
        <v>4925487.409385992</v>
      </c>
      <c r="I24" s="296">
        <f>VLOOKUP($E24,Ratio,4,FALSE)*$F24</f>
        <v>10677999.357602553</v>
      </c>
    </row>
    <row r="25" spans="2:9" ht="12.75">
      <c r="B25" s="293" t="s">
        <v>56</v>
      </c>
      <c r="C25" s="190"/>
      <c r="D25" s="167"/>
      <c r="E25" s="293" t="s">
        <v>22</v>
      </c>
      <c r="F25" s="294">
        <f>'Sch 1- Rate Base '!F41</f>
        <v>3973</v>
      </c>
      <c r="G25" s="296">
        <f>VLOOKUP($E25,Ratio,2,FALSE)*$F25</f>
        <v>1784.8333092402163</v>
      </c>
      <c r="H25" s="296">
        <f>VLOOKUP($E25,Ratio,3,FALSE)*$F25</f>
        <v>690.7294277184961</v>
      </c>
      <c r="I25" s="296">
        <f>VLOOKUP($E25,Ratio,4,FALSE)*$F25</f>
        <v>1497.4372630412875</v>
      </c>
    </row>
    <row r="26" spans="2:9" ht="12.75">
      <c r="B26" s="293" t="s">
        <v>345</v>
      </c>
      <c r="C26" s="190"/>
      <c r="D26" s="167"/>
      <c r="E26" s="293" t="s">
        <v>5</v>
      </c>
      <c r="F26" s="294">
        <f>'Sch 1- Rate Base '!F42</f>
        <v>0</v>
      </c>
      <c r="G26" s="296">
        <f>VLOOKUP($E26,Ratio,2,FALSE)*$F26</f>
        <v>0</v>
      </c>
      <c r="H26" s="296">
        <f>VLOOKUP($E26,Ratio,3,FALSE)*$F26</f>
        <v>0</v>
      </c>
      <c r="I26" s="296">
        <f>VLOOKUP($E26,Ratio,4,FALSE)*$F26</f>
        <v>0</v>
      </c>
    </row>
    <row r="27" spans="2:9" ht="12.75">
      <c r="B27" s="293" t="s">
        <v>191</v>
      </c>
      <c r="C27" s="190"/>
      <c r="D27" s="167"/>
      <c r="E27" s="293" t="s">
        <v>22</v>
      </c>
      <c r="F27" s="294">
        <f>'Sch 1- Rate Base '!F43</f>
        <v>0</v>
      </c>
      <c r="G27" s="296">
        <f>VLOOKUP($E27,Ratio,2,FALSE)*$F27</f>
        <v>0</v>
      </c>
      <c r="H27" s="296">
        <f>VLOOKUP($E27,Ratio,3,FALSE)*$F27</f>
        <v>0</v>
      </c>
      <c r="I27" s="296">
        <f>VLOOKUP($E27,Ratio,4,FALSE)*$F27</f>
        <v>0</v>
      </c>
    </row>
    <row r="28" spans="2:9" ht="12.75">
      <c r="B28" s="293" t="s">
        <v>407</v>
      </c>
      <c r="F28" s="312">
        <f>SUM(F16:F27)</f>
        <v>64737335</v>
      </c>
      <c r="G28" s="312">
        <f>SUM(G16:G27)</f>
        <v>16526285.117372466</v>
      </c>
      <c r="H28" s="312">
        <f>SUM(H16:H27)</f>
        <v>15218532.098533766</v>
      </c>
      <c r="I28" s="312">
        <f>SUM(I16:I27)</f>
        <v>32992517.784093767</v>
      </c>
    </row>
    <row r="29" spans="2:9" ht="12.75">
      <c r="B29" s="293" t="s">
        <v>408</v>
      </c>
      <c r="F29" s="313">
        <f>F28/$F28</f>
        <v>1</v>
      </c>
      <c r="G29" s="313">
        <f>G28/$F28</f>
        <v>0.25528213537632444</v>
      </c>
      <c r="H29" s="313">
        <f>H28/$F28</f>
        <v>0.23508122628980274</v>
      </c>
      <c r="I29" s="313">
        <f>I28/$F28</f>
        <v>0.5096366383338728</v>
      </c>
    </row>
    <row r="31" spans="1:2" ht="12.75">
      <c r="A31" s="314" t="s">
        <v>22</v>
      </c>
      <c r="B31" s="293" t="s">
        <v>409</v>
      </c>
    </row>
    <row r="32" spans="2:9" ht="12.75">
      <c r="B32" s="293" t="s">
        <v>32</v>
      </c>
      <c r="E32" s="293" t="s">
        <v>3</v>
      </c>
      <c r="F32" s="294">
        <f>'Sch 1- Rate Base '!F17</f>
        <v>378625101</v>
      </c>
      <c r="G32" s="296">
        <f>VLOOKUP($E32,Ratio,2,FALSE)*$F32</f>
        <v>378625101</v>
      </c>
      <c r="H32" s="296">
        <f>VLOOKUP($E32,Ratio,3,FALSE)*$F32</f>
        <v>0</v>
      </c>
      <c r="I32" s="296">
        <f>VLOOKUP($E32,Ratio,4,FALSE)*$F32</f>
        <v>0</v>
      </c>
    </row>
    <row r="33" spans="2:9" ht="12.75">
      <c r="B33" s="293" t="s">
        <v>34</v>
      </c>
      <c r="E33" s="293" t="s">
        <v>3</v>
      </c>
      <c r="F33" s="294">
        <f>'Sch 1- Rate Base '!F18</f>
        <v>0</v>
      </c>
      <c r="G33" s="296">
        <f>VLOOKUP($E33,Ratio,2,FALSE)*$F33</f>
        <v>0</v>
      </c>
      <c r="H33" s="296">
        <f>VLOOKUP($E33,Ratio,3,FALSE)*$F33</f>
        <v>0</v>
      </c>
      <c r="I33" s="296">
        <f>VLOOKUP($E33,Ratio,4,FALSE)*$F33</f>
        <v>0</v>
      </c>
    </row>
    <row r="34" spans="2:9" ht="12.75">
      <c r="B34" s="293" t="s">
        <v>36</v>
      </c>
      <c r="E34" s="293" t="s">
        <v>3</v>
      </c>
      <c r="F34" s="294">
        <f>'Sch 1- Rate Base '!F19</f>
        <v>340480980</v>
      </c>
      <c r="G34" s="296">
        <f>VLOOKUP($E34,Ratio,2,FALSE)*$F34</f>
        <v>340480980</v>
      </c>
      <c r="H34" s="296">
        <f>VLOOKUP($E34,Ratio,3,FALSE)*$F34</f>
        <v>0</v>
      </c>
      <c r="I34" s="296">
        <f>VLOOKUP($E34,Ratio,4,FALSE)*$F34</f>
        <v>0</v>
      </c>
    </row>
    <row r="35" spans="2:9" ht="12.75">
      <c r="B35" s="293" t="s">
        <v>38</v>
      </c>
      <c r="E35" s="293" t="s">
        <v>3</v>
      </c>
      <c r="F35" s="294">
        <f>'Sch 1- Rate Base '!F20</f>
        <v>272688068</v>
      </c>
      <c r="G35" s="296">
        <f>VLOOKUP($E35,Ratio,2,FALSE)*$F35</f>
        <v>272688068</v>
      </c>
      <c r="H35" s="296">
        <f>VLOOKUP($E35,Ratio,3,FALSE)*$F35</f>
        <v>0</v>
      </c>
      <c r="I35" s="296">
        <f>VLOOKUP($E35,Ratio,4,FALSE)*$F35</f>
        <v>0</v>
      </c>
    </row>
    <row r="36" spans="2:9" ht="12.75">
      <c r="B36" s="293" t="s">
        <v>40</v>
      </c>
      <c r="F36" s="312">
        <f>SUM(F32:F35)</f>
        <v>991794149</v>
      </c>
      <c r="G36" s="312">
        <f>SUM(G32:G35)</f>
        <v>991794149</v>
      </c>
      <c r="H36" s="312">
        <f>SUM(H32:H35)</f>
        <v>0</v>
      </c>
      <c r="I36" s="312">
        <f>SUM(I32:I35)</f>
        <v>0</v>
      </c>
    </row>
    <row r="37" spans="2:9" ht="12.75">
      <c r="B37" s="293" t="s">
        <v>410</v>
      </c>
      <c r="E37" s="293" t="s">
        <v>4</v>
      </c>
      <c r="F37" s="312">
        <f>'Sch 1- Rate Base '!F24</f>
        <v>383823745</v>
      </c>
      <c r="G37" s="312">
        <f>VLOOKUP($E37,Ratio,2,FALSE)*$F37</f>
        <v>0</v>
      </c>
      <c r="H37" s="312">
        <f>VLOOKUP($E37,Ratio,3,FALSE)*$F37</f>
        <v>383823745</v>
      </c>
      <c r="I37" s="312">
        <f>VLOOKUP($E37,Ratio,4,FALSE)*$F37</f>
        <v>0</v>
      </c>
    </row>
    <row r="38" spans="2:9" ht="12.75">
      <c r="B38" s="293" t="s">
        <v>43</v>
      </c>
      <c r="E38" s="293" t="s">
        <v>2</v>
      </c>
      <c r="F38" s="312">
        <f>'Sch 1- Rate Base '!F29</f>
        <v>832094240</v>
      </c>
      <c r="G38" s="312">
        <f>VLOOKUP($E38,Ratio,2,FALSE)*$F38</f>
        <v>0</v>
      </c>
      <c r="H38" s="312">
        <f>VLOOKUP($E38,Ratio,3,FALSE)*$F38</f>
        <v>0</v>
      </c>
      <c r="I38" s="312">
        <f>VLOOKUP($E38,Ratio,4,FALSE)*$F38</f>
        <v>832094240</v>
      </c>
    </row>
    <row r="39" spans="2:9" ht="12.75">
      <c r="B39" s="293" t="s">
        <v>407</v>
      </c>
      <c r="F39" s="312">
        <f>F36+F37+F38</f>
        <v>2207712134</v>
      </c>
      <c r="G39" s="312">
        <f>G36+G37+G38</f>
        <v>991794149</v>
      </c>
      <c r="H39" s="312">
        <f>H36+H37+H38</f>
        <v>383823745</v>
      </c>
      <c r="I39" s="312">
        <f>I36+I37+I38</f>
        <v>832094240</v>
      </c>
    </row>
    <row r="40" spans="2:9" ht="12.75">
      <c r="B40" s="293" t="s">
        <v>411</v>
      </c>
      <c r="F40" s="313">
        <f>F39/$F39</f>
        <v>1</v>
      </c>
      <c r="G40" s="313">
        <f>G39/$F39</f>
        <v>0.44924070204888406</v>
      </c>
      <c r="H40" s="313">
        <f>H39/$F39</f>
        <v>0.1738558841476205</v>
      </c>
      <c r="I40" s="313">
        <f>I39/$F39</f>
        <v>0.37690341380349546</v>
      </c>
    </row>
    <row r="42" spans="1:2" ht="12.75">
      <c r="A42" s="314" t="s">
        <v>29</v>
      </c>
      <c r="B42" s="293" t="s">
        <v>412</v>
      </c>
    </row>
    <row r="43" spans="2:9" ht="12.75">
      <c r="B43" s="293" t="s">
        <v>413</v>
      </c>
      <c r="F43" s="294">
        <f>F39</f>
        <v>2207712134</v>
      </c>
      <c r="G43" s="294">
        <f>G39</f>
        <v>991794149</v>
      </c>
      <c r="H43" s="294">
        <f>H39</f>
        <v>383823745</v>
      </c>
      <c r="I43" s="294">
        <f>I39</f>
        <v>832094240</v>
      </c>
    </row>
    <row r="44" spans="2:9" ht="12.75">
      <c r="B44" s="293" t="s">
        <v>414</v>
      </c>
      <c r="E44" s="293" t="s">
        <v>22</v>
      </c>
      <c r="F44" s="294">
        <v>0</v>
      </c>
      <c r="G44" s="296">
        <f>VLOOKUP($E44,Ratio,2,FALSE)*$F44</f>
        <v>0</v>
      </c>
      <c r="H44" s="296">
        <f>VLOOKUP($E44,Ratio,3,FALSE)*$F44</f>
        <v>0</v>
      </c>
      <c r="I44" s="296">
        <f>VLOOKUP($E44,Ratio,4,FALSE)*$F44</f>
        <v>0</v>
      </c>
    </row>
    <row r="45" spans="2:9" ht="12.75">
      <c r="B45" s="293" t="s">
        <v>415</v>
      </c>
      <c r="E45" s="293" t="s">
        <v>22</v>
      </c>
      <c r="F45" s="294">
        <v>15259132</v>
      </c>
      <c r="G45" s="296">
        <f>VLOOKUP($E45,Ratio,2,FALSE)*$F45</f>
        <v>6855023.172336592</v>
      </c>
      <c r="H45" s="296">
        <f>VLOOKUP($E45,Ratio,3,FALSE)*$F45</f>
        <v>2652889.8851852487</v>
      </c>
      <c r="I45" s="296">
        <f>VLOOKUP($E45,Ratio,4,FALSE)*$F45</f>
        <v>5751218.942478159</v>
      </c>
    </row>
    <row r="46" spans="2:9" ht="12.75">
      <c r="B46" s="293" t="s">
        <v>415</v>
      </c>
      <c r="E46" s="293" t="s">
        <v>22</v>
      </c>
      <c r="F46" s="294">
        <v>4420269</v>
      </c>
      <c r="G46" s="296">
        <f>VLOOKUP($E46,Ratio,2,FALSE)*$F46</f>
        <v>1985764.7488049187</v>
      </c>
      <c r="H46" s="296">
        <f>VLOOKUP($E46,Ratio,3,FALSE)*$F46</f>
        <v>768489.7751653183</v>
      </c>
      <c r="I46" s="296">
        <f>VLOOKUP($E46,Ratio,4,FALSE)*$F46</f>
        <v>1666014.476029763</v>
      </c>
    </row>
    <row r="47" spans="7:9" ht="12.75">
      <c r="G47" s="296"/>
      <c r="H47" s="296"/>
      <c r="I47" s="296"/>
    </row>
    <row r="48" spans="2:9" ht="12.75">
      <c r="B48" s="293" t="s">
        <v>416</v>
      </c>
      <c r="F48" s="312">
        <f>F28</f>
        <v>64737335</v>
      </c>
      <c r="G48" s="312">
        <f>G28</f>
        <v>16526285.117372466</v>
      </c>
      <c r="H48" s="312">
        <f>H28</f>
        <v>15218532.098533766</v>
      </c>
      <c r="I48" s="312">
        <f>I28</f>
        <v>32992517.784093767</v>
      </c>
    </row>
    <row r="49" spans="2:9" ht="12.75">
      <c r="B49" s="293" t="s">
        <v>407</v>
      </c>
      <c r="F49" s="312">
        <f>F48+F43</f>
        <v>2272449469</v>
      </c>
      <c r="G49" s="312">
        <f>SUM(G43:G48)</f>
        <v>1017161222.038514</v>
      </c>
      <c r="H49" s="312">
        <f>SUM(H43:H48)</f>
        <v>402463656.7588843</v>
      </c>
      <c r="I49" s="312">
        <f>SUM(I43:I48)</f>
        <v>872503991.2026017</v>
      </c>
    </row>
    <row r="50" spans="2:9" ht="12.75">
      <c r="B50" s="293" t="s">
        <v>417</v>
      </c>
      <c r="F50" s="313">
        <f>F49/$F49</f>
        <v>1</v>
      </c>
      <c r="G50" s="313">
        <f>G49/$F49</f>
        <v>0.4476056501648504</v>
      </c>
      <c r="H50" s="313">
        <f>H49/$F49</f>
        <v>0.17710565724305852</v>
      </c>
      <c r="I50" s="313">
        <f>I49/$F49</f>
        <v>0.3839486875748002</v>
      </c>
    </row>
    <row r="52" spans="1:2" ht="12.75">
      <c r="A52" s="314" t="s">
        <v>30</v>
      </c>
      <c r="B52" s="293" t="s">
        <v>418</v>
      </c>
    </row>
    <row r="53" spans="2:9" ht="12.75">
      <c r="B53" s="293" t="s">
        <v>42</v>
      </c>
      <c r="E53" s="293" t="s">
        <v>4</v>
      </c>
      <c r="F53" s="294">
        <v>383823745</v>
      </c>
      <c r="G53" s="296">
        <f>VLOOKUP($E53,Ratio,2,FALSE)*$F53</f>
        <v>0</v>
      </c>
      <c r="H53" s="296">
        <f>VLOOKUP($E53,Ratio,3,FALSE)*$F53</f>
        <v>383823745</v>
      </c>
      <c r="I53" s="296">
        <f>VLOOKUP($E53,Ratio,4,FALSE)*$F53</f>
        <v>0</v>
      </c>
    </row>
    <row r="54" spans="2:9" ht="12.75">
      <c r="B54" s="293" t="s">
        <v>43</v>
      </c>
      <c r="E54" s="293" t="s">
        <v>2</v>
      </c>
      <c r="F54" s="294">
        <v>832094240</v>
      </c>
      <c r="G54" s="296">
        <f>VLOOKUP($E54,Ratio,2,FALSE)*$F54</f>
        <v>0</v>
      </c>
      <c r="H54" s="296">
        <f>VLOOKUP($E54,Ratio,3,FALSE)*$F54</f>
        <v>0</v>
      </c>
      <c r="I54" s="296">
        <f>VLOOKUP($E54,Ratio,4,FALSE)*$F54</f>
        <v>832094240</v>
      </c>
    </row>
    <row r="55" spans="2:9" ht="12.75">
      <c r="B55" s="293" t="s">
        <v>407</v>
      </c>
      <c r="F55" s="312">
        <f>SUM(F53:F54)</f>
        <v>1215917985</v>
      </c>
      <c r="G55" s="312">
        <f>SUM(G53:G54)</f>
        <v>0</v>
      </c>
      <c r="H55" s="312">
        <f>SUM(H53:H54)</f>
        <v>383823745</v>
      </c>
      <c r="I55" s="312">
        <f>SUM(I53:I54)</f>
        <v>832094240</v>
      </c>
    </row>
    <row r="56" spans="2:9" ht="12.75">
      <c r="B56" s="293" t="s">
        <v>419</v>
      </c>
      <c r="F56" s="313">
        <v>1</v>
      </c>
      <c r="G56" s="313">
        <f>G55/$F55</f>
        <v>0</v>
      </c>
      <c r="H56" s="313">
        <f>H55/$F55</f>
        <v>0.31566581770726915</v>
      </c>
      <c r="I56" s="313">
        <f>I55/$F55</f>
        <v>0.6843341822927309</v>
      </c>
    </row>
    <row r="58" spans="1:2" ht="12.75">
      <c r="A58" s="314" t="s">
        <v>420</v>
      </c>
      <c r="B58" s="293" t="s">
        <v>421</v>
      </c>
    </row>
    <row r="59" spans="2:9" ht="12.75">
      <c r="B59" s="293" t="s">
        <v>42</v>
      </c>
      <c r="E59" s="293" t="s">
        <v>4</v>
      </c>
      <c r="F59" s="294">
        <v>383823745</v>
      </c>
      <c r="G59" s="296">
        <f>VLOOKUP($E59,Ratio,2,FALSE)*$F59</f>
        <v>0</v>
      </c>
      <c r="H59" s="296">
        <f>VLOOKUP($E59,Ratio,3,FALSE)*$F59</f>
        <v>383823745</v>
      </c>
      <c r="I59" s="296">
        <f>VLOOKUP($E59,Ratio,4,FALSE)*$F59</f>
        <v>0</v>
      </c>
    </row>
    <row r="60" spans="2:9" ht="12.75">
      <c r="B60" s="293" t="s">
        <v>43</v>
      </c>
      <c r="E60" s="293" t="s">
        <v>2</v>
      </c>
      <c r="F60" s="294">
        <v>832094240</v>
      </c>
      <c r="G60" s="296">
        <f>VLOOKUP($E60,Ratio,2,FALSE)*$F60</f>
        <v>0</v>
      </c>
      <c r="H60" s="296">
        <f>VLOOKUP($E60,Ratio,3,FALSE)*$F60</f>
        <v>0</v>
      </c>
      <c r="I60" s="296">
        <f>VLOOKUP($E60,Ratio,4,FALSE)*$F60</f>
        <v>832094240</v>
      </c>
    </row>
    <row r="61" spans="2:9" ht="12.75">
      <c r="B61" s="293" t="s">
        <v>422</v>
      </c>
      <c r="E61" s="293" t="s">
        <v>22</v>
      </c>
      <c r="F61" s="294">
        <v>0</v>
      </c>
      <c r="G61" s="296">
        <f>VLOOKUP($E61,Ratio,2,FALSE)*$F61</f>
        <v>0</v>
      </c>
      <c r="H61" s="296">
        <f>VLOOKUP($E61,Ratio,3,FALSE)*$F61</f>
        <v>0</v>
      </c>
      <c r="I61" s="296">
        <f>VLOOKUP($E61,Ratio,4,FALSE)*$F61</f>
        <v>0</v>
      </c>
    </row>
    <row r="62" spans="2:9" ht="12.75">
      <c r="B62" s="293" t="s">
        <v>423</v>
      </c>
      <c r="E62" s="293" t="s">
        <v>22</v>
      </c>
      <c r="F62" s="294">
        <v>8404108.827663409</v>
      </c>
      <c r="G62" s="296">
        <f>VLOOKUP($E62,Ratio,2,FALSE)*$F62</f>
        <v>3775467.7498347335</v>
      </c>
      <c r="H62" s="296">
        <f>VLOOKUP($E62,Ratio,3,FALSE)*$F62</f>
        <v>1461103.7707062443</v>
      </c>
      <c r="I62" s="296">
        <f>VLOOKUP($E62,Ratio,4,FALSE)*$F62</f>
        <v>3167537.3071224308</v>
      </c>
    </row>
    <row r="63" spans="2:9" ht="12.75">
      <c r="B63" s="293" t="s">
        <v>424</v>
      </c>
      <c r="E63" s="293" t="s">
        <v>22</v>
      </c>
      <c r="F63" s="294">
        <v>2434504.2511950815</v>
      </c>
      <c r="G63" s="296">
        <f>VLOOKUP($E63,Ratio,2,FALSE)*$F63</f>
        <v>1093678.3989478713</v>
      </c>
      <c r="H63" s="296">
        <f>VLOOKUP($E63,Ratio,3,FALSE)*$F63</f>
        <v>423252.88905266166</v>
      </c>
      <c r="I63" s="296">
        <f>VLOOKUP($E63,Ratio,4,FALSE)*$F63</f>
        <v>917572.9631945486</v>
      </c>
    </row>
    <row r="64" spans="2:9" ht="12.75">
      <c r="B64" s="324" t="s">
        <v>425</v>
      </c>
      <c r="E64" s="324" t="s">
        <v>30</v>
      </c>
      <c r="F64" s="294">
        <v>48219635.91589884</v>
      </c>
      <c r="G64" s="296">
        <f>VLOOKUP($E64,Ratio,2,FALSE)*$F64</f>
        <v>0</v>
      </c>
      <c r="H64" s="296">
        <f>VLOOKUP($E64,Ratio,3,FALSE)*$F64</f>
        <v>15221290.80093901</v>
      </c>
      <c r="I64" s="296">
        <f>VLOOKUP($E64,Ratio,4,FALSE)*$F64</f>
        <v>32998345.11495983</v>
      </c>
    </row>
    <row r="65" spans="2:9" ht="12.75">
      <c r="B65" s="293" t="s">
        <v>407</v>
      </c>
      <c r="F65" s="312">
        <f>SUM(F59:F64)</f>
        <v>1274976233.9947574</v>
      </c>
      <c r="G65" s="312">
        <f>SUM(G59:G64)</f>
        <v>4869146.148782605</v>
      </c>
      <c r="H65" s="312">
        <f>SUM(H59:H64)</f>
        <v>400929392.46069795</v>
      </c>
      <c r="I65" s="312">
        <f>SUM(I59:I64)</f>
        <v>869177695.3852768</v>
      </c>
    </row>
    <row r="66" spans="2:9" ht="12.75">
      <c r="B66" s="293" t="s">
        <v>426</v>
      </c>
      <c r="F66" s="313">
        <v>1</v>
      </c>
      <c r="G66" s="313">
        <f>G65/$F65</f>
        <v>0.0038190093422577685</v>
      </c>
      <c r="H66" s="313">
        <f>H65/$F65</f>
        <v>0.3144602870004136</v>
      </c>
      <c r="I66" s="313">
        <f>I65/$F65</f>
        <v>0.6817207036573285</v>
      </c>
    </row>
    <row r="68" spans="1:2" ht="12.75">
      <c r="A68" s="314" t="s">
        <v>8</v>
      </c>
      <c r="B68" s="293" t="s">
        <v>9</v>
      </c>
    </row>
    <row r="69" spans="2:9" ht="12.75">
      <c r="B69" s="293" t="s">
        <v>48</v>
      </c>
      <c r="E69" s="293" t="s">
        <v>22</v>
      </c>
      <c r="F69" s="294">
        <v>2042518</v>
      </c>
      <c r="G69" s="296">
        <f>VLOOKUP($E69,Ratio,2,FALSE)*$F69</f>
        <v>917582.2202674826</v>
      </c>
      <c r="H69" s="296">
        <f>VLOOKUP($E69,Ratio,3,FALSE)*$F69</f>
        <v>355103.7727774295</v>
      </c>
      <c r="I69" s="296">
        <f>VLOOKUP($E69,Ratio,4,FALSE)*$F69</f>
        <v>769832.0069550879</v>
      </c>
    </row>
    <row r="70" spans="2:9" ht="12.75">
      <c r="B70" s="293" t="s">
        <v>49</v>
      </c>
      <c r="E70" s="293" t="s">
        <v>17</v>
      </c>
      <c r="F70" s="294">
        <v>136601</v>
      </c>
      <c r="G70" s="296">
        <f>VLOOKUP($E70,Ratio,2,FALSE)*$F70</f>
        <v>61328.119435064014</v>
      </c>
      <c r="H70" s="296">
        <f>VLOOKUP($E70,Ratio,3,FALSE)*$F70</f>
        <v>23712.69020291583</v>
      </c>
      <c r="I70" s="296">
        <f>VLOOKUP($E70,Ratio,4,FALSE)*$F70</f>
        <v>51560.19036202017</v>
      </c>
    </row>
    <row r="71" spans="2:9" ht="12.75">
      <c r="B71" s="293" t="s">
        <v>55</v>
      </c>
      <c r="E71" s="293" t="s">
        <v>22</v>
      </c>
      <c r="F71" s="294">
        <v>28330864</v>
      </c>
      <c r="G71" s="296">
        <f>VLOOKUP($E71,Ratio,2,FALSE)*$F71</f>
        <v>12727377.233011456</v>
      </c>
      <c r="H71" s="296">
        <f>VLOOKUP($E71,Ratio,3,FALSE)*$F71</f>
        <v>4925487.409385992</v>
      </c>
      <c r="I71" s="296">
        <f>VLOOKUP($E71,Ratio,4,FALSE)*$F71</f>
        <v>10677999.357602553</v>
      </c>
    </row>
    <row r="72" spans="2:9" ht="12.75">
      <c r="B72" s="293" t="s">
        <v>56</v>
      </c>
      <c r="E72" s="293" t="s">
        <v>2</v>
      </c>
      <c r="F72" s="294">
        <v>3973</v>
      </c>
      <c r="G72" s="296">
        <f>VLOOKUP($E72,Ratio,2,FALSE)*$F72</f>
        <v>0</v>
      </c>
      <c r="H72" s="296">
        <f>VLOOKUP($E72,Ratio,3,FALSE)*$F72</f>
        <v>0</v>
      </c>
      <c r="I72" s="296">
        <f>VLOOKUP($E72,Ratio,4,FALSE)*$F72</f>
        <v>3973</v>
      </c>
    </row>
    <row r="73" spans="2:9" ht="12.75">
      <c r="B73" s="293" t="s">
        <v>407</v>
      </c>
      <c r="F73" s="312">
        <f>SUM(F69:F72)</f>
        <v>30513956</v>
      </c>
      <c r="G73" s="312">
        <f>SUM(G69:G72)</f>
        <v>13706287.572714003</v>
      </c>
      <c r="H73" s="312">
        <f>SUM(H69:H72)</f>
        <v>5304303.872366337</v>
      </c>
      <c r="I73" s="312">
        <f>SUM(I69:I72)</f>
        <v>11503364.554919662</v>
      </c>
    </row>
    <row r="74" spans="2:9" ht="12.75">
      <c r="B74" s="293" t="s">
        <v>427</v>
      </c>
      <c r="F74" s="313">
        <v>1</v>
      </c>
      <c r="G74" s="313">
        <f>G73/$F73</f>
        <v>0.44918094437555073</v>
      </c>
      <c r="H74" s="313">
        <f>H73/$F73</f>
        <v>0.17383206138090837</v>
      </c>
      <c r="I74" s="313">
        <f>I73/$F73</f>
        <v>0.37698699424354093</v>
      </c>
    </row>
    <row r="75" ht="13.5" thickBot="1"/>
    <row r="76" spans="2:9" ht="12.75">
      <c r="B76" s="314" t="s">
        <v>429</v>
      </c>
      <c r="F76" s="316" t="s">
        <v>430</v>
      </c>
      <c r="G76" s="317">
        <f>'[2]AVISTA, IPC, NW, PGE, PSE'!$F$424</f>
        <v>0.7</v>
      </c>
      <c r="H76" s="317">
        <v>0</v>
      </c>
      <c r="I76" s="318">
        <f>1-G76</f>
        <v>0.30000000000000004</v>
      </c>
    </row>
    <row r="77" spans="2:9" ht="12.75">
      <c r="B77" s="314" t="s">
        <v>431</v>
      </c>
      <c r="F77" s="319" t="s">
        <v>2</v>
      </c>
      <c r="G77" s="315">
        <v>0</v>
      </c>
      <c r="H77" s="315">
        <v>0</v>
      </c>
      <c r="I77" s="320">
        <v>1</v>
      </c>
    </row>
    <row r="78" spans="2:9" ht="12.75">
      <c r="B78" s="314" t="s">
        <v>432</v>
      </c>
      <c r="F78" s="319" t="s">
        <v>3</v>
      </c>
      <c r="G78" s="315">
        <v>1</v>
      </c>
      <c r="H78" s="315">
        <v>0</v>
      </c>
      <c r="I78" s="320">
        <v>0</v>
      </c>
    </row>
    <row r="79" spans="2:9" ht="12.75">
      <c r="B79" s="314" t="s">
        <v>433</v>
      </c>
      <c r="F79" s="319" t="s">
        <v>4</v>
      </c>
      <c r="G79" s="315">
        <v>0</v>
      </c>
      <c r="H79" s="315">
        <v>1</v>
      </c>
      <c r="I79" s="320">
        <v>0</v>
      </c>
    </row>
    <row r="80" spans="2:9" ht="12.75">
      <c r="B80" s="314" t="s">
        <v>434</v>
      </c>
      <c r="F80" s="319" t="s">
        <v>5</v>
      </c>
      <c r="G80" s="315">
        <v>0</v>
      </c>
      <c r="H80" s="315">
        <v>0</v>
      </c>
      <c r="I80" s="320">
        <v>0</v>
      </c>
    </row>
    <row r="81" spans="2:9" ht="12.75">
      <c r="B81" s="314" t="s">
        <v>7</v>
      </c>
      <c r="F81" s="319" t="s">
        <v>6</v>
      </c>
      <c r="G81" s="315">
        <f>G29</f>
        <v>0.25528213537632444</v>
      </c>
      <c r="H81" s="315">
        <f>H29</f>
        <v>0.23508122628980274</v>
      </c>
      <c r="I81" s="320">
        <f>I29</f>
        <v>0.5096366383338728</v>
      </c>
    </row>
    <row r="82" spans="2:9" ht="12.75">
      <c r="B82" s="314" t="s">
        <v>9</v>
      </c>
      <c r="F82" s="319" t="s">
        <v>8</v>
      </c>
      <c r="G82" s="315">
        <f>G74</f>
        <v>0.44918094437555073</v>
      </c>
      <c r="H82" s="315">
        <f>H74</f>
        <v>0.17383206138090837</v>
      </c>
      <c r="I82" s="320">
        <f>I74</f>
        <v>0.37698699424354093</v>
      </c>
    </row>
    <row r="83" spans="2:9" ht="12.75">
      <c r="B83" s="314" t="s">
        <v>428</v>
      </c>
      <c r="F83" s="319" t="s">
        <v>17</v>
      </c>
      <c r="G83" s="315">
        <f>G13</f>
        <v>0.44895805620064283</v>
      </c>
      <c r="H83" s="315">
        <f>H13</f>
        <v>0.17359089759896215</v>
      </c>
      <c r="I83" s="320">
        <f>I13</f>
        <v>0.3774510462003951</v>
      </c>
    </row>
    <row r="84" spans="2:9" ht="12.75">
      <c r="B84" s="314" t="s">
        <v>409</v>
      </c>
      <c r="F84" s="319" t="s">
        <v>22</v>
      </c>
      <c r="G84" s="315">
        <f>G40</f>
        <v>0.44924070204888406</v>
      </c>
      <c r="H84" s="315">
        <f>H40</f>
        <v>0.1738558841476205</v>
      </c>
      <c r="I84" s="320">
        <f>I40</f>
        <v>0.37690341380349546</v>
      </c>
    </row>
    <row r="85" spans="2:9" ht="12.75">
      <c r="B85" s="314" t="s">
        <v>435</v>
      </c>
      <c r="F85" s="319" t="s">
        <v>29</v>
      </c>
      <c r="G85" s="315">
        <f>G50</f>
        <v>0.4476056501648504</v>
      </c>
      <c r="H85" s="315">
        <f>H50</f>
        <v>0.17710565724305852</v>
      </c>
      <c r="I85" s="320">
        <f>I50</f>
        <v>0.3839486875748002</v>
      </c>
    </row>
    <row r="86" spans="2:9" ht="12.75">
      <c r="B86" s="314" t="s">
        <v>418</v>
      </c>
      <c r="F86" s="319" t="s">
        <v>30</v>
      </c>
      <c r="G86" s="315">
        <f>G56</f>
        <v>0</v>
      </c>
      <c r="H86" s="315">
        <f>H56</f>
        <v>0.31566581770726915</v>
      </c>
      <c r="I86" s="320">
        <f>I56</f>
        <v>0.6843341822927309</v>
      </c>
    </row>
    <row r="87" spans="2:9" ht="13.5" thickBot="1">
      <c r="B87" s="314" t="s">
        <v>421</v>
      </c>
      <c r="F87" s="321" t="s">
        <v>420</v>
      </c>
      <c r="G87" s="322">
        <f>G66</f>
        <v>0.0038190093422577685</v>
      </c>
      <c r="H87" s="322">
        <f>H66</f>
        <v>0.3144602870004136</v>
      </c>
      <c r="I87" s="323">
        <f>I66</f>
        <v>0.6817207036573285</v>
      </c>
    </row>
  </sheetData>
  <printOptions/>
  <pageMargins left="0.75" right="0.75" top="1" bottom="1" header="0.5" footer="0.5"/>
  <pageSetup horizontalDpi="525" verticalDpi="5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wmm4146</cp:lastModifiedBy>
  <cp:lastPrinted>2008-01-24T18:14:27Z</cp:lastPrinted>
  <dcterms:created xsi:type="dcterms:W3CDTF">2002-12-16T15:40:56Z</dcterms:created>
  <dcterms:modified xsi:type="dcterms:W3CDTF">2008-02-07T20:10:25Z</dcterms:modified>
  <cp:category/>
  <cp:version/>
  <cp:contentType/>
  <cp:contentStatus/>
</cp:coreProperties>
</file>