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600" windowHeight="8130" activeTab="2"/>
  </bookViews>
  <sheets>
    <sheet name="Req_thickness, bolt loads" sheetId="1" r:id="rId1"/>
    <sheet name="Opening_reinforcements" sheetId="2" r:id="rId2"/>
    <sheet name="Nozzle-wall" sheetId="3" r:id="rId3"/>
  </sheets>
  <definedNames/>
  <calcPr fullCalcOnLoad="1"/>
</workbook>
</file>

<file path=xl/sharedStrings.xml><?xml version="1.0" encoding="utf-8"?>
<sst xmlns="http://schemas.openxmlformats.org/spreadsheetml/2006/main" count="128" uniqueCount="95">
  <si>
    <t>cp/se</t>
  </si>
  <si>
    <t>1.9WHg/Sed^3</t>
  </si>
  <si>
    <t>t</t>
  </si>
  <si>
    <t>c</t>
  </si>
  <si>
    <t>d</t>
  </si>
  <si>
    <t>S</t>
  </si>
  <si>
    <t>E</t>
  </si>
  <si>
    <t>W</t>
  </si>
  <si>
    <t>Hg</t>
  </si>
  <si>
    <t>P</t>
  </si>
  <si>
    <t>psi</t>
  </si>
  <si>
    <t>lbs</t>
  </si>
  <si>
    <t>inch</t>
  </si>
  <si>
    <t>t class 150</t>
  </si>
  <si>
    <t>inch moment arm</t>
  </si>
  <si>
    <t>joint eff</t>
  </si>
  <si>
    <t>ID</t>
  </si>
  <si>
    <t xml:space="preserve">OD </t>
  </si>
  <si>
    <t>area of gasket</t>
  </si>
  <si>
    <t>inch^2</t>
  </si>
  <si>
    <t># of bolts</t>
  </si>
  <si>
    <t>lbs/bolt</t>
  </si>
  <si>
    <t xml:space="preserve">G </t>
  </si>
  <si>
    <t>b</t>
  </si>
  <si>
    <t>m</t>
  </si>
  <si>
    <t>bo</t>
  </si>
  <si>
    <t xml:space="preserve">load </t>
  </si>
  <si>
    <t>compression</t>
  </si>
  <si>
    <t>diameter</t>
  </si>
  <si>
    <t>inc^2</t>
  </si>
  <si>
    <t xml:space="preserve">distance </t>
  </si>
  <si>
    <t>between pair</t>
  </si>
  <si>
    <t>2x ave diam</t>
  </si>
  <si>
    <t>reinforcement</t>
  </si>
  <si>
    <t>xsectionarea</t>
  </si>
  <si>
    <t>H</t>
  </si>
  <si>
    <t>Hp</t>
  </si>
  <si>
    <t>W=Wml=H+Hp</t>
  </si>
  <si>
    <t>y</t>
  </si>
  <si>
    <t>psi seating stress</t>
  </si>
  <si>
    <t>Wm2=3.14*bGy</t>
  </si>
  <si>
    <t>hole</t>
  </si>
  <si>
    <t>#</t>
  </si>
  <si>
    <t>9to4</t>
  </si>
  <si>
    <t>9to8</t>
  </si>
  <si>
    <t>6to8</t>
  </si>
  <si>
    <t>5to8</t>
  </si>
  <si>
    <t>X_coord</t>
  </si>
  <si>
    <t>Y_coord</t>
  </si>
  <si>
    <t>4to1</t>
  </si>
  <si>
    <t>4to3</t>
  </si>
  <si>
    <t>3to8</t>
  </si>
  <si>
    <t>4to8</t>
  </si>
  <si>
    <t>B</t>
  </si>
  <si>
    <t>inside diameter of flange</t>
  </si>
  <si>
    <t>Diameter at gasket reaction</t>
  </si>
  <si>
    <t>gasket load -operating</t>
  </si>
  <si>
    <t>effective gasket surface seating width</t>
  </si>
  <si>
    <t>Wm2 = bolt load to seat gasket</t>
  </si>
  <si>
    <t>9to1</t>
  </si>
  <si>
    <t>9to5</t>
  </si>
  <si>
    <t>3to6</t>
  </si>
  <si>
    <t>4to2</t>
  </si>
  <si>
    <t>seating load ~ operating load</t>
  </si>
  <si>
    <t>needed</t>
  </si>
  <si>
    <t>Area available</t>
  </si>
  <si>
    <t>UG-37.1 A1(b)</t>
  </si>
  <si>
    <t>UG-37.1 A1(a)</t>
  </si>
  <si>
    <t>Total area</t>
  </si>
  <si>
    <t>available</t>
  </si>
  <si>
    <t>nozzle</t>
  </si>
  <si>
    <t>wall</t>
  </si>
  <si>
    <t>opening</t>
  </si>
  <si>
    <t>7to10</t>
  </si>
  <si>
    <t>UG-37.1 A5</t>
  </si>
  <si>
    <t>te</t>
  </si>
  <si>
    <t>UG-39(b)(2)</t>
  </si>
  <si>
    <t>Area Available</t>
  </si>
  <si>
    <t>A3+A41+A43</t>
  </si>
  <si>
    <t>Appendix 2-5</t>
  </si>
  <si>
    <t>nut torque</t>
  </si>
  <si>
    <t>inch lbs</t>
  </si>
  <si>
    <t>foot lbs</t>
  </si>
  <si>
    <t>A1 and A5</t>
  </si>
  <si>
    <t>t - tr =</t>
  </si>
  <si>
    <t>MAWP</t>
  </si>
  <si>
    <t>Nozzle</t>
  </si>
  <si>
    <t>Stress Nozzle Wall</t>
  </si>
  <si>
    <t>UG-27</t>
  </si>
  <si>
    <t>t_min (inch)</t>
  </si>
  <si>
    <t>Circ.</t>
  </si>
  <si>
    <t>Long.</t>
  </si>
  <si>
    <t>Internal Pressure</t>
  </si>
  <si>
    <t>Available</t>
  </si>
  <si>
    <t>Inner Diam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</si>
</sst>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" fontId="0" fillId="0" borderId="0" xfId="0" applyNumberFormat="1" applyFont="1" applyAlignment="1" quotePrefix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2" fontId="0" fillId="0" borderId="0" xfId="0" applyNumberForma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4"/>
  <sheetViews>
    <sheetView workbookViewId="0" topLeftCell="A1">
      <selection activeCell="E45" sqref="E45"/>
    </sheetView>
  </sheetViews>
  <sheetFormatPr defaultColWidth="9.140625" defaultRowHeight="12.75"/>
  <cols>
    <col min="2" max="2" width="16.140625" style="0" customWidth="1"/>
    <col min="4" max="4" width="14.57421875" style="0" customWidth="1"/>
    <col min="5" max="5" width="9.57421875" style="0" bestFit="1" customWidth="1"/>
    <col min="7" max="7" width="11.7109375" style="0" customWidth="1"/>
    <col min="10" max="10" width="14.7109375" style="0" customWidth="1"/>
  </cols>
  <sheetData>
    <row r="2" spans="2:3" ht="12.75">
      <c r="B2" t="s">
        <v>3</v>
      </c>
      <c r="C2">
        <v>0.3</v>
      </c>
    </row>
    <row r="3" spans="2:4" ht="12.75">
      <c r="B3" t="s">
        <v>4</v>
      </c>
      <c r="C3">
        <v>18.18</v>
      </c>
      <c r="D3" t="s">
        <v>12</v>
      </c>
    </row>
    <row r="4" spans="2:4" ht="12.75">
      <c r="B4" t="s">
        <v>5</v>
      </c>
      <c r="C4">
        <f>0.8*20000</f>
        <v>16000</v>
      </c>
      <c r="D4" t="s">
        <v>10</v>
      </c>
    </row>
    <row r="5" spans="2:4" ht="12.75">
      <c r="B5" t="s">
        <v>6</v>
      </c>
      <c r="C5">
        <v>1</v>
      </c>
      <c r="D5" t="s">
        <v>15</v>
      </c>
    </row>
    <row r="6" spans="2:8" ht="12.75">
      <c r="B6" t="s">
        <v>7</v>
      </c>
      <c r="C6" s="1">
        <f>E22</f>
        <v>69385.01009719263</v>
      </c>
      <c r="D6" t="s">
        <v>11</v>
      </c>
      <c r="H6" s="5"/>
    </row>
    <row r="7" spans="2:4" ht="12.75">
      <c r="B7" t="s">
        <v>8</v>
      </c>
      <c r="C7" s="4">
        <f>(0.5*22.75-0.5*21)+E37</f>
        <v>1.2948213905936665</v>
      </c>
      <c r="D7" t="s">
        <v>14</v>
      </c>
    </row>
    <row r="8" spans="2:4" ht="12.75">
      <c r="B8" t="s">
        <v>9</v>
      </c>
      <c r="C8">
        <f>150</f>
        <v>150</v>
      </c>
      <c r="D8" t="s">
        <v>10</v>
      </c>
    </row>
    <row r="10" spans="2:3" ht="12.75">
      <c r="B10" t="s">
        <v>0</v>
      </c>
      <c r="C10">
        <f>C2*C8/(C4*C5)</f>
        <v>0.0028125</v>
      </c>
    </row>
    <row r="11" spans="2:3" ht="12.75">
      <c r="B11" t="s">
        <v>1</v>
      </c>
      <c r="C11">
        <f>1.9*C6*C7/(C4*C5*C3^3)</f>
        <v>0.0017755279074052849</v>
      </c>
    </row>
    <row r="13" spans="2:5" ht="12.75">
      <c r="B13" t="s">
        <v>2</v>
      </c>
      <c r="C13" s="3">
        <f>C3*((C10+C11))^0.5</f>
        <v>1.2314219889800158</v>
      </c>
      <c r="D13" s="3"/>
      <c r="E13" s="3"/>
    </row>
    <row r="14" spans="2:5" ht="12.75">
      <c r="B14" t="s">
        <v>13</v>
      </c>
      <c r="C14" s="3">
        <f>1.56</f>
        <v>1.56</v>
      </c>
      <c r="D14" s="11" t="s">
        <v>84</v>
      </c>
      <c r="E14" s="3">
        <f>C14-C13</f>
        <v>0.3285780110199843</v>
      </c>
    </row>
    <row r="18" spans="4:5" ht="12.75">
      <c r="D18" t="s">
        <v>16</v>
      </c>
      <c r="E18">
        <v>18.18</v>
      </c>
    </row>
    <row r="19" spans="4:5" ht="12.75">
      <c r="D19" t="s">
        <v>17</v>
      </c>
      <c r="E19">
        <v>21</v>
      </c>
    </row>
    <row r="21" spans="4:6" ht="12.75">
      <c r="D21" t="s">
        <v>18</v>
      </c>
      <c r="E21" s="5">
        <f>PI()*(E19/2)^2-PI()*(E18/2)^2</f>
        <v>86.77675811819188</v>
      </c>
      <c r="F21" t="s">
        <v>19</v>
      </c>
    </row>
    <row r="22" spans="4:6" ht="12.75">
      <c r="D22" t="s">
        <v>26</v>
      </c>
      <c r="E22" s="1">
        <f>E33</f>
        <v>69385.01009719263</v>
      </c>
      <c r="F22" t="s">
        <v>11</v>
      </c>
    </row>
    <row r="23" spans="4:6" ht="12.75">
      <c r="D23" t="s">
        <v>27</v>
      </c>
      <c r="E23">
        <f>E22/E21</f>
        <v>799.5805743594235</v>
      </c>
      <c r="F23" t="s">
        <v>10</v>
      </c>
    </row>
    <row r="24" spans="4:5" ht="12.75">
      <c r="D24" t="s">
        <v>20</v>
      </c>
      <c r="E24">
        <v>16</v>
      </c>
    </row>
    <row r="25" spans="4:8" ht="12.75">
      <c r="D25" t="s">
        <v>21</v>
      </c>
      <c r="E25" s="5">
        <f>E22/E24</f>
        <v>4336.563131074539</v>
      </c>
      <c r="F25" t="s">
        <v>11</v>
      </c>
      <c r="G25" s="1">
        <f>E25/0.763</f>
        <v>5683.568979127836</v>
      </c>
      <c r="H25" t="s">
        <v>10</v>
      </c>
    </row>
    <row r="26" spans="4:6" ht="12.75">
      <c r="D26" t="s">
        <v>80</v>
      </c>
      <c r="E26" s="5">
        <f>0.2*1.125*E25</f>
        <v>975.7267044917713</v>
      </c>
      <c r="F26" t="s">
        <v>81</v>
      </c>
    </row>
    <row r="27" spans="5:6" ht="12.75">
      <c r="E27" s="5">
        <f>E26/12</f>
        <v>81.31055870764762</v>
      </c>
      <c r="F27" t="s">
        <v>82</v>
      </c>
    </row>
    <row r="30" ht="12.75">
      <c r="D30" t="s">
        <v>56</v>
      </c>
    </row>
    <row r="31" spans="4:5" ht="12.75">
      <c r="D31" t="s">
        <v>35</v>
      </c>
      <c r="E31" s="2">
        <f>0.785*E35^2*E36</f>
        <v>47858.31037563805</v>
      </c>
    </row>
    <row r="32" spans="4:5" ht="12.75">
      <c r="D32" t="s">
        <v>36</v>
      </c>
      <c r="E32" s="2">
        <f>2*E37*3.14*E35*E38*E36</f>
        <v>21526.69972155457</v>
      </c>
    </row>
    <row r="33" spans="4:11" ht="12.75">
      <c r="D33" t="s">
        <v>37</v>
      </c>
      <c r="E33" s="2">
        <f>(E31+E32)</f>
        <v>69385.01009719263</v>
      </c>
      <c r="F33" t="s">
        <v>11</v>
      </c>
      <c r="K33" s="1"/>
    </row>
    <row r="34" spans="4:7" ht="12.75">
      <c r="D34" t="s">
        <v>53</v>
      </c>
      <c r="E34" s="4">
        <v>18.18</v>
      </c>
      <c r="G34" t="s">
        <v>54</v>
      </c>
    </row>
    <row r="35" spans="4:7" ht="12.75">
      <c r="D35" t="s">
        <v>22</v>
      </c>
      <c r="E35" s="4">
        <f>E19-2*E37</f>
        <v>20.160357218812667</v>
      </c>
      <c r="F35" t="s">
        <v>12</v>
      </c>
      <c r="G35" t="s">
        <v>55</v>
      </c>
    </row>
    <row r="36" spans="4:6" ht="12.75">
      <c r="D36" t="s">
        <v>9</v>
      </c>
      <c r="E36" s="2">
        <f>150</f>
        <v>150</v>
      </c>
      <c r="F36" t="s">
        <v>10</v>
      </c>
    </row>
    <row r="37" spans="4:6" ht="12.75">
      <c r="D37" t="s">
        <v>23</v>
      </c>
      <c r="E37" s="4">
        <f>0.5*(E39)^0.5</f>
        <v>0.41982139059366663</v>
      </c>
      <c r="F37" t="s">
        <v>57</v>
      </c>
    </row>
    <row r="38" spans="4:5" ht="12.75">
      <c r="D38" t="s">
        <v>24</v>
      </c>
      <c r="E38" s="5">
        <v>2.7</v>
      </c>
    </row>
    <row r="39" spans="4:6" ht="12.75">
      <c r="D39" t="s">
        <v>25</v>
      </c>
      <c r="E39" s="4">
        <f>(0.5*21-0.5*18.18)/2</f>
        <v>0.7050000000000001</v>
      </c>
      <c r="F39" t="s">
        <v>12</v>
      </c>
    </row>
    <row r="41" ht="12.75">
      <c r="D41" t="s">
        <v>79</v>
      </c>
    </row>
    <row r="42" ht="12.75">
      <c r="D42" t="s">
        <v>58</v>
      </c>
    </row>
    <row r="43" spans="4:11" ht="12.75">
      <c r="D43" t="s">
        <v>40</v>
      </c>
      <c r="E43" s="1">
        <f>3.14*E37*E35*E44</f>
        <v>62693.19091746571</v>
      </c>
      <c r="G43" t="s">
        <v>63</v>
      </c>
      <c r="K43" s="1"/>
    </row>
    <row r="44" spans="4:6" ht="12.75">
      <c r="D44" t="s">
        <v>38</v>
      </c>
      <c r="E44">
        <v>2359</v>
      </c>
      <c r="F44" t="s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"/>
  <sheetViews>
    <sheetView workbookViewId="0" topLeftCell="C1">
      <selection activeCell="K22" sqref="K22"/>
    </sheetView>
  </sheetViews>
  <sheetFormatPr defaultColWidth="9.140625" defaultRowHeight="12.75"/>
  <cols>
    <col min="8" max="8" width="15.140625" style="0" customWidth="1"/>
    <col min="9" max="9" width="18.57421875" style="0" customWidth="1"/>
    <col min="10" max="17" width="13.00390625" style="0" customWidth="1"/>
    <col min="18" max="18" width="15.421875" style="0" customWidth="1"/>
    <col min="19" max="19" width="9.140625" style="3" customWidth="1"/>
    <col min="20" max="20" width="10.7109375" style="0" customWidth="1"/>
    <col min="21" max="21" width="10.57421875" style="0" customWidth="1"/>
  </cols>
  <sheetData>
    <row r="1" spans="2:20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6"/>
    </row>
    <row r="2" spans="2:20" ht="12.75">
      <c r="B2" s="6"/>
      <c r="C2" s="6"/>
      <c r="D2" s="6"/>
      <c r="E2" s="6"/>
      <c r="F2" s="6"/>
      <c r="G2" s="6"/>
      <c r="H2" s="6" t="s">
        <v>33</v>
      </c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6"/>
    </row>
    <row r="3" spans="2:20" ht="12.75">
      <c r="B3" s="6"/>
      <c r="C3" s="6"/>
      <c r="D3" s="6"/>
      <c r="E3" s="6"/>
      <c r="F3" s="6" t="s">
        <v>93</v>
      </c>
      <c r="G3" s="6"/>
      <c r="H3" s="6" t="s">
        <v>34</v>
      </c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</row>
    <row r="4" spans="2:20" ht="12.75">
      <c r="B4" s="6"/>
      <c r="C4" s="6"/>
      <c r="D4" s="6"/>
      <c r="E4" s="6" t="s">
        <v>72</v>
      </c>
      <c r="F4" s="6" t="s">
        <v>70</v>
      </c>
      <c r="G4" s="6"/>
      <c r="H4" s="6" t="s">
        <v>64</v>
      </c>
      <c r="I4" s="6" t="s">
        <v>65</v>
      </c>
      <c r="J4" s="6" t="s">
        <v>65</v>
      </c>
      <c r="K4" s="6" t="s">
        <v>77</v>
      </c>
      <c r="L4" s="6"/>
      <c r="M4" s="6" t="s">
        <v>65</v>
      </c>
      <c r="N4" s="6" t="s">
        <v>68</v>
      </c>
      <c r="O4" s="6"/>
      <c r="P4" s="6"/>
      <c r="Q4" s="6"/>
      <c r="R4" s="7" t="s">
        <v>31</v>
      </c>
      <c r="S4" s="6"/>
      <c r="T4" s="6"/>
    </row>
    <row r="5" spans="2:20" ht="12.75">
      <c r="B5" s="6" t="s">
        <v>41</v>
      </c>
      <c r="C5" s="6"/>
      <c r="D5" s="6"/>
      <c r="E5" s="6" t="s">
        <v>28</v>
      </c>
      <c r="F5" s="6" t="s">
        <v>71</v>
      </c>
      <c r="G5" s="6" t="s">
        <v>4</v>
      </c>
      <c r="H5" s="6" t="s">
        <v>76</v>
      </c>
      <c r="I5" s="6" t="s">
        <v>67</v>
      </c>
      <c r="J5" s="6" t="s">
        <v>66</v>
      </c>
      <c r="K5" s="6" t="s">
        <v>78</v>
      </c>
      <c r="L5" s="6"/>
      <c r="M5" s="6" t="s">
        <v>74</v>
      </c>
      <c r="N5" s="6" t="s">
        <v>69</v>
      </c>
      <c r="O5" s="6"/>
      <c r="P5" s="6"/>
      <c r="Q5" s="6"/>
      <c r="R5" s="7" t="s">
        <v>30</v>
      </c>
      <c r="S5" s="6" t="s">
        <v>32</v>
      </c>
      <c r="T5" s="6"/>
    </row>
    <row r="6" spans="2:21" ht="12.75">
      <c r="B6" s="6" t="s">
        <v>42</v>
      </c>
      <c r="C6" s="6" t="s">
        <v>47</v>
      </c>
      <c r="D6" s="6" t="s">
        <v>48</v>
      </c>
      <c r="E6" s="6" t="s">
        <v>12</v>
      </c>
      <c r="F6" s="6" t="s">
        <v>12</v>
      </c>
      <c r="G6" s="6" t="s">
        <v>12</v>
      </c>
      <c r="H6" s="6" t="s">
        <v>29</v>
      </c>
      <c r="I6" s="6" t="s">
        <v>19</v>
      </c>
      <c r="J6" s="6" t="s">
        <v>19</v>
      </c>
      <c r="K6" s="6" t="s">
        <v>19</v>
      </c>
      <c r="L6" s="6" t="s">
        <v>75</v>
      </c>
      <c r="M6" s="6" t="s">
        <v>19</v>
      </c>
      <c r="N6" s="6" t="s">
        <v>83</v>
      </c>
      <c r="O6" s="6"/>
      <c r="P6" s="6"/>
      <c r="Q6" s="8" t="s">
        <v>43</v>
      </c>
      <c r="R6" s="7">
        <f>((C15-C10)^2+(D15-D10)^2)^0.5</f>
        <v>5.753963851120374</v>
      </c>
      <c r="S6" s="6">
        <f>(E15+E10)</f>
        <v>5.585</v>
      </c>
      <c r="T6" s="6"/>
      <c r="U6" s="3"/>
    </row>
    <row r="7" spans="2:21" ht="12.75">
      <c r="B7" s="6">
        <v>1</v>
      </c>
      <c r="C7" s="6">
        <v>4.78</v>
      </c>
      <c r="D7" s="6">
        <v>-3.26</v>
      </c>
      <c r="E7" s="6">
        <v>0.76</v>
      </c>
      <c r="F7" s="6">
        <v>0.049</v>
      </c>
      <c r="G7" s="6">
        <f aca="true" t="shared" si="0" ref="G7:G16">E7-2*F7</f>
        <v>0.662</v>
      </c>
      <c r="H7" s="9">
        <f>0.5*G7*'Req_thickness, bolt loads'!$C$13</f>
        <v>0.4076006783523852</v>
      </c>
      <c r="I7" s="9"/>
      <c r="J7" s="9">
        <f>2*'Req_thickness, bolt loads'!$C$14*('Req_thickness, bolt loads'!$C$14-'Req_thickness, bolt loads'!$C$13)</f>
        <v>1.025163394382351</v>
      </c>
      <c r="K7" s="9">
        <f>(2*F7*2.5*F7)+F7*2+F7^2</f>
        <v>0.112406</v>
      </c>
      <c r="L7" s="9"/>
      <c r="M7" s="9">
        <v>0</v>
      </c>
      <c r="N7" s="9">
        <f>J7+M7</f>
        <v>1.025163394382351</v>
      </c>
      <c r="O7" s="9"/>
      <c r="P7" s="9"/>
      <c r="Q7" s="10" t="s">
        <v>59</v>
      </c>
      <c r="R7" s="7">
        <f>((C15-C7)^2+(D15-D7)^2)^0.5</f>
        <v>4.9808031480876656</v>
      </c>
      <c r="S7" s="6">
        <f>(G15+G7)</f>
        <v>4.912</v>
      </c>
      <c r="T7" s="6"/>
      <c r="U7" s="3"/>
    </row>
    <row r="8" spans="2:21" ht="12.75">
      <c r="B8" s="6">
        <v>2</v>
      </c>
      <c r="C8" s="6">
        <v>5.78</v>
      </c>
      <c r="D8" s="6">
        <v>0</v>
      </c>
      <c r="E8" s="6">
        <v>0.76</v>
      </c>
      <c r="F8" s="6">
        <v>0.049</v>
      </c>
      <c r="G8" s="6">
        <f t="shared" si="0"/>
        <v>0.662</v>
      </c>
      <c r="H8" s="9">
        <f>0.5*G8*'Req_thickness, bolt loads'!$C$13</f>
        <v>0.4076006783523852</v>
      </c>
      <c r="I8" s="9"/>
      <c r="J8" s="9">
        <f>2*'Req_thickness, bolt loads'!$C$14*('Req_thickness, bolt loads'!$C$14-'Req_thickness, bolt loads'!$C$13)</f>
        <v>1.025163394382351</v>
      </c>
      <c r="K8" s="9">
        <f aca="true" t="shared" si="1" ref="K8:K15">(2*F8*2.5*F8)+F8*2+F8^2</f>
        <v>0.112406</v>
      </c>
      <c r="L8" s="9"/>
      <c r="M8" s="9">
        <v>0</v>
      </c>
      <c r="N8" s="9">
        <f aca="true" t="shared" si="2" ref="N8:N14">J8+M8</f>
        <v>1.025163394382351</v>
      </c>
      <c r="O8" s="9"/>
      <c r="P8" s="9"/>
      <c r="Q8" s="6" t="s">
        <v>44</v>
      </c>
      <c r="R8" s="7">
        <f>((C15-C14)^2+(D15-D14)^2)^0.5</f>
        <v>7.527190711015631</v>
      </c>
      <c r="S8" s="6">
        <f>(E15+E14)</f>
        <v>6.656000000000001</v>
      </c>
      <c r="T8" s="6"/>
      <c r="U8" s="3"/>
    </row>
    <row r="9" spans="2:21" ht="12.75">
      <c r="B9" s="6">
        <v>3</v>
      </c>
      <c r="C9" s="6">
        <v>1.11</v>
      </c>
      <c r="D9" s="6">
        <v>2.66</v>
      </c>
      <c r="E9" s="6">
        <v>0.76</v>
      </c>
      <c r="F9" s="6">
        <v>0.049</v>
      </c>
      <c r="G9" s="6">
        <f t="shared" si="0"/>
        <v>0.662</v>
      </c>
      <c r="H9" s="9">
        <f>0.5*G9*'Req_thickness, bolt loads'!$C$13</f>
        <v>0.4076006783523852</v>
      </c>
      <c r="I9" s="9"/>
      <c r="J9" s="9">
        <f>2*'Req_thickness, bolt loads'!$C$14*('Req_thickness, bolt loads'!$C$14-'Req_thickness, bolt loads'!$C$13)</f>
        <v>1.025163394382351</v>
      </c>
      <c r="K9" s="9">
        <f t="shared" si="1"/>
        <v>0.112406</v>
      </c>
      <c r="L9" s="9"/>
      <c r="M9" s="9">
        <v>0</v>
      </c>
      <c r="N9" s="9">
        <f t="shared" si="2"/>
        <v>1.025163394382351</v>
      </c>
      <c r="O9" s="9"/>
      <c r="P9" s="9"/>
      <c r="Q9" s="6" t="s">
        <v>60</v>
      </c>
      <c r="R9" s="7">
        <f>((C15-C11)^2+(D15-D11)^2)^0.5</f>
        <v>6.845056610430625</v>
      </c>
      <c r="S9" s="6">
        <f>(E17+E11)</f>
        <v>2.52</v>
      </c>
      <c r="T9" s="6"/>
      <c r="U9" s="3"/>
    </row>
    <row r="10" spans="2:21" ht="12.75">
      <c r="B10" s="6">
        <v>4</v>
      </c>
      <c r="C10" s="6">
        <v>3</v>
      </c>
      <c r="D10" s="6">
        <v>0.25</v>
      </c>
      <c r="E10" s="6">
        <v>1.335</v>
      </c>
      <c r="F10" s="6">
        <v>0.109</v>
      </c>
      <c r="G10" s="6">
        <f t="shared" si="0"/>
        <v>1.117</v>
      </c>
      <c r="H10" s="9">
        <f>0.5*G10*'Req_thickness, bolt loads'!$C$13</f>
        <v>0.6877491808453388</v>
      </c>
      <c r="I10" s="9"/>
      <c r="J10" s="9">
        <f>2*'Req_thickness, bolt loads'!$C$14*('Req_thickness, bolt loads'!$C$14-'Req_thickness, bolt loads'!$C$13)</f>
        <v>1.025163394382351</v>
      </c>
      <c r="K10" s="9">
        <f t="shared" si="1"/>
        <v>0.289286</v>
      </c>
      <c r="L10" s="9"/>
      <c r="M10" s="9">
        <v>0</v>
      </c>
      <c r="N10" s="9">
        <f t="shared" si="2"/>
        <v>1.025163394382351</v>
      </c>
      <c r="O10" s="9"/>
      <c r="P10" s="9"/>
      <c r="Q10" s="10" t="s">
        <v>45</v>
      </c>
      <c r="R10" s="7">
        <f>((C12-C14)^2+(D12-D14)^2)^0.5</f>
        <v>9.665578099627563</v>
      </c>
      <c r="S10" s="6">
        <f>(E12+E14)</f>
        <v>4.926</v>
      </c>
      <c r="T10" s="6"/>
      <c r="U10" s="3"/>
    </row>
    <row r="11" spans="2:21" ht="12.75">
      <c r="B11" s="6">
        <v>5</v>
      </c>
      <c r="C11" s="6">
        <v>-6.38</v>
      </c>
      <c r="D11" s="6">
        <v>-2.18</v>
      </c>
      <c r="E11" s="6">
        <v>2.52</v>
      </c>
      <c r="F11" s="6">
        <v>0.12</v>
      </c>
      <c r="G11" s="6">
        <f t="shared" si="0"/>
        <v>2.2800000000000002</v>
      </c>
      <c r="H11" s="9">
        <f>0.5*G11*'Req_thickness, bolt loads'!$C$13</f>
        <v>1.403821067437218</v>
      </c>
      <c r="I11" s="9"/>
      <c r="J11" s="9">
        <f>2*'Req_thickness, bolt loads'!$C$14*('Req_thickness, bolt loads'!$C$14-'Req_thickness, bolt loads'!$C$13)</f>
        <v>1.025163394382351</v>
      </c>
      <c r="K11" s="9">
        <f t="shared" si="1"/>
        <v>0.3264</v>
      </c>
      <c r="L11" s="9">
        <v>0.5</v>
      </c>
      <c r="M11" s="9">
        <f>L11*(3.75-E11)</f>
        <v>0.615</v>
      </c>
      <c r="N11" s="9">
        <f t="shared" si="2"/>
        <v>1.640163394382351</v>
      </c>
      <c r="O11" s="9"/>
      <c r="P11" s="9"/>
      <c r="Q11" s="10" t="s">
        <v>46</v>
      </c>
      <c r="R11" s="7">
        <f>((C11-C14)^2+(D11-D14)^2)^0.5</f>
        <v>5.129229961699904</v>
      </c>
      <c r="S11" s="6">
        <f>(E11+E14)</f>
        <v>4.926</v>
      </c>
      <c r="T11" s="6"/>
      <c r="U11" s="3"/>
    </row>
    <row r="12" spans="2:21" ht="12.75">
      <c r="B12" s="6">
        <v>6</v>
      </c>
      <c r="C12" s="6">
        <v>6</v>
      </c>
      <c r="D12" s="6">
        <v>0</v>
      </c>
      <c r="E12" s="6">
        <v>2.52</v>
      </c>
      <c r="F12" s="6">
        <v>0.12</v>
      </c>
      <c r="G12" s="6">
        <f t="shared" si="0"/>
        <v>2.2800000000000002</v>
      </c>
      <c r="H12" s="9">
        <f>0.5*G12*'Req_thickness, bolt loads'!$C$13</f>
        <v>1.403821067437218</v>
      </c>
      <c r="I12" s="9"/>
      <c r="J12" s="9">
        <f>2*'Req_thickness, bolt loads'!$C$14*('Req_thickness, bolt loads'!$C$14-'Req_thickness, bolt loads'!$C$13)</f>
        <v>1.025163394382351</v>
      </c>
      <c r="K12" s="9">
        <f t="shared" si="1"/>
        <v>0.3264</v>
      </c>
      <c r="L12" s="9">
        <v>0.5</v>
      </c>
      <c r="M12" s="9">
        <f>L12*(3.75-E12)</f>
        <v>0.615</v>
      </c>
      <c r="N12" s="9">
        <f t="shared" si="2"/>
        <v>1.640163394382351</v>
      </c>
      <c r="O12" s="9"/>
      <c r="P12" s="9"/>
      <c r="Q12" s="10" t="s">
        <v>49</v>
      </c>
      <c r="R12" s="7">
        <f>((C10-C7)^2+(D10-D7)^2)^0.5</f>
        <v>3.935543164545397</v>
      </c>
      <c r="S12" s="6">
        <f>(E10+E7)</f>
        <v>2.0949999999999998</v>
      </c>
      <c r="T12" s="6"/>
      <c r="U12" s="3"/>
    </row>
    <row r="13" spans="2:21" ht="12.75">
      <c r="B13" s="6">
        <v>7</v>
      </c>
      <c r="C13" s="6">
        <v>4.09</v>
      </c>
      <c r="D13" s="6">
        <v>4.09</v>
      </c>
      <c r="E13" s="6">
        <v>1.25</v>
      </c>
      <c r="F13" s="6">
        <v>0</v>
      </c>
      <c r="G13" s="6">
        <f t="shared" si="0"/>
        <v>1.25</v>
      </c>
      <c r="H13" s="9">
        <f>0.5*G13*'Req_thickness, bolt loads'!$C$13</f>
        <v>0.7696387431125098</v>
      </c>
      <c r="I13" s="9"/>
      <c r="J13" s="9">
        <f>2*'Req_thickness, bolt loads'!$C$14*('Req_thickness, bolt loads'!$C$14-'Req_thickness, bolt loads'!$C$13)</f>
        <v>1.025163394382351</v>
      </c>
      <c r="K13" s="9">
        <f t="shared" si="1"/>
        <v>0</v>
      </c>
      <c r="L13" s="9"/>
      <c r="M13" s="9">
        <v>0</v>
      </c>
      <c r="N13" s="9">
        <f t="shared" si="2"/>
        <v>1.025163394382351</v>
      </c>
      <c r="O13" s="9"/>
      <c r="P13" s="9"/>
      <c r="Q13" s="10" t="s">
        <v>50</v>
      </c>
      <c r="R13" s="7">
        <f>((C10-C9)^2+(D10-D9)^2)^0.5</f>
        <v>3.0627112172060884</v>
      </c>
      <c r="S13" s="6">
        <f>(E10+E9)</f>
        <v>2.0949999999999998</v>
      </c>
      <c r="T13" s="6"/>
      <c r="U13" s="3"/>
    </row>
    <row r="14" spans="2:21" ht="12.75">
      <c r="B14" s="6">
        <v>8</v>
      </c>
      <c r="C14" s="6">
        <v>-3.45</v>
      </c>
      <c r="D14" s="6">
        <v>2.03</v>
      </c>
      <c r="E14" s="6">
        <v>2.406</v>
      </c>
      <c r="F14" s="6">
        <v>0.154</v>
      </c>
      <c r="G14" s="6">
        <f t="shared" si="0"/>
        <v>2.0980000000000003</v>
      </c>
      <c r="H14" s="9">
        <f>0.5*G14*'Req_thickness, bolt loads'!$C$13</f>
        <v>1.2917616664400366</v>
      </c>
      <c r="I14" s="9"/>
      <c r="J14" s="9">
        <f>2*'Req_thickness, bolt loads'!$C$14*('Req_thickness, bolt loads'!$C$14-'Req_thickness, bolt loads'!$C$13)</f>
        <v>1.025163394382351</v>
      </c>
      <c r="K14" s="9">
        <f t="shared" si="1"/>
        <v>0.45029600000000003</v>
      </c>
      <c r="L14" s="9">
        <v>0.5</v>
      </c>
      <c r="M14" s="9">
        <f>L14*(3.75-E14)</f>
        <v>0.6719999999999999</v>
      </c>
      <c r="N14" s="9">
        <f t="shared" si="2"/>
        <v>1.697163394382351</v>
      </c>
      <c r="O14" s="9"/>
      <c r="P14" s="9"/>
      <c r="Q14" s="10" t="s">
        <v>62</v>
      </c>
      <c r="R14" s="7">
        <f>((C10-C8)^2+(D10-D8)^2)^0.5</f>
        <v>2.791218371965906</v>
      </c>
      <c r="S14" s="6">
        <f>(E10+E8)</f>
        <v>2.0949999999999998</v>
      </c>
      <c r="T14" s="6"/>
      <c r="U14" s="3"/>
    </row>
    <row r="15" spans="2:21" ht="12.75">
      <c r="B15" s="6">
        <v>9</v>
      </c>
      <c r="C15" s="6">
        <v>0</v>
      </c>
      <c r="D15" s="6">
        <v>-4.66</v>
      </c>
      <c r="E15" s="6">
        <v>4.25</v>
      </c>
      <c r="F15" s="6">
        <v>0</v>
      </c>
      <c r="G15" s="6">
        <f t="shared" si="0"/>
        <v>4.25</v>
      </c>
      <c r="H15" s="9">
        <f>0.5*G15*'Req_thickness, bolt loads'!$C$13</f>
        <v>2.6167717265825337</v>
      </c>
      <c r="I15" s="9">
        <f>G15*('Req_thickness, bolt loads'!$C$14-'Req_thickness, bolt loads'!$C$13)</f>
        <v>1.3964565468349333</v>
      </c>
      <c r="J15" s="9"/>
      <c r="K15" s="9">
        <f t="shared" si="1"/>
        <v>0</v>
      </c>
      <c r="L15" s="9">
        <v>0.5</v>
      </c>
      <c r="M15" s="9">
        <f>L15*(8-(4.75))</f>
        <v>1.625</v>
      </c>
      <c r="N15" s="9">
        <f>I15+M15</f>
        <v>3.0214565468349335</v>
      </c>
      <c r="O15" s="9"/>
      <c r="P15" s="9"/>
      <c r="Q15" s="10" t="s">
        <v>52</v>
      </c>
      <c r="R15" s="7">
        <f>((C10-C14)^2+(D10-D14)^2)^0.5</f>
        <v>6.691106037121217</v>
      </c>
      <c r="S15" s="6">
        <f>(E10+E14)</f>
        <v>3.741</v>
      </c>
      <c r="T15" s="6"/>
      <c r="U15" s="3"/>
    </row>
    <row r="16" spans="2:21" ht="12.75">
      <c r="B16" s="6">
        <v>10</v>
      </c>
      <c r="C16" s="6">
        <v>6.5</v>
      </c>
      <c r="D16" s="6">
        <v>2.66</v>
      </c>
      <c r="E16" s="6">
        <v>1.05</v>
      </c>
      <c r="F16" s="6">
        <v>0</v>
      </c>
      <c r="G16" s="6">
        <f t="shared" si="0"/>
        <v>1.05</v>
      </c>
      <c r="H16" s="9">
        <f>0.5*G16*'Req_thickness, bolt loads'!$C$13</f>
        <v>0.6464965442145083</v>
      </c>
      <c r="I16" s="9"/>
      <c r="J16" s="9">
        <f>2*'Req_thickness, bolt loads'!$C$14*('Req_thickness, bolt loads'!$C$14-'Req_thickness, bolt loads'!$C$13)</f>
        <v>1.025163394382351</v>
      </c>
      <c r="K16" s="9">
        <f>(2*F16*2.5*F16)+F16*2+F16^2</f>
        <v>0</v>
      </c>
      <c r="L16" s="9"/>
      <c r="M16" s="9">
        <v>0</v>
      </c>
      <c r="N16" s="9">
        <f>J16+M16</f>
        <v>1.025163394382351</v>
      </c>
      <c r="O16" s="9"/>
      <c r="P16" s="9"/>
      <c r="Q16" s="10"/>
      <c r="R16" s="7"/>
      <c r="S16" s="6"/>
      <c r="T16" s="6"/>
      <c r="U16" s="3"/>
    </row>
    <row r="17" spans="2:21" ht="12.75">
      <c r="B17" s="6"/>
      <c r="C17" s="6"/>
      <c r="D17" s="6"/>
      <c r="E17" s="6"/>
      <c r="F17" s="6"/>
      <c r="G17" s="6"/>
      <c r="H17" s="9"/>
      <c r="I17" s="9"/>
      <c r="J17" s="9"/>
      <c r="K17" s="9"/>
      <c r="L17" s="6"/>
      <c r="M17" s="6"/>
      <c r="N17" s="6"/>
      <c r="O17" s="6"/>
      <c r="P17" s="6"/>
      <c r="Q17" s="10" t="s">
        <v>51</v>
      </c>
      <c r="R17" s="7">
        <f>((C9-C14)^2+(D9-D14)^2)^0.5</f>
        <v>4.603314023613858</v>
      </c>
      <c r="S17" s="6">
        <f>(E9+E14)</f>
        <v>3.1660000000000004</v>
      </c>
      <c r="T17" s="6"/>
      <c r="U17" s="3"/>
    </row>
    <row r="18" spans="2:21" ht="12.75">
      <c r="B18" s="6"/>
      <c r="C18" s="6"/>
      <c r="D18" s="6"/>
      <c r="E18" s="6"/>
      <c r="F18" s="6"/>
      <c r="G18" s="6"/>
      <c r="H18" s="9"/>
      <c r="I18" s="9"/>
      <c r="J18" s="9"/>
      <c r="K18" s="9"/>
      <c r="L18" s="6"/>
      <c r="M18" s="6"/>
      <c r="N18" s="6"/>
      <c r="O18" s="6"/>
      <c r="P18" s="6"/>
      <c r="Q18" s="6" t="s">
        <v>61</v>
      </c>
      <c r="R18" s="7">
        <f>((C9-C12)^2+(D9-D12)^2)^0.5</f>
        <v>5.566659680634339</v>
      </c>
      <c r="S18" s="6">
        <f>(E9+E12)</f>
        <v>3.2800000000000002</v>
      </c>
      <c r="T18" s="6"/>
      <c r="U18" s="3"/>
    </row>
    <row r="19" spans="2:20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6"/>
      <c r="T19" s="6"/>
    </row>
    <row r="20" spans="2:21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 t="s">
        <v>73</v>
      </c>
      <c r="R20" s="7">
        <f>((C13-C16)^2+(D13-D16)^2)^0.5</f>
        <v>2.802320467041555</v>
      </c>
      <c r="S20" s="6">
        <f>(E13+E16)</f>
        <v>2.3</v>
      </c>
      <c r="T20" s="6"/>
      <c r="U20" s="3"/>
    </row>
    <row r="21" spans="2:20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6"/>
      <c r="T21" s="6"/>
    </row>
    <row r="22" spans="2:20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6"/>
      <c r="T22" s="6"/>
    </row>
  </sheetData>
  <printOptions/>
  <pageMargins left="0.75" right="0.75" top="1" bottom="1" header="0.5" footer="0.5"/>
  <pageSetup fitToHeight="1" fitToWidth="1" horizontalDpi="600" verticalDpi="600" orientation="landscape" paperSize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6"/>
  <sheetViews>
    <sheetView tabSelected="1" workbookViewId="0" topLeftCell="A1">
      <selection activeCell="M15" sqref="M15"/>
    </sheetView>
  </sheetViews>
  <sheetFormatPr defaultColWidth="9.140625" defaultRowHeight="12.75"/>
  <cols>
    <col min="9" max="9" width="10.421875" style="0" customWidth="1"/>
    <col min="10" max="10" width="10.7109375" style="0" customWidth="1"/>
  </cols>
  <sheetData>
    <row r="2" spans="2:9" ht="12.75">
      <c r="B2" s="6"/>
      <c r="C2" s="6"/>
      <c r="D2" s="6"/>
      <c r="E2" s="6"/>
      <c r="F2" s="6"/>
      <c r="G2" s="6"/>
      <c r="I2" t="s">
        <v>87</v>
      </c>
    </row>
    <row r="3" spans="2:9" ht="12.75">
      <c r="B3" s="6"/>
      <c r="C3" s="6"/>
      <c r="D3" s="6"/>
      <c r="E3" s="6"/>
      <c r="F3" s="6"/>
      <c r="G3" s="6"/>
      <c r="I3" t="s">
        <v>88</v>
      </c>
    </row>
    <row r="4" spans="2:9" ht="12.75">
      <c r="B4" s="6"/>
      <c r="C4" s="6"/>
      <c r="D4" s="6"/>
      <c r="E4" s="6" t="s">
        <v>72</v>
      </c>
      <c r="F4" s="6" t="s">
        <v>70</v>
      </c>
      <c r="G4" s="6"/>
      <c r="H4" t="s">
        <v>85</v>
      </c>
      <c r="I4" t="s">
        <v>92</v>
      </c>
    </row>
    <row r="5" spans="2:10" ht="12.75">
      <c r="B5" s="6" t="s">
        <v>41</v>
      </c>
      <c r="C5" s="6"/>
      <c r="D5" s="6"/>
      <c r="E5" s="6" t="s">
        <v>28</v>
      </c>
      <c r="F5" s="6" t="s">
        <v>71</v>
      </c>
      <c r="G5" s="6" t="s">
        <v>94</v>
      </c>
      <c r="H5" t="s">
        <v>86</v>
      </c>
      <c r="I5" t="s">
        <v>90</v>
      </c>
      <c r="J5" t="s">
        <v>91</v>
      </c>
    </row>
    <row r="6" spans="2:10" ht="12.75">
      <c r="B6" s="6" t="s">
        <v>42</v>
      </c>
      <c r="C6" s="6" t="s">
        <v>47</v>
      </c>
      <c r="D6" s="6" t="s">
        <v>48</v>
      </c>
      <c r="E6" s="6" t="s">
        <v>12</v>
      </c>
      <c r="F6" s="6" t="s">
        <v>12</v>
      </c>
      <c r="G6" s="6" t="s">
        <v>12</v>
      </c>
      <c r="H6" t="s">
        <v>10</v>
      </c>
      <c r="I6" t="s">
        <v>89</v>
      </c>
      <c r="J6" t="s">
        <v>89</v>
      </c>
    </row>
    <row r="7" spans="2:12" ht="12.75">
      <c r="B7" s="6">
        <v>1</v>
      </c>
      <c r="C7" s="6">
        <v>4.78</v>
      </c>
      <c r="D7" s="6">
        <v>-3.26</v>
      </c>
      <c r="E7" s="6">
        <v>0.76</v>
      </c>
      <c r="F7" s="6">
        <v>0.049</v>
      </c>
      <c r="G7" s="6">
        <f>E7-2*F7</f>
        <v>0.662</v>
      </c>
      <c r="H7">
        <v>150</v>
      </c>
      <c r="I7" s="4">
        <f aca="true" t="shared" si="0" ref="I7:I12">H7*0.5*G7/(14200*0.8*0.5-0.6*H7)</f>
        <v>0.008881932021466907</v>
      </c>
      <c r="J7" s="4">
        <f aca="true" t="shared" si="1" ref="J7:J12">H7*0.5*G7/(2*14200*0.8*0.5+0.4*H7)</f>
        <v>0.004347635726795097</v>
      </c>
      <c r="K7" s="4"/>
      <c r="L7" s="4"/>
    </row>
    <row r="8" spans="2:12" ht="12.75">
      <c r="B8" s="6">
        <v>2</v>
      </c>
      <c r="C8" s="6">
        <v>5.78</v>
      </c>
      <c r="D8" s="6">
        <v>0</v>
      </c>
      <c r="E8" s="6">
        <v>0.76</v>
      </c>
      <c r="F8" s="6">
        <v>0.049</v>
      </c>
      <c r="G8" s="6">
        <f aca="true" t="shared" si="2" ref="G8:G15">E8-2*F8</f>
        <v>0.662</v>
      </c>
      <c r="H8">
        <v>150</v>
      </c>
      <c r="I8" s="4">
        <f t="shared" si="0"/>
        <v>0.008881932021466907</v>
      </c>
      <c r="J8" s="4">
        <f t="shared" si="1"/>
        <v>0.004347635726795097</v>
      </c>
      <c r="K8" s="4"/>
      <c r="L8" s="4"/>
    </row>
    <row r="9" spans="2:12" ht="12.75">
      <c r="B9" s="6">
        <v>3</v>
      </c>
      <c r="C9" s="6">
        <v>1.11</v>
      </c>
      <c r="D9" s="6">
        <v>2.66</v>
      </c>
      <c r="E9" s="6">
        <v>0.76</v>
      </c>
      <c r="F9" s="6">
        <v>0.049</v>
      </c>
      <c r="G9" s="6">
        <f t="shared" si="2"/>
        <v>0.662</v>
      </c>
      <c r="H9">
        <v>150</v>
      </c>
      <c r="I9" s="4">
        <f t="shared" si="0"/>
        <v>0.008881932021466907</v>
      </c>
      <c r="J9" s="4">
        <f t="shared" si="1"/>
        <v>0.004347635726795097</v>
      </c>
      <c r="K9" s="4"/>
      <c r="L9" s="4"/>
    </row>
    <row r="10" spans="2:12" ht="12.75">
      <c r="B10" s="6">
        <v>4</v>
      </c>
      <c r="C10" s="6">
        <v>3</v>
      </c>
      <c r="D10" s="6">
        <v>0.25</v>
      </c>
      <c r="E10" s="6">
        <v>1.335</v>
      </c>
      <c r="F10" s="6">
        <v>0.109</v>
      </c>
      <c r="G10" s="6">
        <f t="shared" si="2"/>
        <v>1.117</v>
      </c>
      <c r="H10">
        <v>150</v>
      </c>
      <c r="I10" s="4">
        <f t="shared" si="0"/>
        <v>0.014986583184257603</v>
      </c>
      <c r="J10" s="4">
        <f t="shared" si="1"/>
        <v>0.007335814360770579</v>
      </c>
      <c r="K10" s="4"/>
      <c r="L10" s="4"/>
    </row>
    <row r="11" spans="2:12" ht="12.75">
      <c r="B11" s="6">
        <v>5</v>
      </c>
      <c r="C11" s="6">
        <v>-6.38</v>
      </c>
      <c r="D11" s="6">
        <v>-2.18</v>
      </c>
      <c r="E11" s="6">
        <v>2.52</v>
      </c>
      <c r="F11" s="6">
        <v>0.12</v>
      </c>
      <c r="G11" s="6">
        <f t="shared" si="2"/>
        <v>2.2800000000000002</v>
      </c>
      <c r="H11">
        <v>150</v>
      </c>
      <c r="I11" s="4">
        <f t="shared" si="0"/>
        <v>0.03059033989266548</v>
      </c>
      <c r="J11" s="4">
        <f t="shared" si="1"/>
        <v>0.014973730297723295</v>
      </c>
      <c r="K11" s="4"/>
      <c r="L11" s="4"/>
    </row>
    <row r="12" spans="2:12" ht="12.75">
      <c r="B12" s="6">
        <v>6</v>
      </c>
      <c r="C12" s="6">
        <v>6</v>
      </c>
      <c r="D12" s="6">
        <v>0</v>
      </c>
      <c r="E12" s="6">
        <v>2.52</v>
      </c>
      <c r="F12" s="6">
        <v>0.12</v>
      </c>
      <c r="G12" s="6">
        <f t="shared" si="2"/>
        <v>2.2800000000000002</v>
      </c>
      <c r="H12">
        <v>150</v>
      </c>
      <c r="I12" s="4">
        <f t="shared" si="0"/>
        <v>0.03059033989266548</v>
      </c>
      <c r="J12" s="4">
        <f t="shared" si="1"/>
        <v>0.014973730297723295</v>
      </c>
      <c r="K12" s="4"/>
      <c r="L12" s="4"/>
    </row>
    <row r="13" spans="2:12" ht="12.75">
      <c r="B13" s="6">
        <v>7</v>
      </c>
      <c r="C13" s="6">
        <v>4.09</v>
      </c>
      <c r="D13" s="6">
        <v>4.09</v>
      </c>
      <c r="E13" s="6">
        <v>1.25</v>
      </c>
      <c r="F13" s="6">
        <v>0</v>
      </c>
      <c r="G13" s="6">
        <f t="shared" si="2"/>
        <v>1.25</v>
      </c>
      <c r="I13" s="4"/>
      <c r="J13" s="4"/>
      <c r="K13" s="4"/>
      <c r="L13" s="4"/>
    </row>
    <row r="14" spans="2:12" ht="12.75">
      <c r="B14" s="6">
        <v>8</v>
      </c>
      <c r="C14" s="6">
        <v>-3.45</v>
      </c>
      <c r="D14" s="6">
        <v>2.03</v>
      </c>
      <c r="E14" s="6">
        <v>2.406</v>
      </c>
      <c r="F14" s="6">
        <v>0.154</v>
      </c>
      <c r="G14" s="6">
        <f t="shared" si="2"/>
        <v>2.0980000000000003</v>
      </c>
      <c r="H14">
        <v>150</v>
      </c>
      <c r="I14" s="4">
        <f>H14*0.5*G14/(14200*0.8*0.5-0.6*H14)</f>
        <v>0.028148479427549198</v>
      </c>
      <c r="J14" s="4">
        <f>H14*0.5*G14/(2*14200*0.8*0.5+0.4*H14)</f>
        <v>0.013778458844133102</v>
      </c>
      <c r="K14" s="4"/>
      <c r="L14" s="4"/>
    </row>
    <row r="15" spans="2:12" ht="12.75">
      <c r="B15" s="6">
        <v>9</v>
      </c>
      <c r="C15" s="6">
        <v>0</v>
      </c>
      <c r="D15" s="6">
        <v>-4.66</v>
      </c>
      <c r="E15" s="6">
        <v>4.25</v>
      </c>
      <c r="F15" s="6">
        <v>0</v>
      </c>
      <c r="G15" s="6">
        <f t="shared" si="2"/>
        <v>4.25</v>
      </c>
      <c r="I15" s="4"/>
      <c r="J15" s="4"/>
      <c r="K15" s="4"/>
      <c r="L15" s="4"/>
    </row>
    <row r="16" spans="2:12" ht="12.75">
      <c r="B16" s="6">
        <v>10</v>
      </c>
      <c r="C16" s="6">
        <v>6.5</v>
      </c>
      <c r="D16" s="6">
        <v>2.66</v>
      </c>
      <c r="E16" s="6">
        <v>1.05</v>
      </c>
      <c r="F16" s="6">
        <v>0</v>
      </c>
      <c r="G16" s="6">
        <f>E16-2*F16</f>
        <v>1.05</v>
      </c>
      <c r="I16" s="4"/>
      <c r="J16" s="4"/>
      <c r="K16" s="4"/>
      <c r="L16" s="4"/>
    </row>
    <row r="22" spans="2:7" ht="12.75">
      <c r="B22" s="6"/>
      <c r="C22" s="6"/>
      <c r="D22" s="6"/>
      <c r="E22" s="6"/>
      <c r="F22" s="6"/>
      <c r="G22" s="6"/>
    </row>
    <row r="23" spans="2:7" ht="12.75">
      <c r="B23" s="6"/>
      <c r="C23" s="6"/>
      <c r="D23" s="6"/>
      <c r="E23" s="6"/>
      <c r="F23" s="6"/>
      <c r="G23" s="6"/>
    </row>
    <row r="24" spans="2:7" ht="12.75">
      <c r="B24" s="6"/>
      <c r="C24" s="6"/>
      <c r="D24" s="6"/>
      <c r="E24" s="6"/>
      <c r="F24" s="6"/>
      <c r="G24" s="6"/>
    </row>
    <row r="25" spans="2:7" ht="12.75">
      <c r="B25" s="6"/>
      <c r="C25" s="6"/>
      <c r="D25" s="6"/>
      <c r="E25" s="6"/>
      <c r="F25" s="6"/>
      <c r="G25" s="6"/>
    </row>
    <row r="26" spans="2:7" ht="12.75">
      <c r="B26" s="6"/>
      <c r="C26" s="6"/>
      <c r="D26" s="6"/>
      <c r="E26" s="6"/>
      <c r="F26" s="6"/>
      <c r="G26" s="6"/>
    </row>
    <row r="27" spans="2:10" ht="12.75">
      <c r="B27" s="6"/>
      <c r="C27" s="6"/>
      <c r="D27" s="6"/>
      <c r="E27" s="6"/>
      <c r="F27" s="6"/>
      <c r="G27" s="6"/>
      <c r="I27" s="4"/>
      <c r="J27" s="4"/>
    </row>
    <row r="28" spans="2:10" ht="12.75">
      <c r="B28" s="6"/>
      <c r="C28" s="6"/>
      <c r="D28" s="6"/>
      <c r="E28" s="6"/>
      <c r="F28" s="6"/>
      <c r="G28" s="6"/>
      <c r="I28" s="4"/>
      <c r="J28" s="4"/>
    </row>
    <row r="29" spans="2:10" ht="12.75">
      <c r="B29" s="6"/>
      <c r="C29" s="6"/>
      <c r="D29" s="6"/>
      <c r="E29" s="6"/>
      <c r="F29" s="6"/>
      <c r="G29" s="6"/>
      <c r="I29" s="4"/>
      <c r="J29" s="4"/>
    </row>
    <row r="30" spans="2:10" ht="12.75">
      <c r="B30" s="6"/>
      <c r="C30" s="6"/>
      <c r="D30" s="6"/>
      <c r="E30" s="6"/>
      <c r="F30" s="6"/>
      <c r="G30" s="6"/>
      <c r="I30" s="4"/>
      <c r="J30" s="4"/>
    </row>
    <row r="31" spans="2:10" ht="12.75">
      <c r="B31" s="6"/>
      <c r="C31" s="6"/>
      <c r="D31" s="6"/>
      <c r="E31" s="6"/>
      <c r="F31" s="6"/>
      <c r="G31" s="6"/>
      <c r="I31" s="4"/>
      <c r="J31" s="4"/>
    </row>
    <row r="32" spans="2:10" ht="12.75">
      <c r="B32" s="6"/>
      <c r="C32" s="6"/>
      <c r="D32" s="6"/>
      <c r="E32" s="6"/>
      <c r="F32" s="6"/>
      <c r="G32" s="6"/>
      <c r="I32" s="4"/>
      <c r="J32" s="4"/>
    </row>
    <row r="33" spans="2:10" ht="12.75">
      <c r="B33" s="6"/>
      <c r="C33" s="6"/>
      <c r="D33" s="6"/>
      <c r="E33" s="6"/>
      <c r="F33" s="6"/>
      <c r="G33" s="6"/>
      <c r="I33" s="4"/>
      <c r="J33" s="4"/>
    </row>
    <row r="34" spans="2:10" ht="12.75">
      <c r="B34" s="6"/>
      <c r="C34" s="6"/>
      <c r="D34" s="6"/>
      <c r="E34" s="6"/>
      <c r="F34" s="6"/>
      <c r="G34" s="6"/>
      <c r="I34" s="4"/>
      <c r="J34" s="4"/>
    </row>
    <row r="35" spans="2:10" ht="12.75">
      <c r="B35" s="6"/>
      <c r="C35" s="6"/>
      <c r="D35" s="6"/>
      <c r="E35" s="6"/>
      <c r="F35" s="6"/>
      <c r="G35" s="6"/>
      <c r="I35" s="4"/>
      <c r="J35" s="4"/>
    </row>
    <row r="36" spans="2:10" ht="12.75">
      <c r="B36" s="6"/>
      <c r="C36" s="6"/>
      <c r="D36" s="6"/>
      <c r="E36" s="6"/>
      <c r="F36" s="6"/>
      <c r="G36" s="6"/>
      <c r="I36" s="4"/>
      <c r="J3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 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Cease</dc:creator>
  <cp:keywords/>
  <dc:description/>
  <cp:lastModifiedBy>Herman Cease</cp:lastModifiedBy>
  <cp:lastPrinted>2008-02-29T15:30:37Z</cp:lastPrinted>
  <dcterms:created xsi:type="dcterms:W3CDTF">2007-10-24T18:08:17Z</dcterms:created>
  <dcterms:modified xsi:type="dcterms:W3CDTF">2008-08-02T23:40:23Z</dcterms:modified>
  <cp:category/>
  <cp:version/>
  <cp:contentType/>
  <cp:contentStatus/>
</cp:coreProperties>
</file>