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30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<sst xmlns="http://schemas.openxmlformats.org/spreadsheetml/2006/main" count="289" uniqueCount="217">
  <si>
    <t>Calorimeter (WBS 1.2.3)</t>
  </si>
  <si>
    <t>Cost Estimate/Funding Profile</t>
  </si>
  <si>
    <t>Base</t>
  </si>
  <si>
    <t>Contingency</t>
  </si>
  <si>
    <t xml:space="preserve">Total </t>
  </si>
  <si>
    <t xml:space="preserve">EDIA </t>
  </si>
  <si>
    <t xml:space="preserve">Mfg. </t>
  </si>
  <si>
    <t>Mfg.</t>
  </si>
  <si>
    <t>Physicist</t>
  </si>
  <si>
    <t>Eng</t>
  </si>
  <si>
    <t>Admin.</t>
  </si>
  <si>
    <t>Designer</t>
  </si>
  <si>
    <t>Tech</t>
  </si>
  <si>
    <t xml:space="preserve">Rate </t>
  </si>
  <si>
    <t>WBS</t>
  </si>
  <si>
    <t xml:space="preserve">Cost </t>
  </si>
  <si>
    <t>%</t>
  </si>
  <si>
    <t>Cost</t>
  </si>
  <si>
    <t>Labor</t>
  </si>
  <si>
    <t>Matls</t>
  </si>
  <si>
    <t>FTE's</t>
  </si>
  <si>
    <t>Hrs</t>
  </si>
  <si>
    <t>Base Cost</t>
  </si>
  <si>
    <t>FY 2005</t>
  </si>
  <si>
    <t>FY 2006</t>
  </si>
  <si>
    <t>FY 2007</t>
  </si>
  <si>
    <t>FY 2008</t>
  </si>
  <si>
    <t>FY 2009</t>
  </si>
  <si>
    <t>Per Hour</t>
  </si>
  <si>
    <t>1.2.3</t>
  </si>
  <si>
    <t>Calorimeter System</t>
  </si>
  <si>
    <t>1.2.3.1</t>
  </si>
  <si>
    <t>System Prototype</t>
  </si>
  <si>
    <t>1.2.3.1.1</t>
  </si>
  <si>
    <t>Modules</t>
  </si>
  <si>
    <t>1.2.3.1.2</t>
  </si>
  <si>
    <t>APD Instrumentation</t>
  </si>
  <si>
    <t>1.2.3.1.3</t>
  </si>
  <si>
    <t>Mechanics</t>
  </si>
  <si>
    <t>1.2.3.1.4</t>
  </si>
  <si>
    <t xml:space="preserve">Cooling System </t>
  </si>
  <si>
    <t>1.2.3.1.5</t>
  </si>
  <si>
    <t>HV Control System</t>
  </si>
  <si>
    <t>1.2.3.1.6</t>
  </si>
  <si>
    <t>Cosmic Ray Pre-Callib System</t>
  </si>
  <si>
    <t>1.2.3.1.7</t>
  </si>
  <si>
    <t xml:space="preserve">Monitoring &amp; Calibration </t>
  </si>
  <si>
    <t>1.2.3.1.8</t>
  </si>
  <si>
    <t>Readout</t>
  </si>
  <si>
    <t>1.2.3.1.9</t>
  </si>
  <si>
    <t>Shipping</t>
  </si>
  <si>
    <t>1.2.3.1.10</t>
  </si>
  <si>
    <t>Test</t>
  </si>
  <si>
    <t>1.2.3.2</t>
  </si>
  <si>
    <t>Photon Calorimeter Production</t>
  </si>
  <si>
    <t>Engineer</t>
  </si>
  <si>
    <t>1.2.3.2.1</t>
  </si>
  <si>
    <t>Design</t>
  </si>
  <si>
    <t xml:space="preserve">Tech </t>
  </si>
  <si>
    <t>1.2.3.2.1.1</t>
  </si>
  <si>
    <t xml:space="preserve">   Conceptual Design</t>
  </si>
  <si>
    <t>hrs. per FTE</t>
  </si>
  <si>
    <t>1.2.3.2.1.2</t>
  </si>
  <si>
    <t xml:space="preserve">   Technical Design </t>
  </si>
  <si>
    <t>1.2.3.2.2</t>
  </si>
  <si>
    <t>Tools &amp; Test Equipment Modification</t>
  </si>
  <si>
    <t>1.2.3.2.2.1</t>
  </si>
  <si>
    <t xml:space="preserve">   Cosmic Ray Setup</t>
  </si>
  <si>
    <t>1.2.3.2.2.2</t>
  </si>
  <si>
    <t xml:space="preserve">   Molding Forms and Stamps</t>
  </si>
  <si>
    <t>1.2.3.2.3</t>
  </si>
  <si>
    <t>Module -Regular</t>
  </si>
  <si>
    <t>1.2.3.2.3.1</t>
  </si>
  <si>
    <t>Scintillator Tiles</t>
  </si>
  <si>
    <t>1.2.3.2.3.2</t>
  </si>
  <si>
    <t>Lead Tiles</t>
  </si>
  <si>
    <t>1.2.3.2.3.3</t>
  </si>
  <si>
    <t>WLS Fiber</t>
  </si>
  <si>
    <t>Mod. Units</t>
  </si>
  <si>
    <t>1.2.3.2.3.4</t>
  </si>
  <si>
    <t>Assembly</t>
  </si>
  <si>
    <t>1.2.3.2.3.5</t>
  </si>
  <si>
    <t>1.2.3.2.3.6</t>
  </si>
  <si>
    <t xml:space="preserve">Packing </t>
  </si>
  <si>
    <t>1.2.3.2.4</t>
  </si>
  <si>
    <t>Module Instrumentation</t>
  </si>
  <si>
    <t>1.2.3.2.4.1</t>
  </si>
  <si>
    <t>APD</t>
  </si>
  <si>
    <t xml:space="preserve">   Fabrication/Procurement</t>
  </si>
  <si>
    <t>1.2.3.2.4.2</t>
  </si>
  <si>
    <t>Preamplifier</t>
  </si>
  <si>
    <t>1.2.3.2.4.3</t>
  </si>
  <si>
    <t>LV-HV Converter</t>
  </si>
  <si>
    <t>1.2.3.2.4.4</t>
  </si>
  <si>
    <t>1.2.3.2.4.5</t>
  </si>
  <si>
    <t>1.2.3.2.4.6</t>
  </si>
  <si>
    <t>1.2.3.2.4.7</t>
  </si>
  <si>
    <t>1.2.3.2.5</t>
  </si>
  <si>
    <t>Cosmic Ray Test of Module/APD</t>
  </si>
  <si>
    <t>1.2.3.2.6</t>
  </si>
  <si>
    <t>Beam Line Modules</t>
  </si>
  <si>
    <t>1.2.3.2.7</t>
  </si>
  <si>
    <t>Photon Calorimeter Mechanics</t>
  </si>
  <si>
    <t>1.2.3.2.7.1</t>
  </si>
  <si>
    <t xml:space="preserve">   Design</t>
  </si>
  <si>
    <t>1.2.3.2.7.1.1</t>
  </si>
  <si>
    <t>1.2.3.2.7.1.2</t>
  </si>
  <si>
    <t>1.2.3.3</t>
  </si>
  <si>
    <t>Instrumentation</t>
  </si>
  <si>
    <t>1.2.3.3.1</t>
  </si>
  <si>
    <t>1.2.3.3.2</t>
  </si>
  <si>
    <t>Self-triggering Pre-calibration</t>
  </si>
  <si>
    <t>1.2.3.3.3</t>
  </si>
  <si>
    <t>Monitoring &amp; Calibration System</t>
  </si>
  <si>
    <t xml:space="preserve">   Prototype</t>
  </si>
  <si>
    <t>1.2.3.3.4</t>
  </si>
  <si>
    <t>Readout Electronics</t>
  </si>
  <si>
    <t>1.2.3.3.4.1</t>
  </si>
  <si>
    <t>WFD Boards</t>
  </si>
  <si>
    <t xml:space="preserve">   Test</t>
  </si>
  <si>
    <t>1.2.3.3.4.2</t>
  </si>
  <si>
    <t xml:space="preserve">Crate Data-Collection Boards </t>
  </si>
  <si>
    <t>1.2.3.3.4.3</t>
  </si>
  <si>
    <t>VXI Mainframes &amp; Controller</t>
  </si>
  <si>
    <t>1.2.3.4</t>
  </si>
  <si>
    <t>1.2.3.5</t>
  </si>
  <si>
    <t>Assembly &amp; Test</t>
  </si>
  <si>
    <t>1.2.3.5.1</t>
  </si>
  <si>
    <t xml:space="preserve">   Delivered Modules</t>
  </si>
  <si>
    <t>1.2.3.5.2</t>
  </si>
  <si>
    <t xml:space="preserve">   Cosmic Ray Test</t>
  </si>
  <si>
    <t>1.2.3.6</t>
  </si>
  <si>
    <t xml:space="preserve">Annual </t>
  </si>
  <si>
    <t>Phy.</t>
  </si>
  <si>
    <t>1.2.3.6.1</t>
  </si>
  <si>
    <t>Rate</t>
  </si>
  <si>
    <t>Fringe</t>
  </si>
  <si>
    <t>Org. Burden</t>
  </si>
  <si>
    <t xml:space="preserve">G&amp;A </t>
  </si>
  <si>
    <t>Composite</t>
  </si>
  <si>
    <t>1.2.3.6.2</t>
  </si>
  <si>
    <t xml:space="preserve">   Physicist</t>
  </si>
  <si>
    <t>FY 05$ in thousands</t>
  </si>
  <si>
    <t>Test APD</t>
  </si>
  <si>
    <t>Packing APD</t>
  </si>
  <si>
    <t>1.2.3.3.3.1</t>
  </si>
  <si>
    <t>1.2.3.3.3.3</t>
  </si>
  <si>
    <t>1.2.3.3.3.2</t>
  </si>
  <si>
    <t>1.2.3.3.4.1.3</t>
  </si>
  <si>
    <t>1.2.3.3.4.1.5</t>
  </si>
  <si>
    <t>1.2.3.3.4.2.3</t>
  </si>
  <si>
    <t>1.2.3.3.4.2.5</t>
  </si>
  <si>
    <t>1.2.3.3.5</t>
  </si>
  <si>
    <t>FY 2010</t>
  </si>
  <si>
    <t xml:space="preserve">   Travel</t>
  </si>
  <si>
    <t>Post Doc</t>
  </si>
  <si>
    <t>Rate per</t>
  </si>
  <si>
    <t>Hr.</t>
  </si>
  <si>
    <t>LV Power Supplies &amp; Electronic Racks</t>
  </si>
  <si>
    <t>Support Frame</t>
  </si>
  <si>
    <t>1.2.3.2.7.4</t>
  </si>
  <si>
    <t>1.2.3.2.7.4.1</t>
  </si>
  <si>
    <t>1.2.3.2.7.4.2</t>
  </si>
  <si>
    <t>Cooling System</t>
  </si>
  <si>
    <t>Railway System</t>
  </si>
  <si>
    <t>Assby. &amp; Service Tools</t>
  </si>
  <si>
    <t>1.2.3.3.4.4</t>
  </si>
  <si>
    <t>System Test</t>
  </si>
  <si>
    <t>Installation</t>
  </si>
  <si>
    <t xml:space="preserve">   Modules into Frame</t>
  </si>
  <si>
    <t xml:space="preserve">   Read-out Electronics</t>
  </si>
  <si>
    <t>1.2.3.7</t>
  </si>
  <si>
    <t>Cabling</t>
  </si>
  <si>
    <t xml:space="preserve">   LV-PS</t>
  </si>
  <si>
    <t xml:space="preserve">   HV-Control</t>
  </si>
  <si>
    <t xml:space="preserve">   Signal</t>
  </si>
  <si>
    <t xml:space="preserve">   Assembly &amp; Installation</t>
  </si>
  <si>
    <t>1.2.3.8</t>
  </si>
  <si>
    <t>Commissioning</t>
  </si>
  <si>
    <t>1.2.3.9</t>
  </si>
  <si>
    <t xml:space="preserve">   Monitoring &amp; Calibration System</t>
  </si>
  <si>
    <t>1.2.3.3.1.1</t>
  </si>
  <si>
    <t>1.2.3.3.1.2</t>
  </si>
  <si>
    <t>1.2.3.3.1.3</t>
  </si>
  <si>
    <t>1.2.3.3.2.1</t>
  </si>
  <si>
    <t>1.2.3.3.2.2</t>
  </si>
  <si>
    <t>1.2.3.3.2.3</t>
  </si>
  <si>
    <t>1.2.3.3.2.4</t>
  </si>
  <si>
    <t>1.2.3.3.1.4</t>
  </si>
  <si>
    <t xml:space="preserve">   44 VME Carriers</t>
  </si>
  <si>
    <t xml:space="preserve">   176 IP - DA Converters</t>
  </si>
  <si>
    <t xml:space="preserve">   4VME/VXI Mainframe</t>
  </si>
  <si>
    <t xml:space="preserve">   30 VME - LTD</t>
  </si>
  <si>
    <t xml:space="preserve">   6 VME - Trigger Logic</t>
  </si>
  <si>
    <t xml:space="preserve">   2 VME - Mainframe</t>
  </si>
  <si>
    <t xml:space="preserve"> </t>
  </si>
  <si>
    <t>IHEP</t>
  </si>
  <si>
    <t>Yale Univ</t>
  </si>
  <si>
    <t>Reseach Sci</t>
  </si>
  <si>
    <t>Scientist</t>
  </si>
  <si>
    <t>BNL</t>
  </si>
  <si>
    <t>1.2.3.7.1</t>
  </si>
  <si>
    <t>1.2.3.7.2</t>
  </si>
  <si>
    <t>1.2.3.7.3</t>
  </si>
  <si>
    <t>1.2.3.7.4</t>
  </si>
  <si>
    <t>Scientific &amp; Technical Support</t>
  </si>
  <si>
    <t>1.2.3.2.7.2</t>
  </si>
  <si>
    <t>1.2.3.2.7.2.1</t>
  </si>
  <si>
    <t>1.2.3.2.7.2.2</t>
  </si>
  <si>
    <t>1.2.3.2.7.3</t>
  </si>
  <si>
    <t>1.2.3.2.7.3.1</t>
  </si>
  <si>
    <t>1.2.3.2.7.3.2</t>
  </si>
  <si>
    <t>1.2.3.2.7.5</t>
  </si>
  <si>
    <t>Supervision &amp; Technical Control</t>
  </si>
  <si>
    <t>1.2.3.6.3</t>
  </si>
  <si>
    <t>Y</t>
  </si>
  <si>
    <t>Yale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</si>
</sst>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u val="single"/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10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8"/>
  <sheetViews>
    <sheetView tabSelected="1" workbookViewId="0" topLeftCell="A1">
      <selection activeCell="AC16" sqref="AC16"/>
    </sheetView>
  </sheetViews>
  <sheetFormatPr defaultColWidth="9.140625" defaultRowHeight="12.75"/>
  <cols>
    <col min="1" max="1" width="14.140625" style="0" customWidth="1"/>
    <col min="5" max="5" width="9.140625" style="2" customWidth="1"/>
    <col min="6" max="6" width="10.28125" style="3" customWidth="1"/>
    <col min="7" max="7" width="10.140625" style="25" customWidth="1"/>
    <col min="8" max="8" width="9.140625" style="2" customWidth="1"/>
    <col min="9" max="12" width="9.140625" style="4" customWidth="1"/>
    <col min="13" max="13" width="9.140625" style="5" customWidth="1"/>
    <col min="14" max="14" width="9.140625" style="6" customWidth="1"/>
    <col min="15" max="15" width="9.140625" style="4" customWidth="1"/>
    <col min="16" max="16" width="9.140625" style="6" customWidth="1"/>
    <col min="17" max="17" width="9.140625" style="4" customWidth="1"/>
    <col min="18" max="18" width="9.140625" style="6" customWidth="1"/>
    <col min="19" max="19" width="9.140625" style="4" customWidth="1"/>
    <col min="20" max="20" width="9.140625" style="6" customWidth="1"/>
    <col min="21" max="21" width="9.140625" style="4" customWidth="1"/>
    <col min="22" max="22" width="9.140625" style="6" customWidth="1"/>
    <col min="23" max="23" width="9.140625" style="4" customWidth="1"/>
    <col min="24" max="24" width="9.140625" style="2" customWidth="1"/>
    <col min="25" max="30" width="9.140625" style="4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142</v>
      </c>
    </row>
    <row r="6" spans="5:32" ht="12.75">
      <c r="E6" s="7" t="s">
        <v>2</v>
      </c>
      <c r="F6" s="8"/>
      <c r="G6" s="26" t="s">
        <v>3</v>
      </c>
      <c r="H6" s="7" t="s">
        <v>4</v>
      </c>
      <c r="I6" s="9" t="s">
        <v>5</v>
      </c>
      <c r="J6" s="9" t="s">
        <v>6</v>
      </c>
      <c r="K6" s="9" t="s">
        <v>5</v>
      </c>
      <c r="L6" s="9" t="s">
        <v>7</v>
      </c>
      <c r="M6" s="10" t="s">
        <v>4</v>
      </c>
      <c r="N6" s="11" t="s">
        <v>8</v>
      </c>
      <c r="O6" s="9"/>
      <c r="P6" s="11" t="s">
        <v>9</v>
      </c>
      <c r="Q6" s="9"/>
      <c r="R6" s="11" t="s">
        <v>10</v>
      </c>
      <c r="S6" s="9"/>
      <c r="T6" s="11" t="s">
        <v>11</v>
      </c>
      <c r="U6" s="9"/>
      <c r="V6" s="11" t="s">
        <v>12</v>
      </c>
      <c r="W6" s="9"/>
      <c r="X6" s="7" t="s">
        <v>4</v>
      </c>
      <c r="AE6" t="s">
        <v>8</v>
      </c>
      <c r="AF6" s="1" t="s">
        <v>13</v>
      </c>
    </row>
    <row r="7" spans="1:32" ht="12.75">
      <c r="A7" s="12" t="s">
        <v>14</v>
      </c>
      <c r="E7" s="13" t="s">
        <v>15</v>
      </c>
      <c r="F7" s="14" t="s">
        <v>3</v>
      </c>
      <c r="G7" s="27" t="s">
        <v>16</v>
      </c>
      <c r="H7" s="13" t="s">
        <v>17</v>
      </c>
      <c r="I7" s="13" t="s">
        <v>18</v>
      </c>
      <c r="J7" s="13" t="s">
        <v>18</v>
      </c>
      <c r="K7" s="13" t="s">
        <v>19</v>
      </c>
      <c r="L7" s="13" t="s">
        <v>19</v>
      </c>
      <c r="M7" s="15" t="s">
        <v>20</v>
      </c>
      <c r="N7" s="15" t="s">
        <v>20</v>
      </c>
      <c r="O7" s="13" t="s">
        <v>21</v>
      </c>
      <c r="P7" s="15" t="s">
        <v>20</v>
      </c>
      <c r="Q7" s="13" t="s">
        <v>21</v>
      </c>
      <c r="R7" s="15" t="s">
        <v>20</v>
      </c>
      <c r="S7" s="13" t="s">
        <v>21</v>
      </c>
      <c r="T7" s="15" t="s">
        <v>20</v>
      </c>
      <c r="U7" s="13" t="s">
        <v>21</v>
      </c>
      <c r="V7" s="15" t="s">
        <v>20</v>
      </c>
      <c r="W7" s="13" t="s">
        <v>21</v>
      </c>
      <c r="X7" s="13" t="s">
        <v>22</v>
      </c>
      <c r="Y7" s="13" t="s">
        <v>23</v>
      </c>
      <c r="Z7" s="13" t="s">
        <v>24</v>
      </c>
      <c r="AA7" s="13" t="s">
        <v>25</v>
      </c>
      <c r="AB7" s="13" t="s">
        <v>26</v>
      </c>
      <c r="AC7" s="13" t="s">
        <v>27</v>
      </c>
      <c r="AD7" s="13" t="s">
        <v>153</v>
      </c>
      <c r="AE7" s="13" t="s">
        <v>17</v>
      </c>
      <c r="AF7" s="13" t="s">
        <v>28</v>
      </c>
    </row>
    <row r="8" spans="1:34" ht="12.75">
      <c r="A8" s="16" t="s">
        <v>29</v>
      </c>
      <c r="B8" t="s">
        <v>30</v>
      </c>
      <c r="E8" s="2">
        <f>E10+E23+E76+E111+E113+E117+E122+E128+E130-2</f>
        <v>7867.59220225</v>
      </c>
      <c r="F8" s="2">
        <v>0</v>
      </c>
      <c r="G8" s="28">
        <f>F8/E8</f>
        <v>0</v>
      </c>
      <c r="H8" s="2">
        <f>H10+H23+H76+H111+H113+H117+H122+H128+H130-2</f>
        <v>7867.59220225</v>
      </c>
      <c r="I8" s="2">
        <f aca="true" t="shared" si="0" ref="I8:AD8">I10+I23+I76+I111+I113+I117+I122+I128+I130</f>
        <v>1151.47644225</v>
      </c>
      <c r="J8" s="2">
        <f t="shared" si="0"/>
        <v>2241.9519999999998</v>
      </c>
      <c r="K8" s="2">
        <f t="shared" si="0"/>
        <v>0</v>
      </c>
      <c r="L8" s="2">
        <f t="shared" si="0"/>
        <v>4475.1637599999995</v>
      </c>
      <c r="M8" s="5">
        <f t="shared" si="0"/>
        <v>108.62299558080807</v>
      </c>
      <c r="N8" s="5">
        <f t="shared" si="0"/>
        <v>30.249999999999996</v>
      </c>
      <c r="O8" s="2">
        <f t="shared" si="0"/>
        <v>52360</v>
      </c>
      <c r="P8" s="5">
        <f t="shared" si="0"/>
        <v>5.647045454545455</v>
      </c>
      <c r="Q8" s="2">
        <f t="shared" si="0"/>
        <v>9935.599999999999</v>
      </c>
      <c r="R8" s="5">
        <f t="shared" si="0"/>
        <v>0</v>
      </c>
      <c r="S8" s="2">
        <f t="shared" si="0"/>
        <v>0</v>
      </c>
      <c r="T8" s="5">
        <f t="shared" si="0"/>
        <v>3.664545454545454</v>
      </c>
      <c r="U8" s="2">
        <f t="shared" si="0"/>
        <v>6432</v>
      </c>
      <c r="V8" s="5">
        <f t="shared" si="0"/>
        <v>69.06140467171717</v>
      </c>
      <c r="W8" s="2">
        <f t="shared" si="0"/>
        <v>121565.67222222223</v>
      </c>
      <c r="X8" s="2">
        <f>X10+X23+X76+X111+X113+X117+X122+X128+X130</f>
        <v>7868.38204225</v>
      </c>
      <c r="Y8" s="2">
        <f t="shared" si="0"/>
        <v>441.23034037499997</v>
      </c>
      <c r="Z8" s="2">
        <f t="shared" si="0"/>
        <v>2343.230340375</v>
      </c>
      <c r="AA8" s="2">
        <f t="shared" si="0"/>
        <v>3085.230340375</v>
      </c>
      <c r="AB8" s="2">
        <f t="shared" si="0"/>
        <v>1680.230340375</v>
      </c>
      <c r="AC8" s="2">
        <f t="shared" si="0"/>
        <v>176.230340375</v>
      </c>
      <c r="AD8" s="2">
        <f t="shared" si="0"/>
        <v>142.230340375</v>
      </c>
      <c r="AE8" s="2">
        <f>AE10+AE23+AE76+AE111+AE113+AE117+AE122+AE128+AE130</f>
        <v>1409.9184</v>
      </c>
      <c r="AG8" t="s">
        <v>216</v>
      </c>
      <c r="AH8" s="4">
        <f>AE21+AE82+AE88+AE107+AE114+AE115+AE118+AE119+AE120+AE128</f>
        <v>1034.4048</v>
      </c>
    </row>
    <row r="9" spans="1:34" ht="12.75">
      <c r="A9" s="16"/>
      <c r="F9" s="2"/>
      <c r="G9" s="28"/>
      <c r="I9" s="2"/>
      <c r="J9" s="2"/>
      <c r="K9" s="2"/>
      <c r="L9" s="2"/>
      <c r="N9" s="5"/>
      <c r="O9" s="2"/>
      <c r="P9" s="5"/>
      <c r="Q9" s="2"/>
      <c r="R9" s="5"/>
      <c r="S9" s="2"/>
      <c r="T9" s="5"/>
      <c r="U9" s="2"/>
      <c r="V9" s="5"/>
      <c r="W9" s="2"/>
      <c r="Y9" s="2"/>
      <c r="Z9" s="2"/>
      <c r="AA9" s="2"/>
      <c r="AB9" s="2"/>
      <c r="AC9" s="2"/>
      <c r="AD9" s="2"/>
      <c r="AG9" t="s">
        <v>196</v>
      </c>
      <c r="AH9" s="4">
        <f>AE39+AE49+AE52+AE54+AE74+AE93</f>
        <v>375.5136</v>
      </c>
    </row>
    <row r="10" spans="1:31" ht="12.75">
      <c r="A10" s="16" t="s">
        <v>31</v>
      </c>
      <c r="B10" s="17" t="s">
        <v>32</v>
      </c>
      <c r="C10" s="17"/>
      <c r="D10" s="17"/>
      <c r="E10" s="2">
        <f>E12+E13+E14+E15+E16+E17+E18+E19+E20+E21</f>
        <v>359.68</v>
      </c>
      <c r="F10" s="2">
        <f aca="true" t="shared" si="1" ref="F10:AE10">F12+F13+F14+F15+F16+F17+F18+F19+F20+F21</f>
        <v>0</v>
      </c>
      <c r="G10" s="28">
        <f>F10/E10</f>
        <v>0</v>
      </c>
      <c r="H10" s="2">
        <f t="shared" si="1"/>
        <v>359.68</v>
      </c>
      <c r="I10" s="2">
        <f t="shared" si="1"/>
        <v>41.68</v>
      </c>
      <c r="J10" s="2">
        <f t="shared" si="1"/>
        <v>92</v>
      </c>
      <c r="K10" s="2">
        <f t="shared" si="1"/>
        <v>0</v>
      </c>
      <c r="L10" s="2">
        <f t="shared" si="1"/>
        <v>226</v>
      </c>
      <c r="M10" s="5">
        <f t="shared" si="1"/>
        <v>5.439207702020202</v>
      </c>
      <c r="N10" s="5">
        <f t="shared" si="1"/>
        <v>2.5</v>
      </c>
      <c r="O10" s="2">
        <f t="shared" si="1"/>
        <v>4400</v>
      </c>
      <c r="P10" s="5">
        <f t="shared" si="1"/>
        <v>0.12</v>
      </c>
      <c r="Q10" s="2">
        <f t="shared" si="1"/>
        <v>211.2</v>
      </c>
      <c r="R10" s="5">
        <f t="shared" si="1"/>
        <v>0</v>
      </c>
      <c r="S10" s="2">
        <f t="shared" si="1"/>
        <v>0</v>
      </c>
      <c r="T10" s="5">
        <f>T12+T13+T14+T15+T16+T17+T18+T19+T20+T21+0.01</f>
        <v>0.15204545454545454</v>
      </c>
      <c r="U10" s="2">
        <f t="shared" si="1"/>
        <v>250</v>
      </c>
      <c r="V10" s="5">
        <f t="shared" si="1"/>
        <v>2.677162247474748</v>
      </c>
      <c r="W10" s="2">
        <f t="shared" si="1"/>
        <v>4711.805555555556</v>
      </c>
      <c r="X10" s="2">
        <f t="shared" si="1"/>
        <v>360</v>
      </c>
      <c r="Y10" s="2">
        <f t="shared" si="1"/>
        <v>257</v>
      </c>
      <c r="Z10" s="2">
        <f t="shared" si="1"/>
        <v>103</v>
      </c>
      <c r="AA10" s="2">
        <f t="shared" si="1"/>
        <v>0</v>
      </c>
      <c r="AB10" s="2">
        <f t="shared" si="1"/>
        <v>0</v>
      </c>
      <c r="AC10" s="2">
        <f t="shared" si="1"/>
        <v>0</v>
      </c>
      <c r="AD10" s="2">
        <f t="shared" si="1"/>
        <v>0</v>
      </c>
      <c r="AE10" s="2">
        <f t="shared" si="1"/>
        <v>145.2</v>
      </c>
    </row>
    <row r="11" spans="1:30" ht="12.75">
      <c r="A11" s="16"/>
      <c r="B11" s="17"/>
      <c r="C11" s="17"/>
      <c r="D11" s="17"/>
      <c r="F11" s="2"/>
      <c r="G11" s="28"/>
      <c r="I11" s="2"/>
      <c r="J11" s="2"/>
      <c r="K11" s="2"/>
      <c r="L11" s="2"/>
      <c r="N11" s="5"/>
      <c r="O11" s="2"/>
      <c r="P11" s="5"/>
      <c r="Q11" s="2"/>
      <c r="R11" s="5"/>
      <c r="S11" s="2"/>
      <c r="T11" s="5"/>
      <c r="U11" s="2"/>
      <c r="V11" s="5"/>
      <c r="W11" s="2"/>
      <c r="Y11" s="2"/>
      <c r="Z11" s="2"/>
      <c r="AA11" s="2"/>
      <c r="AB11" s="2"/>
      <c r="AC11" s="2"/>
      <c r="AD11" s="2"/>
    </row>
    <row r="12" spans="1:31" ht="12.75">
      <c r="A12" s="16" t="s">
        <v>33</v>
      </c>
      <c r="B12" s="17" t="s">
        <v>34</v>
      </c>
      <c r="C12" s="17"/>
      <c r="D12" s="17"/>
      <c r="E12" s="2">
        <f aca="true" t="shared" si="2" ref="E12:E20">SUM(I12:L12)</f>
        <v>75</v>
      </c>
      <c r="F12" s="3">
        <f aca="true" t="shared" si="3" ref="F12:F20">E12*G12</f>
        <v>0</v>
      </c>
      <c r="G12" s="29"/>
      <c r="H12" s="2">
        <f aca="true" t="shared" si="4" ref="H12:H20">SUM(E12:F12)</f>
        <v>75</v>
      </c>
      <c r="I12" s="18"/>
      <c r="J12" s="18">
        <v>41</v>
      </c>
      <c r="K12" s="18"/>
      <c r="L12" s="18">
        <v>34</v>
      </c>
      <c r="M12" s="5">
        <f aca="true" t="shared" si="5" ref="M12:M20">N12+P12+R12+T12+V12</f>
        <v>1.2941919191919191</v>
      </c>
      <c r="N12" s="19"/>
      <c r="O12" s="18"/>
      <c r="P12" s="19"/>
      <c r="Q12" s="18"/>
      <c r="R12" s="19"/>
      <c r="S12" s="18"/>
      <c r="T12" s="19"/>
      <c r="U12" s="18"/>
      <c r="V12" s="19">
        <f>J12/$AG$25/1.76</f>
        <v>1.2941919191919191</v>
      </c>
      <c r="W12" s="18">
        <f aca="true" t="shared" si="6" ref="W12:W21">V12*AG$26</f>
        <v>2277.777777777778</v>
      </c>
      <c r="X12" s="2">
        <f>SUM(Y12:AB12)</f>
        <v>75</v>
      </c>
      <c r="Y12" s="18">
        <v>75</v>
      </c>
      <c r="Z12" s="18"/>
      <c r="AA12" s="18"/>
      <c r="AB12" s="18"/>
      <c r="AC12" s="18"/>
      <c r="AD12" s="18"/>
      <c r="AE12" s="20"/>
    </row>
    <row r="13" spans="1:31" ht="12.75">
      <c r="A13" s="16" t="s">
        <v>35</v>
      </c>
      <c r="B13" s="17" t="s">
        <v>36</v>
      </c>
      <c r="C13" s="17"/>
      <c r="D13" s="17"/>
      <c r="E13" s="2">
        <f t="shared" si="2"/>
        <v>123</v>
      </c>
      <c r="F13" s="3">
        <f t="shared" si="3"/>
        <v>0</v>
      </c>
      <c r="G13" s="29"/>
      <c r="H13" s="2">
        <f t="shared" si="4"/>
        <v>123</v>
      </c>
      <c r="I13" s="18"/>
      <c r="J13" s="18">
        <v>11</v>
      </c>
      <c r="K13" s="18"/>
      <c r="L13" s="18">
        <v>112</v>
      </c>
      <c r="M13" s="5">
        <f t="shared" si="5"/>
        <v>0.34722222222222227</v>
      </c>
      <c r="N13" s="19"/>
      <c r="O13" s="18"/>
      <c r="P13" s="19"/>
      <c r="Q13" s="18"/>
      <c r="R13" s="19"/>
      <c r="S13" s="18"/>
      <c r="T13" s="19"/>
      <c r="U13" s="18"/>
      <c r="V13" s="19">
        <f>J13/$AG$25/1.76</f>
        <v>0.34722222222222227</v>
      </c>
      <c r="W13" s="18">
        <f t="shared" si="6"/>
        <v>611.1111111111112</v>
      </c>
      <c r="X13" s="2">
        <f>SUM(Y13:AB13)</f>
        <v>123</v>
      </c>
      <c r="Y13" s="18">
        <v>123</v>
      </c>
      <c r="Z13" s="18"/>
      <c r="AA13" s="18"/>
      <c r="AB13" s="18"/>
      <c r="AC13" s="18"/>
      <c r="AD13" s="18"/>
      <c r="AE13" s="20"/>
    </row>
    <row r="14" spans="1:26" ht="12.75">
      <c r="A14" s="16" t="s">
        <v>37</v>
      </c>
      <c r="B14" s="17" t="s">
        <v>38</v>
      </c>
      <c r="C14" s="17"/>
      <c r="D14" s="17"/>
      <c r="E14" s="2">
        <f t="shared" si="2"/>
        <v>29</v>
      </c>
      <c r="F14" s="3">
        <f t="shared" si="3"/>
        <v>0</v>
      </c>
      <c r="G14" s="29"/>
      <c r="H14" s="2">
        <f t="shared" si="4"/>
        <v>29</v>
      </c>
      <c r="I14" s="18">
        <v>3</v>
      </c>
      <c r="J14" s="18">
        <v>13</v>
      </c>
      <c r="K14" s="4">
        <v>0</v>
      </c>
      <c r="L14" s="18">
        <v>13</v>
      </c>
      <c r="M14" s="5">
        <f t="shared" si="5"/>
        <v>0.49558080808080807</v>
      </c>
      <c r="T14" s="19">
        <f>I14/$AG$24/1.76</f>
        <v>0.08522727272727272</v>
      </c>
      <c r="U14" s="18">
        <f>T14*AG$26</f>
        <v>150</v>
      </c>
      <c r="V14" s="19">
        <f aca="true" t="shared" si="7" ref="V14:V20">J14/$AG$25/1.76</f>
        <v>0.41035353535353536</v>
      </c>
      <c r="W14" s="18">
        <f t="shared" si="6"/>
        <v>722.2222222222223</v>
      </c>
      <c r="X14" s="2">
        <f>SUM(Y14:AB14)</f>
        <v>29</v>
      </c>
      <c r="Y14" s="4">
        <v>0</v>
      </c>
      <c r="Z14" s="18">
        <v>29</v>
      </c>
    </row>
    <row r="15" spans="1:31" ht="12.75">
      <c r="A15" s="16" t="s">
        <v>39</v>
      </c>
      <c r="B15" s="17" t="s">
        <v>40</v>
      </c>
      <c r="C15" s="17"/>
      <c r="D15" s="17"/>
      <c r="E15" s="2">
        <f t="shared" si="2"/>
        <v>14</v>
      </c>
      <c r="F15" s="3">
        <f t="shared" si="3"/>
        <v>0</v>
      </c>
      <c r="G15" s="29"/>
      <c r="H15" s="2">
        <f t="shared" si="4"/>
        <v>14</v>
      </c>
      <c r="I15" s="18">
        <v>2</v>
      </c>
      <c r="J15" s="18">
        <v>5</v>
      </c>
      <c r="K15" s="18"/>
      <c r="L15" s="18">
        <v>7</v>
      </c>
      <c r="M15" s="5">
        <f t="shared" si="5"/>
        <v>0.21464646464646467</v>
      </c>
      <c r="N15" s="19"/>
      <c r="O15" s="18"/>
      <c r="P15" s="19"/>
      <c r="Q15" s="18"/>
      <c r="R15" s="19"/>
      <c r="S15" s="18"/>
      <c r="T15" s="19">
        <f>I15/$AG$24/1.76</f>
        <v>0.05681818181818182</v>
      </c>
      <c r="U15" s="18">
        <f>T15*AG$26</f>
        <v>100.00000000000001</v>
      </c>
      <c r="V15" s="19">
        <f t="shared" si="7"/>
        <v>0.15782828282828285</v>
      </c>
      <c r="W15" s="18">
        <f t="shared" si="6"/>
        <v>277.7777777777778</v>
      </c>
      <c r="X15" s="2">
        <f>SUM(Z15:AB15)</f>
        <v>14</v>
      </c>
      <c r="Y15" s="20">
        <v>0</v>
      </c>
      <c r="Z15" s="18">
        <v>14</v>
      </c>
      <c r="AA15" s="18"/>
      <c r="AB15" s="18"/>
      <c r="AC15" s="18"/>
      <c r="AD15" s="18"/>
      <c r="AE15" s="20"/>
    </row>
    <row r="16" spans="1:25" ht="12.75">
      <c r="A16" s="16" t="s">
        <v>41</v>
      </c>
      <c r="B16" s="17" t="s">
        <v>42</v>
      </c>
      <c r="C16" s="17"/>
      <c r="D16" s="17"/>
      <c r="E16" s="2">
        <f t="shared" si="2"/>
        <v>16</v>
      </c>
      <c r="F16" s="3">
        <f t="shared" si="3"/>
        <v>0</v>
      </c>
      <c r="G16" s="29"/>
      <c r="H16" s="2">
        <f t="shared" si="4"/>
        <v>16</v>
      </c>
      <c r="L16" s="18">
        <v>16</v>
      </c>
      <c r="M16" s="5">
        <f t="shared" si="5"/>
        <v>0</v>
      </c>
      <c r="V16" s="19">
        <f t="shared" si="7"/>
        <v>0</v>
      </c>
      <c r="W16" s="18">
        <f t="shared" si="6"/>
        <v>0</v>
      </c>
      <c r="X16" s="2">
        <f aca="true" t="shared" si="8" ref="X16:X21">SUM(Y16:AB16)</f>
        <v>16</v>
      </c>
      <c r="Y16" s="18">
        <v>16</v>
      </c>
    </row>
    <row r="17" spans="1:25" ht="12.75">
      <c r="A17" s="16" t="s">
        <v>43</v>
      </c>
      <c r="B17" t="s">
        <v>44</v>
      </c>
      <c r="C17" s="17"/>
      <c r="D17" s="17"/>
      <c r="E17" s="2">
        <f t="shared" si="2"/>
        <v>10</v>
      </c>
      <c r="F17" s="3">
        <f t="shared" si="3"/>
        <v>0</v>
      </c>
      <c r="G17" s="29"/>
      <c r="H17" s="2">
        <f t="shared" si="4"/>
        <v>10</v>
      </c>
      <c r="I17" s="18">
        <v>5</v>
      </c>
      <c r="J17" s="18">
        <v>5</v>
      </c>
      <c r="K17" s="18"/>
      <c r="L17" s="18">
        <v>0</v>
      </c>
      <c r="M17" s="5">
        <f t="shared" si="5"/>
        <v>0.27782828282828287</v>
      </c>
      <c r="P17" s="19">
        <v>0.12</v>
      </c>
      <c r="Q17" s="18">
        <f>P17*AG$26</f>
        <v>211.2</v>
      </c>
      <c r="T17" s="19">
        <v>0</v>
      </c>
      <c r="U17" s="18">
        <f>T17*AG$26</f>
        <v>0</v>
      </c>
      <c r="V17" s="19">
        <f t="shared" si="7"/>
        <v>0.15782828282828285</v>
      </c>
      <c r="W17" s="18">
        <f t="shared" si="6"/>
        <v>277.7777777777778</v>
      </c>
      <c r="X17" s="2">
        <f t="shared" si="8"/>
        <v>10</v>
      </c>
      <c r="Y17" s="18">
        <v>10</v>
      </c>
    </row>
    <row r="18" spans="1:25" ht="12.75">
      <c r="A18" s="16" t="s">
        <v>45</v>
      </c>
      <c r="B18" t="s">
        <v>46</v>
      </c>
      <c r="C18" s="17"/>
      <c r="D18" s="17"/>
      <c r="E18" s="2">
        <f t="shared" si="2"/>
        <v>13</v>
      </c>
      <c r="F18" s="3">
        <f t="shared" si="3"/>
        <v>0</v>
      </c>
      <c r="G18" s="29"/>
      <c r="H18" s="2">
        <f t="shared" si="4"/>
        <v>13</v>
      </c>
      <c r="I18" s="18"/>
      <c r="J18" s="18">
        <v>7</v>
      </c>
      <c r="K18" s="18"/>
      <c r="L18" s="18">
        <v>6</v>
      </c>
      <c r="M18" s="5">
        <f t="shared" si="5"/>
        <v>0.22095959595959597</v>
      </c>
      <c r="V18" s="19">
        <f t="shared" si="7"/>
        <v>0.22095959595959597</v>
      </c>
      <c r="W18" s="18">
        <f t="shared" si="6"/>
        <v>388.8888888888889</v>
      </c>
      <c r="X18" s="2">
        <f t="shared" si="8"/>
        <v>13</v>
      </c>
      <c r="Y18" s="18">
        <v>13</v>
      </c>
    </row>
    <row r="19" spans="1:36" ht="12.75">
      <c r="A19" s="16" t="s">
        <v>47</v>
      </c>
      <c r="B19" s="17" t="s">
        <v>48</v>
      </c>
      <c r="C19" s="17"/>
      <c r="D19" s="17"/>
      <c r="E19" s="2">
        <f t="shared" si="2"/>
        <v>23</v>
      </c>
      <c r="F19" s="3">
        <f t="shared" si="3"/>
        <v>0</v>
      </c>
      <c r="G19" s="29"/>
      <c r="H19" s="2">
        <f t="shared" si="4"/>
        <v>23</v>
      </c>
      <c r="L19" s="18">
        <v>23</v>
      </c>
      <c r="M19" s="5">
        <f t="shared" si="5"/>
        <v>0</v>
      </c>
      <c r="V19" s="19">
        <f t="shared" si="7"/>
        <v>0</v>
      </c>
      <c r="W19" s="18">
        <f t="shared" si="6"/>
        <v>0</v>
      </c>
      <c r="X19" s="2">
        <f t="shared" si="8"/>
        <v>23</v>
      </c>
      <c r="Y19" s="18">
        <v>15</v>
      </c>
      <c r="Z19" s="18">
        <v>8</v>
      </c>
      <c r="AG19" s="12" t="s">
        <v>196</v>
      </c>
      <c r="AH19" s="12" t="s">
        <v>197</v>
      </c>
      <c r="AJ19" t="s">
        <v>200</v>
      </c>
    </row>
    <row r="20" spans="1:33" ht="12.75">
      <c r="A20" s="16" t="s">
        <v>49</v>
      </c>
      <c r="B20" s="17" t="s">
        <v>50</v>
      </c>
      <c r="C20" s="17"/>
      <c r="D20" s="17"/>
      <c r="E20" s="2">
        <f t="shared" si="2"/>
        <v>10</v>
      </c>
      <c r="F20" s="3">
        <f t="shared" si="3"/>
        <v>0</v>
      </c>
      <c r="G20" s="29"/>
      <c r="H20" s="2">
        <f t="shared" si="4"/>
        <v>10</v>
      </c>
      <c r="L20" s="18">
        <v>10</v>
      </c>
      <c r="M20" s="5">
        <f t="shared" si="5"/>
        <v>0</v>
      </c>
      <c r="V20" s="19">
        <f t="shared" si="7"/>
        <v>0</v>
      </c>
      <c r="W20" s="18">
        <f t="shared" si="6"/>
        <v>0</v>
      </c>
      <c r="X20" s="2">
        <f t="shared" si="8"/>
        <v>10</v>
      </c>
      <c r="Y20" s="18">
        <v>5</v>
      </c>
      <c r="Z20" s="18">
        <v>5</v>
      </c>
      <c r="AG20" s="24" t="s">
        <v>156</v>
      </c>
    </row>
    <row r="21" spans="1:35" ht="12.75">
      <c r="A21" s="16" t="s">
        <v>51</v>
      </c>
      <c r="B21" s="17" t="s">
        <v>52</v>
      </c>
      <c r="C21" s="17"/>
      <c r="D21" s="17"/>
      <c r="E21" s="2">
        <f>SUM(I21:L21)</f>
        <v>46.68</v>
      </c>
      <c r="F21" s="3">
        <f>E21*G21</f>
        <v>0</v>
      </c>
      <c r="G21" s="29"/>
      <c r="H21" s="2">
        <f>SUM(E21:F21)</f>
        <v>46.68</v>
      </c>
      <c r="I21" s="18">
        <f>1*1760*AG22/1000</f>
        <v>31.68</v>
      </c>
      <c r="J21" s="18">
        <v>10</v>
      </c>
      <c r="K21" s="18"/>
      <c r="L21" s="18">
        <v>5</v>
      </c>
      <c r="M21" s="5">
        <f>N21+P21+R21+T21+V21</f>
        <v>2.588778409090909</v>
      </c>
      <c r="N21" s="19">
        <v>2.5</v>
      </c>
      <c r="O21" s="18">
        <f>N21*AG$26</f>
        <v>4400</v>
      </c>
      <c r="P21" s="19"/>
      <c r="Q21" s="18">
        <f>P21*AG$26</f>
        <v>0</v>
      </c>
      <c r="R21" s="19">
        <v>0</v>
      </c>
      <c r="S21" s="18">
        <v>0</v>
      </c>
      <c r="T21" s="19"/>
      <c r="U21" s="18">
        <v>0</v>
      </c>
      <c r="V21" s="19">
        <f>J21/$AJ$25/1.76</f>
        <v>0.08877840909090909</v>
      </c>
      <c r="W21" s="18">
        <f t="shared" si="6"/>
        <v>156.25</v>
      </c>
      <c r="X21" s="2">
        <f t="shared" si="8"/>
        <v>47</v>
      </c>
      <c r="Y21" s="18">
        <v>0</v>
      </c>
      <c r="Z21" s="18">
        <v>47</v>
      </c>
      <c r="AA21" s="18"/>
      <c r="AB21" s="18"/>
      <c r="AC21" s="18"/>
      <c r="AD21" s="18"/>
      <c r="AE21" s="18">
        <f>1.5*1760*AH21/1000</f>
        <v>145.2</v>
      </c>
      <c r="AF21" t="s">
        <v>215</v>
      </c>
      <c r="AG21" s="23" t="s">
        <v>157</v>
      </c>
      <c r="AH21">
        <v>55</v>
      </c>
      <c r="AI21" t="s">
        <v>198</v>
      </c>
    </row>
    <row r="22" spans="32:36" ht="12.75">
      <c r="AF22" t="s">
        <v>155</v>
      </c>
      <c r="AG22">
        <v>18</v>
      </c>
      <c r="AH22">
        <v>50</v>
      </c>
      <c r="AI22" t="s">
        <v>199</v>
      </c>
      <c r="AJ22">
        <v>91</v>
      </c>
    </row>
    <row r="23" spans="1:36" ht="12.75">
      <c r="A23" s="16" t="s">
        <v>53</v>
      </c>
      <c r="B23" s="17" t="s">
        <v>54</v>
      </c>
      <c r="C23" s="17"/>
      <c r="D23" s="17"/>
      <c r="E23" s="2">
        <f>E25+E29+E33+E42+E52+E54+E56</f>
        <v>4414.86456</v>
      </c>
      <c r="F23" s="2">
        <f>F25+F29+F33+F42+F52+F54+F56</f>
        <v>0</v>
      </c>
      <c r="G23" s="28">
        <f>F23/E23</f>
        <v>0</v>
      </c>
      <c r="H23" s="2">
        <f>H25+H29+H33+H42+H52+H54+H56</f>
        <v>4414.86456</v>
      </c>
      <c r="I23" s="2">
        <f aca="true" t="shared" si="9" ref="I23:AE23">I25+I29+I33+I42+I52+I54+I56</f>
        <v>113.08</v>
      </c>
      <c r="J23" s="2">
        <f t="shared" si="9"/>
        <v>1760.6208</v>
      </c>
      <c r="K23" s="2">
        <f t="shared" si="9"/>
        <v>0</v>
      </c>
      <c r="L23" s="2">
        <f t="shared" si="9"/>
        <v>2539.16376</v>
      </c>
      <c r="M23" s="5">
        <f t="shared" si="9"/>
        <v>68.3715909090909</v>
      </c>
      <c r="N23" s="5">
        <f t="shared" si="9"/>
        <v>6.26</v>
      </c>
      <c r="O23" s="2">
        <f t="shared" si="9"/>
        <v>10137.599999999999</v>
      </c>
      <c r="P23" s="5">
        <f t="shared" si="9"/>
        <v>3.023939393939394</v>
      </c>
      <c r="Q23" s="2">
        <f t="shared" si="9"/>
        <v>5322.133333333333</v>
      </c>
      <c r="R23" s="5">
        <f t="shared" si="9"/>
        <v>0</v>
      </c>
      <c r="S23" s="2">
        <f t="shared" si="9"/>
        <v>0</v>
      </c>
      <c r="T23" s="5">
        <f t="shared" si="9"/>
        <v>3.5124999999999997</v>
      </c>
      <c r="U23" s="2">
        <f t="shared" si="9"/>
        <v>6182</v>
      </c>
      <c r="V23" s="5">
        <f t="shared" si="9"/>
        <v>55.575151515151504</v>
      </c>
      <c r="W23" s="2">
        <f t="shared" si="9"/>
        <v>97812.26666666666</v>
      </c>
      <c r="X23" s="2">
        <f t="shared" si="9"/>
        <v>4414</v>
      </c>
      <c r="Y23" s="2">
        <f t="shared" si="9"/>
        <v>42</v>
      </c>
      <c r="Z23" s="2">
        <f t="shared" si="9"/>
        <v>1637</v>
      </c>
      <c r="AA23" s="2">
        <f t="shared" si="9"/>
        <v>1936</v>
      </c>
      <c r="AB23" s="2">
        <f t="shared" si="9"/>
        <v>799</v>
      </c>
      <c r="AC23" s="2">
        <f t="shared" si="9"/>
        <v>0</v>
      </c>
      <c r="AD23" s="2">
        <f t="shared" si="9"/>
        <v>0</v>
      </c>
      <c r="AE23" s="2">
        <f t="shared" si="9"/>
        <v>330.528</v>
      </c>
      <c r="AF23" t="s">
        <v>55</v>
      </c>
      <c r="AG23">
        <v>24</v>
      </c>
      <c r="AH23">
        <v>66</v>
      </c>
      <c r="AI23" t="s">
        <v>55</v>
      </c>
      <c r="AJ23">
        <v>80</v>
      </c>
    </row>
    <row r="24" spans="1:33" ht="12.75">
      <c r="A24" s="17"/>
      <c r="B24" s="17"/>
      <c r="C24" s="17"/>
      <c r="D24" s="17"/>
      <c r="G24" s="28"/>
      <c r="I24" s="2"/>
      <c r="J24" s="2"/>
      <c r="K24" s="2"/>
      <c r="L24" s="2"/>
      <c r="N24" s="5"/>
      <c r="O24" s="2"/>
      <c r="P24" s="5"/>
      <c r="Q24" s="2"/>
      <c r="R24" s="5"/>
      <c r="S24" s="2"/>
      <c r="T24" s="5"/>
      <c r="U24" s="2"/>
      <c r="V24" s="5"/>
      <c r="W24" s="2"/>
      <c r="Y24" s="2"/>
      <c r="Z24" s="2"/>
      <c r="AA24" s="2"/>
      <c r="AB24" s="2"/>
      <c r="AC24" s="2"/>
      <c r="AD24" s="2"/>
      <c r="AE24" s="2"/>
      <c r="AF24" t="s">
        <v>11</v>
      </c>
      <c r="AG24">
        <v>20</v>
      </c>
    </row>
    <row r="25" spans="1:36" ht="12.75">
      <c r="A25" s="16" t="s">
        <v>56</v>
      </c>
      <c r="B25" s="17" t="s">
        <v>57</v>
      </c>
      <c r="C25" s="17"/>
      <c r="D25" s="17"/>
      <c r="E25" s="2">
        <f>SUM(E26:E27)</f>
        <v>42</v>
      </c>
      <c r="F25" s="2">
        <f>SUM(F26:F27)</f>
        <v>0</v>
      </c>
      <c r="G25" s="28">
        <f>F25/E25</f>
        <v>0</v>
      </c>
      <c r="H25" s="2">
        <f aca="true" t="shared" si="10" ref="H25:AC25">SUM(H26:H27)</f>
        <v>42</v>
      </c>
      <c r="I25" s="2">
        <f t="shared" si="10"/>
        <v>42</v>
      </c>
      <c r="J25" s="2">
        <f t="shared" si="10"/>
        <v>0</v>
      </c>
      <c r="K25" s="2">
        <f t="shared" si="10"/>
        <v>0</v>
      </c>
      <c r="L25" s="2">
        <f t="shared" si="10"/>
        <v>0</v>
      </c>
      <c r="M25" s="5">
        <f t="shared" si="10"/>
        <v>1.1931818181818181</v>
      </c>
      <c r="N25" s="5">
        <f t="shared" si="10"/>
        <v>0</v>
      </c>
      <c r="O25" s="2">
        <f t="shared" si="10"/>
        <v>0</v>
      </c>
      <c r="P25" s="5">
        <f t="shared" si="10"/>
        <v>0</v>
      </c>
      <c r="Q25" s="2">
        <f t="shared" si="10"/>
        <v>0</v>
      </c>
      <c r="R25" s="5">
        <f t="shared" si="10"/>
        <v>0</v>
      </c>
      <c r="S25" s="2">
        <f t="shared" si="10"/>
        <v>0</v>
      </c>
      <c r="T25" s="5">
        <f t="shared" si="10"/>
        <v>1.1931818181818181</v>
      </c>
      <c r="U25" s="2">
        <f t="shared" si="10"/>
        <v>2100</v>
      </c>
      <c r="V25" s="5">
        <f t="shared" si="10"/>
        <v>0</v>
      </c>
      <c r="W25" s="2">
        <f t="shared" si="10"/>
        <v>0</v>
      </c>
      <c r="X25" s="2">
        <f t="shared" si="10"/>
        <v>42</v>
      </c>
      <c r="Y25" s="2">
        <f t="shared" si="10"/>
        <v>42</v>
      </c>
      <c r="Z25" s="2">
        <f t="shared" si="10"/>
        <v>0</v>
      </c>
      <c r="AA25" s="2">
        <f t="shared" si="10"/>
        <v>0</v>
      </c>
      <c r="AB25" s="2">
        <f t="shared" si="10"/>
        <v>0</v>
      </c>
      <c r="AC25" s="2">
        <f t="shared" si="10"/>
        <v>0</v>
      </c>
      <c r="AD25" s="2">
        <f>SUM(AD26:AD27)</f>
        <v>0</v>
      </c>
      <c r="AE25" s="2">
        <f>SUM(AE26:AE27)</f>
        <v>0</v>
      </c>
      <c r="AF25" t="s">
        <v>58</v>
      </c>
      <c r="AG25">
        <v>18</v>
      </c>
      <c r="AH25">
        <v>46</v>
      </c>
      <c r="AI25" t="s">
        <v>12</v>
      </c>
      <c r="AJ25">
        <v>64</v>
      </c>
    </row>
    <row r="26" spans="1:33" s="20" customFormat="1" ht="12.75">
      <c r="A26" s="20" t="s">
        <v>59</v>
      </c>
      <c r="B26" s="20" t="s">
        <v>60</v>
      </c>
      <c r="E26" s="2">
        <f>SUM(I26:L26)</f>
        <v>12</v>
      </c>
      <c r="F26" s="3">
        <f>E26*G26</f>
        <v>0</v>
      </c>
      <c r="G26" s="29"/>
      <c r="H26" s="2">
        <f>SUM(E26:F26)</f>
        <v>12</v>
      </c>
      <c r="I26" s="18">
        <v>12</v>
      </c>
      <c r="J26" s="18"/>
      <c r="K26" s="18"/>
      <c r="L26" s="18"/>
      <c r="M26" s="5">
        <f>N26+P26+R26+T26+V26</f>
        <v>0.3409090909090909</v>
      </c>
      <c r="N26" s="19"/>
      <c r="O26" s="18">
        <v>0</v>
      </c>
      <c r="P26" s="19">
        <v>0</v>
      </c>
      <c r="Q26" s="18">
        <f>P26*AG$26</f>
        <v>0</v>
      </c>
      <c r="R26" s="19">
        <v>0</v>
      </c>
      <c r="S26" s="18">
        <v>0</v>
      </c>
      <c r="T26" s="19">
        <f>(I26/$AG$24)/1.76</f>
        <v>0.3409090909090909</v>
      </c>
      <c r="U26" s="18">
        <f>T26*AG$26</f>
        <v>600</v>
      </c>
      <c r="V26" s="19"/>
      <c r="W26" s="18">
        <f>V26*AG$26</f>
        <v>0</v>
      </c>
      <c r="X26" s="2">
        <f>SUM(Y26:AB26)</f>
        <v>12</v>
      </c>
      <c r="Y26" s="18">
        <v>12</v>
      </c>
      <c r="Z26" s="18"/>
      <c r="AA26" s="18"/>
      <c r="AB26" s="18"/>
      <c r="AC26" s="18"/>
      <c r="AD26" s="18"/>
      <c r="AE26" s="18"/>
      <c r="AF26" s="20" t="s">
        <v>61</v>
      </c>
      <c r="AG26" s="20">
        <v>1760</v>
      </c>
    </row>
    <row r="27" spans="1:31" s="20" customFormat="1" ht="12.75">
      <c r="A27" s="20" t="s">
        <v>62</v>
      </c>
      <c r="B27" s="20" t="s">
        <v>63</v>
      </c>
      <c r="E27" s="2">
        <f>SUM(I27:L27)</f>
        <v>30</v>
      </c>
      <c r="F27" s="3">
        <f>E27*G27</f>
        <v>0</v>
      </c>
      <c r="G27" s="29"/>
      <c r="H27" s="2">
        <f>SUM(E27:F27)</f>
        <v>30</v>
      </c>
      <c r="I27" s="18">
        <v>30</v>
      </c>
      <c r="J27" s="18"/>
      <c r="K27" s="18"/>
      <c r="L27" s="18"/>
      <c r="M27" s="5">
        <f>N27+P27+R27+T27+V27</f>
        <v>0.8522727272727273</v>
      </c>
      <c r="N27" s="19"/>
      <c r="O27" s="18">
        <v>0</v>
      </c>
      <c r="P27" s="19">
        <v>0</v>
      </c>
      <c r="Q27" s="18">
        <f>P27*AG$26</f>
        <v>0</v>
      </c>
      <c r="R27" s="19">
        <v>0</v>
      </c>
      <c r="S27" s="18">
        <v>0</v>
      </c>
      <c r="T27" s="19">
        <f>(I27/$AG$24)/1.76</f>
        <v>0.8522727272727273</v>
      </c>
      <c r="U27" s="18">
        <f>T27*AG$26</f>
        <v>1500</v>
      </c>
      <c r="V27" s="19"/>
      <c r="W27" s="18">
        <f>V27*AG$26</f>
        <v>0</v>
      </c>
      <c r="X27" s="2">
        <f>SUM(Y27:AB27)</f>
        <v>30</v>
      </c>
      <c r="Y27" s="18">
        <v>30</v>
      </c>
      <c r="Z27" s="18"/>
      <c r="AA27" s="18"/>
      <c r="AB27" s="18"/>
      <c r="AC27" s="18"/>
      <c r="AD27" s="18"/>
      <c r="AE27" s="18"/>
    </row>
    <row r="28" spans="1:31" ht="12.75">
      <c r="A28" s="17"/>
      <c r="B28" s="17"/>
      <c r="C28" s="17"/>
      <c r="D28" s="17"/>
      <c r="G28" s="28"/>
      <c r="I28" s="2"/>
      <c r="J28" s="2"/>
      <c r="K28" s="2"/>
      <c r="L28" s="2"/>
      <c r="N28" s="5"/>
      <c r="O28" s="2"/>
      <c r="P28" s="5"/>
      <c r="Q28" s="2"/>
      <c r="R28" s="5"/>
      <c r="S28" s="2"/>
      <c r="T28" s="5"/>
      <c r="U28" s="2"/>
      <c r="V28" s="5"/>
      <c r="W28" s="2"/>
      <c r="Y28" s="2"/>
      <c r="Z28" s="2"/>
      <c r="AA28" s="2"/>
      <c r="AB28" s="2"/>
      <c r="AC28" s="2"/>
      <c r="AD28" s="2"/>
      <c r="AE28" s="2"/>
    </row>
    <row r="29" spans="1:31" ht="12.75">
      <c r="A29" s="16" t="s">
        <v>64</v>
      </c>
      <c r="B29" s="17" t="s">
        <v>65</v>
      </c>
      <c r="C29" s="17"/>
      <c r="D29" s="17"/>
      <c r="E29" s="2">
        <f>SUM(E30:E31)</f>
        <v>102</v>
      </c>
      <c r="F29" s="2">
        <f>SUM(F30:F31)</f>
        <v>0</v>
      </c>
      <c r="G29" s="28">
        <f>F29/E29</f>
        <v>0</v>
      </c>
      <c r="H29" s="2">
        <f aca="true" t="shared" si="11" ref="H29:AC29">SUM(H30:H31)</f>
        <v>102</v>
      </c>
      <c r="I29" s="2">
        <f t="shared" si="11"/>
        <v>0</v>
      </c>
      <c r="J29" s="2">
        <f t="shared" si="11"/>
        <v>17</v>
      </c>
      <c r="K29" s="2">
        <f t="shared" si="11"/>
        <v>0</v>
      </c>
      <c r="L29" s="2">
        <f t="shared" si="11"/>
        <v>85</v>
      </c>
      <c r="M29" s="5">
        <f t="shared" si="11"/>
        <v>0.5366161616161617</v>
      </c>
      <c r="N29" s="5">
        <f t="shared" si="11"/>
        <v>0</v>
      </c>
      <c r="O29" s="2">
        <f t="shared" si="11"/>
        <v>0</v>
      </c>
      <c r="P29" s="5">
        <f t="shared" si="11"/>
        <v>0</v>
      </c>
      <c r="Q29" s="2">
        <f t="shared" si="11"/>
        <v>0</v>
      </c>
      <c r="R29" s="5">
        <f t="shared" si="11"/>
        <v>0</v>
      </c>
      <c r="S29" s="2">
        <f t="shared" si="11"/>
        <v>0</v>
      </c>
      <c r="T29" s="5">
        <f t="shared" si="11"/>
        <v>0</v>
      </c>
      <c r="U29" s="2">
        <f t="shared" si="11"/>
        <v>0</v>
      </c>
      <c r="V29" s="5">
        <f t="shared" si="11"/>
        <v>0.5366161616161617</v>
      </c>
      <c r="W29" s="2">
        <f t="shared" si="11"/>
        <v>944.4444444444445</v>
      </c>
      <c r="X29" s="2">
        <f t="shared" si="11"/>
        <v>102</v>
      </c>
      <c r="Y29" s="2"/>
      <c r="Z29" s="2">
        <f t="shared" si="11"/>
        <v>50</v>
      </c>
      <c r="AA29" s="2">
        <f t="shared" si="11"/>
        <v>26</v>
      </c>
      <c r="AB29" s="2">
        <f t="shared" si="11"/>
        <v>26</v>
      </c>
      <c r="AC29" s="2">
        <f t="shared" si="11"/>
        <v>0</v>
      </c>
      <c r="AD29" s="2">
        <f>SUM(AD30:AD31)</f>
        <v>0</v>
      </c>
      <c r="AE29" s="2">
        <f>SUM(AE30:AE31)</f>
        <v>0</v>
      </c>
    </row>
    <row r="30" spans="1:31" s="20" customFormat="1" ht="12.75">
      <c r="A30" s="20" t="s">
        <v>66</v>
      </c>
      <c r="B30" s="20" t="s">
        <v>67</v>
      </c>
      <c r="E30" s="2">
        <f>SUM(I30:L30)</f>
        <v>30</v>
      </c>
      <c r="F30" s="3">
        <f>E30*G30</f>
        <v>0</v>
      </c>
      <c r="G30" s="29"/>
      <c r="H30" s="2">
        <f>SUM(E30:F30)</f>
        <v>30</v>
      </c>
      <c r="I30" s="18"/>
      <c r="J30" s="18">
        <v>5</v>
      </c>
      <c r="K30" s="18"/>
      <c r="L30" s="18">
        <v>25</v>
      </c>
      <c r="M30" s="5">
        <f>N30+P30+R30+T30+V30</f>
        <v>0.15782828282828285</v>
      </c>
      <c r="N30" s="19"/>
      <c r="O30" s="18"/>
      <c r="P30" s="19"/>
      <c r="Q30" s="18"/>
      <c r="R30" s="19"/>
      <c r="S30" s="18"/>
      <c r="T30" s="19"/>
      <c r="U30" s="18"/>
      <c r="V30" s="19">
        <f>J30/$AG$25/1.76</f>
        <v>0.15782828282828285</v>
      </c>
      <c r="W30" s="18">
        <f>V30*AG$26</f>
        <v>277.7777777777778</v>
      </c>
      <c r="X30" s="2">
        <f>SUM(Z30:AB30)</f>
        <v>30</v>
      </c>
      <c r="Z30" s="18">
        <v>30</v>
      </c>
      <c r="AA30" s="18"/>
      <c r="AB30" s="18"/>
      <c r="AC30" s="18"/>
      <c r="AD30" s="18"/>
      <c r="AE30" s="18"/>
    </row>
    <row r="31" spans="1:31" s="20" customFormat="1" ht="12.75">
      <c r="A31" s="20" t="s">
        <v>68</v>
      </c>
      <c r="B31" s="20" t="s">
        <v>69</v>
      </c>
      <c r="E31" s="2">
        <f>SUM(I31:L31)</f>
        <v>72</v>
      </c>
      <c r="F31" s="3">
        <f>E31*G31</f>
        <v>0</v>
      </c>
      <c r="G31" s="29"/>
      <c r="H31" s="2">
        <f>SUM(E31:F31)</f>
        <v>72</v>
      </c>
      <c r="I31" s="18"/>
      <c r="J31" s="18">
        <v>12</v>
      </c>
      <c r="K31" s="18"/>
      <c r="L31" s="18">
        <v>60</v>
      </c>
      <c r="M31" s="5">
        <f>N31+P31+R31+T31+V31</f>
        <v>0.3787878787878788</v>
      </c>
      <c r="N31" s="19"/>
      <c r="O31" s="18"/>
      <c r="P31" s="19"/>
      <c r="Q31" s="18"/>
      <c r="R31" s="19"/>
      <c r="S31" s="18"/>
      <c r="T31" s="19"/>
      <c r="U31" s="18"/>
      <c r="V31" s="19">
        <f>J31/$AG$25/1.76</f>
        <v>0.3787878787878788</v>
      </c>
      <c r="W31" s="18">
        <f>V31*AG$26</f>
        <v>666.6666666666666</v>
      </c>
      <c r="X31" s="2">
        <f>SUM(Z31:AB31)</f>
        <v>72</v>
      </c>
      <c r="Z31" s="18">
        <v>20</v>
      </c>
      <c r="AA31" s="18">
        <v>26</v>
      </c>
      <c r="AB31" s="18">
        <v>26</v>
      </c>
      <c r="AC31" s="18"/>
      <c r="AD31" s="18"/>
      <c r="AE31" s="18"/>
    </row>
    <row r="32" spans="1:31" ht="12.75">
      <c r="A32" s="17"/>
      <c r="B32" s="17"/>
      <c r="C32" s="17"/>
      <c r="D32" s="17"/>
      <c r="G32" s="28"/>
      <c r="I32" s="2"/>
      <c r="J32" s="2"/>
      <c r="K32" s="2"/>
      <c r="L32" s="2"/>
      <c r="N32" s="5"/>
      <c r="O32" s="2"/>
      <c r="P32" s="5"/>
      <c r="Q32" s="2"/>
      <c r="R32" s="5"/>
      <c r="S32" s="2"/>
      <c r="T32" s="5"/>
      <c r="U32" s="2"/>
      <c r="V32" s="5"/>
      <c r="W32" s="2"/>
      <c r="Y32" s="2"/>
      <c r="Z32" s="2"/>
      <c r="AA32" s="2"/>
      <c r="AB32" s="2"/>
      <c r="AC32" s="2"/>
      <c r="AD32" s="2"/>
      <c r="AE32" s="2"/>
    </row>
    <row r="33" spans="1:31" ht="12.75">
      <c r="A33" s="16" t="s">
        <v>70</v>
      </c>
      <c r="B33" s="17" t="s">
        <v>71</v>
      </c>
      <c r="C33" s="17"/>
      <c r="D33" s="17"/>
      <c r="E33" s="2">
        <f>E37+E35+E36+E38+E39+E40</f>
        <v>1808.21856</v>
      </c>
      <c r="F33" s="2">
        <f>SUM(F34:F35)</f>
        <v>0</v>
      </c>
      <c r="G33" s="28">
        <f>F33/E33</f>
        <v>0</v>
      </c>
      <c r="H33" s="2">
        <f aca="true" t="shared" si="12" ref="H33:AC33">H37+H35+H36+H38+H39+H40</f>
        <v>1808.21856</v>
      </c>
      <c r="I33" s="2">
        <f t="shared" si="12"/>
        <v>0</v>
      </c>
      <c r="J33" s="2">
        <f t="shared" si="12"/>
        <v>1112.6208</v>
      </c>
      <c r="K33" s="2">
        <f t="shared" si="12"/>
        <v>0</v>
      </c>
      <c r="L33" s="2">
        <f t="shared" si="12"/>
        <v>694.59776</v>
      </c>
      <c r="M33" s="5">
        <f t="shared" si="12"/>
        <v>37.04060606060605</v>
      </c>
      <c r="N33" s="5">
        <f t="shared" si="12"/>
        <v>1.92</v>
      </c>
      <c r="O33" s="2">
        <f t="shared" si="12"/>
        <v>3379.2</v>
      </c>
      <c r="P33" s="5">
        <f t="shared" si="12"/>
        <v>0</v>
      </c>
      <c r="Q33" s="2">
        <f t="shared" si="12"/>
        <v>0</v>
      </c>
      <c r="R33" s="5">
        <f t="shared" si="12"/>
        <v>0</v>
      </c>
      <c r="S33" s="2">
        <f t="shared" si="12"/>
        <v>0</v>
      </c>
      <c r="T33" s="5">
        <f t="shared" si="12"/>
        <v>0</v>
      </c>
      <c r="U33" s="2">
        <f t="shared" si="12"/>
        <v>0</v>
      </c>
      <c r="V33" s="5">
        <f t="shared" si="12"/>
        <v>35.12060606060606</v>
      </c>
      <c r="W33" s="2">
        <f t="shared" si="12"/>
        <v>61812.26666666666</v>
      </c>
      <c r="X33" s="2">
        <f t="shared" si="12"/>
        <v>1808</v>
      </c>
      <c r="Y33" s="2">
        <f t="shared" si="12"/>
        <v>0</v>
      </c>
      <c r="Z33" s="2">
        <f t="shared" si="12"/>
        <v>720</v>
      </c>
      <c r="AA33" s="2">
        <f t="shared" si="12"/>
        <v>720</v>
      </c>
      <c r="AB33" s="2">
        <f t="shared" si="12"/>
        <v>368</v>
      </c>
      <c r="AC33" s="2">
        <f t="shared" si="12"/>
        <v>0</v>
      </c>
      <c r="AD33" s="2">
        <f>AD37+AD35+AD36+AD38+AD39+AD40</f>
        <v>0</v>
      </c>
      <c r="AE33" s="2">
        <f>AE37+AE35+AE36+AE38+AE39+AE40</f>
        <v>60.8256</v>
      </c>
    </row>
    <row r="34" spans="1:31" ht="12.75">
      <c r="A34" s="20"/>
      <c r="B34" s="20"/>
      <c r="C34" s="20"/>
      <c r="D34" s="20"/>
      <c r="G34" s="29"/>
      <c r="I34" s="18"/>
      <c r="J34" s="18"/>
      <c r="K34" s="18"/>
      <c r="L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Y34" s="18"/>
      <c r="Z34" s="18"/>
      <c r="AA34" s="18"/>
      <c r="AE34" s="4"/>
    </row>
    <row r="35" spans="1:31" ht="12.75">
      <c r="A35" s="16" t="s">
        <v>72</v>
      </c>
      <c r="B35" s="17" t="s">
        <v>73</v>
      </c>
      <c r="C35" s="20"/>
      <c r="D35" s="20"/>
      <c r="E35" s="2">
        <f>SUM(I35:L35)+1</f>
        <v>387.18416</v>
      </c>
      <c r="F35" s="3">
        <f aca="true" t="shared" si="13" ref="F35:F40">E35*G35</f>
        <v>0</v>
      </c>
      <c r="G35" s="29"/>
      <c r="H35" s="2">
        <f aca="true" t="shared" si="14" ref="H35:H40">SUM(E35:F35)</f>
        <v>387.18416</v>
      </c>
      <c r="I35" s="18"/>
      <c r="J35" s="18">
        <f>($AG$37*108)/1000</f>
        <v>288.576</v>
      </c>
      <c r="K35" s="18"/>
      <c r="L35" s="18">
        <f>($AG$37*36.53)/1000</f>
        <v>97.60816</v>
      </c>
      <c r="M35" s="5">
        <f aca="true" t="shared" si="15" ref="M35:M40">N35+P35+R35+T35+V35</f>
        <v>9.10909090909091</v>
      </c>
      <c r="N35" s="19"/>
      <c r="O35" s="18"/>
      <c r="P35" s="19"/>
      <c r="Q35" s="18"/>
      <c r="R35" s="19"/>
      <c r="S35" s="18"/>
      <c r="T35" s="19"/>
      <c r="U35" s="18"/>
      <c r="V35" s="19">
        <f aca="true" t="shared" si="16" ref="V35:V40">J35/$AG$25/1.76</f>
        <v>9.10909090909091</v>
      </c>
      <c r="W35" s="18">
        <f aca="true" t="shared" si="17" ref="W35:W40">V35*AG$26</f>
        <v>16032</v>
      </c>
      <c r="X35" s="2">
        <f aca="true" t="shared" si="18" ref="X35:X40">SUM(Y35:AC35)</f>
        <v>387</v>
      </c>
      <c r="Y35" s="18">
        <v>0</v>
      </c>
      <c r="Z35" s="18">
        <v>150</v>
      </c>
      <c r="AA35" s="18">
        <v>150</v>
      </c>
      <c r="AB35" s="18">
        <v>87</v>
      </c>
      <c r="AC35" s="18"/>
      <c r="AD35" s="18"/>
      <c r="AE35" s="18"/>
    </row>
    <row r="36" spans="1:31" ht="12.75">
      <c r="A36" s="16" t="s">
        <v>74</v>
      </c>
      <c r="B36" s="17" t="s">
        <v>75</v>
      </c>
      <c r="C36" s="20"/>
      <c r="D36" s="20"/>
      <c r="E36" s="2">
        <f>SUM(I36:L36)</f>
        <v>502.2024</v>
      </c>
      <c r="F36" s="3">
        <f t="shared" si="13"/>
        <v>0</v>
      </c>
      <c r="G36" s="29"/>
      <c r="H36" s="2">
        <f t="shared" si="14"/>
        <v>502.2024</v>
      </c>
      <c r="I36" s="18"/>
      <c r="J36" s="18">
        <f>($AG$37*122.4)/1000</f>
        <v>327.0528</v>
      </c>
      <c r="K36" s="18"/>
      <c r="L36" s="18">
        <f>($AG$37*65.55)/1000</f>
        <v>175.1496</v>
      </c>
      <c r="M36" s="5">
        <f t="shared" si="15"/>
        <v>10.323636363636362</v>
      </c>
      <c r="N36" s="19"/>
      <c r="O36" s="18"/>
      <c r="P36" s="19"/>
      <c r="Q36" s="18"/>
      <c r="R36" s="19"/>
      <c r="S36" s="18"/>
      <c r="T36" s="19"/>
      <c r="U36" s="18"/>
      <c r="V36" s="19">
        <f t="shared" si="16"/>
        <v>10.323636363636362</v>
      </c>
      <c r="W36" s="18">
        <f t="shared" si="17"/>
        <v>18169.6</v>
      </c>
      <c r="X36" s="2">
        <f t="shared" si="18"/>
        <v>502</v>
      </c>
      <c r="Y36" s="18">
        <v>0</v>
      </c>
      <c r="Z36" s="18">
        <v>200</v>
      </c>
      <c r="AA36" s="18">
        <v>200</v>
      </c>
      <c r="AB36" s="18">
        <v>102</v>
      </c>
      <c r="AC36" s="18"/>
      <c r="AD36" s="18"/>
      <c r="AE36" s="18"/>
    </row>
    <row r="37" spans="1:33" ht="12.75">
      <c r="A37" s="16" t="s">
        <v>76</v>
      </c>
      <c r="B37" s="17" t="s">
        <v>77</v>
      </c>
      <c r="C37" s="20"/>
      <c r="D37" s="20"/>
      <c r="E37" s="2">
        <f>SUM(I37:L37)</f>
        <v>328.656</v>
      </c>
      <c r="F37" s="3">
        <f t="shared" si="13"/>
        <v>0</v>
      </c>
      <c r="G37" s="29"/>
      <c r="H37" s="2">
        <f t="shared" si="14"/>
        <v>328.656</v>
      </c>
      <c r="I37" s="18"/>
      <c r="J37" s="18">
        <f>($AG$37*15)/1000</f>
        <v>40.08</v>
      </c>
      <c r="K37" s="20"/>
      <c r="L37" s="18">
        <f>($AG$37*108)/1000</f>
        <v>288.576</v>
      </c>
      <c r="M37" s="5">
        <f t="shared" si="15"/>
        <v>1.2651515151515151</v>
      </c>
      <c r="N37" s="19"/>
      <c r="O37" s="18"/>
      <c r="P37" s="19"/>
      <c r="Q37" s="18"/>
      <c r="R37" s="19"/>
      <c r="S37" s="18"/>
      <c r="T37" s="19"/>
      <c r="U37" s="18"/>
      <c r="V37" s="19">
        <f t="shared" si="16"/>
        <v>1.2651515151515151</v>
      </c>
      <c r="W37" s="18">
        <f t="shared" si="17"/>
        <v>2226.6666666666665</v>
      </c>
      <c r="X37" s="2">
        <f t="shared" si="18"/>
        <v>329</v>
      </c>
      <c r="Y37" s="18">
        <v>0</v>
      </c>
      <c r="Z37" s="18">
        <v>130</v>
      </c>
      <c r="AA37" s="18">
        <v>130</v>
      </c>
      <c r="AB37" s="18">
        <v>69</v>
      </c>
      <c r="AC37" s="18"/>
      <c r="AD37" s="18"/>
      <c r="AE37" s="18"/>
      <c r="AF37" t="s">
        <v>78</v>
      </c>
      <c r="AG37" s="21">
        <v>2672</v>
      </c>
    </row>
    <row r="38" spans="1:31" ht="12.75">
      <c r="A38" s="16" t="s">
        <v>79</v>
      </c>
      <c r="B38" s="17" t="s">
        <v>80</v>
      </c>
      <c r="C38" s="20"/>
      <c r="D38" s="20"/>
      <c r="E38" s="2">
        <f>SUM(I38:L38)</f>
        <v>435.53600000000006</v>
      </c>
      <c r="F38" s="3">
        <f t="shared" si="13"/>
        <v>0</v>
      </c>
      <c r="G38" s="29"/>
      <c r="H38" s="2">
        <f t="shared" si="14"/>
        <v>435.53600000000006</v>
      </c>
      <c r="I38" s="18"/>
      <c r="J38" s="18">
        <f>($AG$37*126)/1000</f>
        <v>336.672</v>
      </c>
      <c r="K38" s="18"/>
      <c r="L38" s="18">
        <f>($AG$37*37)/1000</f>
        <v>98.864</v>
      </c>
      <c r="M38" s="5">
        <f t="shared" si="15"/>
        <v>10.627272727272727</v>
      </c>
      <c r="N38" s="19"/>
      <c r="O38" s="18"/>
      <c r="P38" s="19"/>
      <c r="Q38" s="18"/>
      <c r="R38" s="19"/>
      <c r="S38" s="18"/>
      <c r="T38" s="19"/>
      <c r="U38" s="18"/>
      <c r="V38" s="19">
        <f t="shared" si="16"/>
        <v>10.627272727272727</v>
      </c>
      <c r="W38" s="18">
        <f t="shared" si="17"/>
        <v>18704</v>
      </c>
      <c r="X38" s="2">
        <f t="shared" si="18"/>
        <v>436</v>
      </c>
      <c r="Y38" s="18">
        <v>0</v>
      </c>
      <c r="Z38" s="18">
        <v>180</v>
      </c>
      <c r="AA38" s="18">
        <v>180</v>
      </c>
      <c r="AB38" s="18">
        <v>76</v>
      </c>
      <c r="AC38" s="18"/>
      <c r="AD38" s="18"/>
      <c r="AE38" s="18"/>
    </row>
    <row r="39" spans="1:32" s="20" customFormat="1" ht="12.75">
      <c r="A39" s="17" t="s">
        <v>81</v>
      </c>
      <c r="B39" s="17" t="s">
        <v>52</v>
      </c>
      <c r="E39" s="2">
        <f>SUM(I39:L39)</f>
        <v>96.192</v>
      </c>
      <c r="F39" s="3">
        <f t="shared" si="13"/>
        <v>0</v>
      </c>
      <c r="G39" s="29"/>
      <c r="H39" s="2">
        <f t="shared" si="14"/>
        <v>96.192</v>
      </c>
      <c r="I39" s="18"/>
      <c r="J39" s="18">
        <f>($AG$37*36)/1000</f>
        <v>96.192</v>
      </c>
      <c r="K39" s="18"/>
      <c r="L39" s="18"/>
      <c r="M39" s="5">
        <f t="shared" si="15"/>
        <v>4.956363636363636</v>
      </c>
      <c r="N39" s="19">
        <v>1.92</v>
      </c>
      <c r="O39" s="18">
        <f>N39*AG$26</f>
        <v>3379.2</v>
      </c>
      <c r="P39" s="19"/>
      <c r="Q39" s="18"/>
      <c r="R39" s="19"/>
      <c r="S39" s="18"/>
      <c r="T39" s="19"/>
      <c r="U39" s="18"/>
      <c r="V39" s="19">
        <f t="shared" si="16"/>
        <v>3.036363636363636</v>
      </c>
      <c r="W39" s="18">
        <f t="shared" si="17"/>
        <v>5344</v>
      </c>
      <c r="X39" s="2">
        <f t="shared" si="18"/>
        <v>96</v>
      </c>
      <c r="Y39" s="18"/>
      <c r="Z39" s="18">
        <v>40</v>
      </c>
      <c r="AA39" s="18">
        <v>40</v>
      </c>
      <c r="AB39" s="18">
        <v>16</v>
      </c>
      <c r="AC39" s="18"/>
      <c r="AD39" s="18"/>
      <c r="AE39" s="18">
        <f>N39*1760*$AG$22/1000</f>
        <v>60.8256</v>
      </c>
      <c r="AF39" s="17" t="s">
        <v>196</v>
      </c>
    </row>
    <row r="40" spans="1:31" s="20" customFormat="1" ht="12.75">
      <c r="A40" s="17" t="s">
        <v>82</v>
      </c>
      <c r="B40" s="17" t="s">
        <v>83</v>
      </c>
      <c r="E40" s="2">
        <f>SUM(I40:L40)</f>
        <v>58.44799999999999</v>
      </c>
      <c r="F40" s="3">
        <f t="shared" si="13"/>
        <v>0</v>
      </c>
      <c r="G40" s="29"/>
      <c r="H40" s="2">
        <f t="shared" si="14"/>
        <v>58.44799999999999</v>
      </c>
      <c r="I40" s="18"/>
      <c r="J40" s="18">
        <f>($AG$37*9)/1000</f>
        <v>24.048</v>
      </c>
      <c r="K40" s="18"/>
      <c r="L40" s="18">
        <f>($AG$37*12.5)/1000+1</f>
        <v>34.4</v>
      </c>
      <c r="M40" s="5">
        <f t="shared" si="15"/>
        <v>0.759090909090909</v>
      </c>
      <c r="N40" s="19"/>
      <c r="O40" s="18"/>
      <c r="P40" s="19"/>
      <c r="Q40" s="18"/>
      <c r="R40" s="19"/>
      <c r="S40" s="18"/>
      <c r="T40" s="19"/>
      <c r="U40" s="18"/>
      <c r="V40" s="19">
        <f t="shared" si="16"/>
        <v>0.759090909090909</v>
      </c>
      <c r="W40" s="18">
        <f t="shared" si="17"/>
        <v>1336</v>
      </c>
      <c r="X40" s="2">
        <f t="shared" si="18"/>
        <v>58</v>
      </c>
      <c r="Y40" s="18"/>
      <c r="Z40" s="18">
        <v>20</v>
      </c>
      <c r="AA40" s="18">
        <v>20</v>
      </c>
      <c r="AB40" s="18">
        <v>18</v>
      </c>
      <c r="AC40" s="18"/>
      <c r="AD40" s="18"/>
      <c r="AE40" s="18"/>
    </row>
    <row r="41" spans="5:31" s="20" customFormat="1" ht="12.75">
      <c r="E41" s="2"/>
      <c r="F41" s="3"/>
      <c r="G41" s="29"/>
      <c r="H41" s="2"/>
      <c r="I41" s="18"/>
      <c r="J41" s="18"/>
      <c r="K41" s="18"/>
      <c r="L41" s="18"/>
      <c r="M41" s="5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2"/>
      <c r="Y41" s="18"/>
      <c r="Z41" s="18"/>
      <c r="AA41" s="18"/>
      <c r="AB41" s="18"/>
      <c r="AC41" s="18"/>
      <c r="AD41" s="18"/>
      <c r="AE41" s="18"/>
    </row>
    <row r="42" spans="1:31" ht="12.75">
      <c r="A42" s="16" t="s">
        <v>84</v>
      </c>
      <c r="B42" s="17" t="s">
        <v>85</v>
      </c>
      <c r="C42" s="17"/>
      <c r="D42" s="17"/>
      <c r="E42" s="2">
        <f>E44+E45+E46+E47+E48+E49+E50</f>
        <v>1867.5259999999998</v>
      </c>
      <c r="F42" s="2">
        <f>F44+F45+F46+F47+F48+F49+F50</f>
        <v>0</v>
      </c>
      <c r="G42" s="28">
        <f>F42/E42</f>
        <v>0</v>
      </c>
      <c r="H42" s="2">
        <f>H44+H45+H46+H47+H48+H49+H50</f>
        <v>1867.5259999999998</v>
      </c>
      <c r="I42" s="2">
        <f>I44+I45+I46+I47+I48+I49+I50</f>
        <v>0</v>
      </c>
      <c r="J42" s="2">
        <f>J44+J45+J46+J47+J48+J49+J50</f>
        <v>290</v>
      </c>
      <c r="K42" s="2">
        <f>K44+K45+K46+K47+K48+K49+K50</f>
        <v>0</v>
      </c>
      <c r="L42" s="2">
        <f>L44+L45+L46+L47+L48+L49+L50-1</f>
        <v>1576.5259999999998</v>
      </c>
      <c r="M42" s="5">
        <f aca="true" t="shared" si="19" ref="M42:AC42">M44+M45+M46+M47+M48+M49+M50</f>
        <v>11.074040404040405</v>
      </c>
      <c r="N42" s="5">
        <f t="shared" si="19"/>
        <v>1.92</v>
      </c>
      <c r="O42" s="2">
        <f t="shared" si="19"/>
        <v>3379.2</v>
      </c>
      <c r="P42" s="5">
        <f t="shared" si="19"/>
        <v>0</v>
      </c>
      <c r="Q42" s="2">
        <f t="shared" si="19"/>
        <v>0</v>
      </c>
      <c r="R42" s="5">
        <f t="shared" si="19"/>
        <v>0</v>
      </c>
      <c r="S42" s="2">
        <f t="shared" si="19"/>
        <v>0</v>
      </c>
      <c r="T42" s="5">
        <f t="shared" si="19"/>
        <v>0</v>
      </c>
      <c r="U42" s="2">
        <f t="shared" si="19"/>
        <v>0</v>
      </c>
      <c r="V42" s="5">
        <f t="shared" si="19"/>
        <v>9.154040404040405</v>
      </c>
      <c r="W42" s="2">
        <f t="shared" si="19"/>
        <v>16111.111111111113</v>
      </c>
      <c r="X42" s="2">
        <f t="shared" si="19"/>
        <v>1867</v>
      </c>
      <c r="Y42" s="2">
        <f t="shared" si="19"/>
        <v>0</v>
      </c>
      <c r="Z42" s="2">
        <f t="shared" si="19"/>
        <v>757</v>
      </c>
      <c r="AA42" s="2">
        <f t="shared" si="19"/>
        <v>757</v>
      </c>
      <c r="AB42" s="2">
        <f t="shared" si="19"/>
        <v>353</v>
      </c>
      <c r="AC42" s="2">
        <f t="shared" si="19"/>
        <v>0</v>
      </c>
      <c r="AD42" s="2">
        <f>AD44+AD45+AD46+AD47+AD48+AD49+AD50</f>
        <v>0</v>
      </c>
      <c r="AE42" s="2">
        <f>AE44+AE45+AE46+AE47+AE48+AE49+AE50</f>
        <v>60.8256</v>
      </c>
    </row>
    <row r="43" spans="1:31" ht="12.75">
      <c r="A43" s="17"/>
      <c r="B43" s="17"/>
      <c r="C43" s="17"/>
      <c r="D43" s="17"/>
      <c r="G43" s="28"/>
      <c r="AE43" s="4"/>
    </row>
    <row r="44" spans="1:33" s="17" customFormat="1" ht="12.75">
      <c r="A44" s="16" t="s">
        <v>86</v>
      </c>
      <c r="B44" s="17" t="s">
        <v>87</v>
      </c>
      <c r="E44" s="2">
        <f aca="true" t="shared" si="20" ref="E44:E50">SUM(I44:L44)</f>
        <v>1204.85</v>
      </c>
      <c r="F44" s="3">
        <f aca="true" t="shared" si="21" ref="F44:F50">E44*G44</f>
        <v>0</v>
      </c>
      <c r="G44" s="29"/>
      <c r="H44" s="2">
        <f aca="true" t="shared" si="22" ref="H44:H50">SUM(E44:F44)</f>
        <v>1204.85</v>
      </c>
      <c r="I44" s="18"/>
      <c r="J44" s="18">
        <v>14</v>
      </c>
      <c r="K44" s="18"/>
      <c r="L44" s="18">
        <f>($AG$44*425)/1000</f>
        <v>1190.85</v>
      </c>
      <c r="M44" s="5">
        <f aca="true" t="shared" si="23" ref="M44:M52">N44+P44+R44+T44+V44</f>
        <v>0.44191919191919193</v>
      </c>
      <c r="N44" s="19"/>
      <c r="O44" s="18"/>
      <c r="P44" s="19"/>
      <c r="Q44" s="18"/>
      <c r="R44" s="19"/>
      <c r="S44" s="18"/>
      <c r="T44" s="19"/>
      <c r="U44" s="18"/>
      <c r="V44" s="19">
        <f aca="true" t="shared" si="24" ref="V44:V50">J44/$AG$25/1.76</f>
        <v>0.44191919191919193</v>
      </c>
      <c r="W44" s="18">
        <f aca="true" t="shared" si="25" ref="W44:W50">V44*AG$26</f>
        <v>777.7777777777778</v>
      </c>
      <c r="X44" s="2">
        <f aca="true" t="shared" si="26" ref="X44:X50">SUM(Y44:AC44)</f>
        <v>1205</v>
      </c>
      <c r="Y44" s="18">
        <v>0</v>
      </c>
      <c r="Z44" s="18">
        <v>500</v>
      </c>
      <c r="AA44" s="18">
        <v>500</v>
      </c>
      <c r="AB44" s="18">
        <v>205</v>
      </c>
      <c r="AC44" s="18"/>
      <c r="AD44" s="18"/>
      <c r="AE44" s="18"/>
      <c r="AF44" s="17" t="s">
        <v>78</v>
      </c>
      <c r="AG44" s="2">
        <v>2802</v>
      </c>
    </row>
    <row r="45" spans="1:31" s="17" customFormat="1" ht="12.75">
      <c r="A45" s="16" t="s">
        <v>89</v>
      </c>
      <c r="B45" s="17" t="s">
        <v>90</v>
      </c>
      <c r="E45" s="2">
        <f t="shared" si="20"/>
        <v>84.05</v>
      </c>
      <c r="F45" s="3">
        <f t="shared" si="21"/>
        <v>0</v>
      </c>
      <c r="G45" s="29"/>
      <c r="H45" s="2">
        <f t="shared" si="22"/>
        <v>84.05</v>
      </c>
      <c r="I45" s="18"/>
      <c r="J45" s="18">
        <v>14</v>
      </c>
      <c r="K45" s="18"/>
      <c r="L45" s="18">
        <f>($AG$44*25)/1000</f>
        <v>70.05</v>
      </c>
      <c r="M45" s="5">
        <f t="shared" si="23"/>
        <v>0.44191919191919193</v>
      </c>
      <c r="N45" s="19"/>
      <c r="O45" s="18"/>
      <c r="P45" s="19"/>
      <c r="Q45" s="18"/>
      <c r="R45" s="19"/>
      <c r="S45" s="18"/>
      <c r="T45" s="19"/>
      <c r="U45" s="18"/>
      <c r="V45" s="19">
        <f t="shared" si="24"/>
        <v>0.44191919191919193</v>
      </c>
      <c r="W45" s="18">
        <f t="shared" si="25"/>
        <v>777.7777777777778</v>
      </c>
      <c r="X45" s="2">
        <f t="shared" si="26"/>
        <v>84</v>
      </c>
      <c r="Y45" s="18">
        <v>0</v>
      </c>
      <c r="Z45" s="18">
        <v>42</v>
      </c>
      <c r="AA45" s="18">
        <v>42</v>
      </c>
      <c r="AB45" s="18"/>
      <c r="AC45" s="18"/>
      <c r="AD45" s="18"/>
      <c r="AE45" s="18"/>
    </row>
    <row r="46" spans="1:31" s="17" customFormat="1" ht="13.5" customHeight="1">
      <c r="A46" s="16" t="s">
        <v>91</v>
      </c>
      <c r="B46" s="17" t="s">
        <v>92</v>
      </c>
      <c r="E46" s="2">
        <f t="shared" si="20"/>
        <v>277.388</v>
      </c>
      <c r="F46" s="3">
        <f t="shared" si="21"/>
        <v>0</v>
      </c>
      <c r="G46" s="29"/>
      <c r="H46" s="2">
        <f t="shared" si="22"/>
        <v>277.388</v>
      </c>
      <c r="I46" s="18"/>
      <c r="J46" s="18">
        <v>14</v>
      </c>
      <c r="K46" s="18"/>
      <c r="L46" s="18">
        <f>($AG$44*94)/1000</f>
        <v>263.388</v>
      </c>
      <c r="M46" s="5">
        <f t="shared" si="23"/>
        <v>0.44191919191919193</v>
      </c>
      <c r="N46" s="19"/>
      <c r="O46" s="18"/>
      <c r="P46" s="19"/>
      <c r="Q46" s="18"/>
      <c r="R46" s="19"/>
      <c r="S46" s="18"/>
      <c r="T46" s="19"/>
      <c r="U46" s="18"/>
      <c r="V46" s="19">
        <f t="shared" si="24"/>
        <v>0.44191919191919193</v>
      </c>
      <c r="W46" s="18">
        <f t="shared" si="25"/>
        <v>777.7777777777778</v>
      </c>
      <c r="X46" s="2">
        <f t="shared" si="26"/>
        <v>277</v>
      </c>
      <c r="Y46" s="18">
        <v>0</v>
      </c>
      <c r="Z46" s="18">
        <v>100</v>
      </c>
      <c r="AA46" s="18">
        <v>100</v>
      </c>
      <c r="AB46" s="18">
        <v>77</v>
      </c>
      <c r="AC46" s="18"/>
      <c r="AD46" s="18"/>
      <c r="AE46" s="18"/>
    </row>
    <row r="47" spans="1:31" s="17" customFormat="1" ht="12.75">
      <c r="A47" s="16" t="s">
        <v>93</v>
      </c>
      <c r="B47" s="17" t="s">
        <v>38</v>
      </c>
      <c r="E47" s="2">
        <f t="shared" si="20"/>
        <v>133.238</v>
      </c>
      <c r="F47" s="3">
        <f t="shared" si="21"/>
        <v>0</v>
      </c>
      <c r="G47" s="29"/>
      <c r="H47" s="2">
        <f t="shared" si="22"/>
        <v>133.238</v>
      </c>
      <c r="I47" s="18"/>
      <c r="J47" s="18">
        <v>80</v>
      </c>
      <c r="K47" s="18"/>
      <c r="L47" s="18">
        <f>($AG$44*19)/1000</f>
        <v>53.238</v>
      </c>
      <c r="M47" s="5">
        <f t="shared" si="23"/>
        <v>2.5252525252525255</v>
      </c>
      <c r="N47" s="19"/>
      <c r="O47" s="18"/>
      <c r="P47" s="19"/>
      <c r="Q47" s="18"/>
      <c r="R47" s="19"/>
      <c r="S47" s="18"/>
      <c r="T47" s="19"/>
      <c r="U47" s="18"/>
      <c r="V47" s="19">
        <f t="shared" si="24"/>
        <v>2.5252525252525255</v>
      </c>
      <c r="W47" s="18">
        <f t="shared" si="25"/>
        <v>4444.444444444445</v>
      </c>
      <c r="X47" s="2">
        <f t="shared" si="26"/>
        <v>133</v>
      </c>
      <c r="Y47" s="18">
        <v>0</v>
      </c>
      <c r="Z47" s="18">
        <v>50</v>
      </c>
      <c r="AA47" s="18">
        <v>50</v>
      </c>
      <c r="AB47" s="18">
        <v>33</v>
      </c>
      <c r="AC47" s="18"/>
      <c r="AD47" s="18"/>
      <c r="AE47" s="18"/>
    </row>
    <row r="48" spans="1:33" s="17" customFormat="1" ht="12.75">
      <c r="A48" s="16" t="s">
        <v>94</v>
      </c>
      <c r="B48" s="17" t="s">
        <v>80</v>
      </c>
      <c r="E48" s="2">
        <f t="shared" si="20"/>
        <v>144</v>
      </c>
      <c r="F48" s="3">
        <f t="shared" si="21"/>
        <v>0</v>
      </c>
      <c r="G48" s="29"/>
      <c r="H48" s="2">
        <f t="shared" si="22"/>
        <v>144</v>
      </c>
      <c r="I48" s="18"/>
      <c r="J48" s="18">
        <v>144</v>
      </c>
      <c r="K48" s="18"/>
      <c r="L48" s="18"/>
      <c r="M48" s="5">
        <f t="shared" si="23"/>
        <v>4.545454545454546</v>
      </c>
      <c r="N48" s="19"/>
      <c r="O48" s="18"/>
      <c r="P48" s="19"/>
      <c r="Q48" s="18"/>
      <c r="R48" s="19"/>
      <c r="S48" s="18"/>
      <c r="T48" s="19"/>
      <c r="U48" s="18"/>
      <c r="V48" s="19">
        <f t="shared" si="24"/>
        <v>4.545454545454546</v>
      </c>
      <c r="W48" s="18">
        <f t="shared" si="25"/>
        <v>8000.000000000001</v>
      </c>
      <c r="X48" s="2">
        <f t="shared" si="26"/>
        <v>144</v>
      </c>
      <c r="Y48" s="18">
        <v>0</v>
      </c>
      <c r="Z48" s="18">
        <v>55</v>
      </c>
      <c r="AA48" s="18">
        <v>55</v>
      </c>
      <c r="AB48" s="18">
        <v>34</v>
      </c>
      <c r="AC48" s="18"/>
      <c r="AD48" s="18"/>
      <c r="AE48" s="18"/>
      <c r="AF48" s="17" t="s">
        <v>78</v>
      </c>
      <c r="AG48" s="2">
        <v>2881</v>
      </c>
    </row>
    <row r="49" spans="1:32" s="17" customFormat="1" ht="12.75">
      <c r="A49" s="16" t="s">
        <v>95</v>
      </c>
      <c r="B49" s="17" t="s">
        <v>143</v>
      </c>
      <c r="E49" s="2">
        <f t="shared" si="20"/>
        <v>12</v>
      </c>
      <c r="F49" s="3">
        <f t="shared" si="21"/>
        <v>0</v>
      </c>
      <c r="G49" s="29"/>
      <c r="H49" s="2">
        <f t="shared" si="22"/>
        <v>12</v>
      </c>
      <c r="I49" s="18"/>
      <c r="J49" s="18">
        <v>12</v>
      </c>
      <c r="K49" s="18"/>
      <c r="L49" s="18"/>
      <c r="M49" s="5">
        <f t="shared" si="23"/>
        <v>2.298787878787879</v>
      </c>
      <c r="N49" s="19">
        <v>1.92</v>
      </c>
      <c r="O49" s="18">
        <f>N49*AG$26</f>
        <v>3379.2</v>
      </c>
      <c r="P49" s="19"/>
      <c r="Q49" s="18"/>
      <c r="R49" s="19"/>
      <c r="S49" s="18"/>
      <c r="T49" s="19"/>
      <c r="U49" s="18"/>
      <c r="V49" s="19">
        <f t="shared" si="24"/>
        <v>0.3787878787878788</v>
      </c>
      <c r="W49" s="18">
        <f t="shared" si="25"/>
        <v>666.6666666666666</v>
      </c>
      <c r="X49" s="2">
        <f t="shared" si="26"/>
        <v>12</v>
      </c>
      <c r="Y49" s="18"/>
      <c r="Z49" s="18">
        <v>5</v>
      </c>
      <c r="AA49" s="18">
        <v>5</v>
      </c>
      <c r="AB49" s="18">
        <v>2</v>
      </c>
      <c r="AC49" s="18"/>
      <c r="AD49" s="18"/>
      <c r="AE49" s="18">
        <f>N49*1760*$AG$22/1000</f>
        <v>60.8256</v>
      </c>
      <c r="AF49" s="17" t="s">
        <v>196</v>
      </c>
    </row>
    <row r="50" spans="1:31" s="17" customFormat="1" ht="12.75">
      <c r="A50" s="16" t="s">
        <v>96</v>
      </c>
      <c r="B50" s="17" t="s">
        <v>144</v>
      </c>
      <c r="E50" s="2">
        <f t="shared" si="20"/>
        <v>12</v>
      </c>
      <c r="F50" s="3">
        <f t="shared" si="21"/>
        <v>0</v>
      </c>
      <c r="G50" s="29"/>
      <c r="H50" s="2">
        <f t="shared" si="22"/>
        <v>12</v>
      </c>
      <c r="I50" s="18"/>
      <c r="J50" s="18">
        <v>12</v>
      </c>
      <c r="K50" s="18"/>
      <c r="L50" s="18"/>
      <c r="M50" s="5">
        <f t="shared" si="23"/>
        <v>0.3787878787878788</v>
      </c>
      <c r="N50" s="19"/>
      <c r="O50" s="18"/>
      <c r="P50" s="19"/>
      <c r="Q50" s="18"/>
      <c r="R50" s="19"/>
      <c r="S50" s="18"/>
      <c r="T50" s="19"/>
      <c r="U50" s="18"/>
      <c r="V50" s="19">
        <f t="shared" si="24"/>
        <v>0.3787878787878788</v>
      </c>
      <c r="W50" s="18">
        <f t="shared" si="25"/>
        <v>666.6666666666666</v>
      </c>
      <c r="X50" s="2">
        <f t="shared" si="26"/>
        <v>12</v>
      </c>
      <c r="Y50" s="18"/>
      <c r="Z50" s="18">
        <v>5</v>
      </c>
      <c r="AA50" s="18">
        <v>5</v>
      </c>
      <c r="AB50" s="18">
        <v>2</v>
      </c>
      <c r="AC50" s="18"/>
      <c r="AD50" s="18"/>
      <c r="AE50" s="18"/>
    </row>
    <row r="51" spans="5:31" s="20" customFormat="1" ht="12.75">
      <c r="E51" s="2"/>
      <c r="F51" s="3"/>
      <c r="G51" s="29"/>
      <c r="H51" s="2"/>
      <c r="I51" s="18"/>
      <c r="J51" s="18"/>
      <c r="K51" s="18"/>
      <c r="L51" s="18"/>
      <c r="M51" s="5"/>
      <c r="N51" s="19"/>
      <c r="O51" s="18"/>
      <c r="P51" s="19"/>
      <c r="Q51" s="18"/>
      <c r="R51" s="19"/>
      <c r="S51" s="18"/>
      <c r="T51" s="19"/>
      <c r="U51" s="18"/>
      <c r="V51" s="19"/>
      <c r="W51" s="18"/>
      <c r="X51" s="2"/>
      <c r="Y51" s="18"/>
      <c r="Z51" s="18"/>
      <c r="AA51" s="18"/>
      <c r="AB51" s="18"/>
      <c r="AC51" s="18"/>
      <c r="AD51" s="18"/>
      <c r="AE51" s="18"/>
    </row>
    <row r="52" spans="1:32" s="20" customFormat="1" ht="12.75">
      <c r="A52" s="17" t="s">
        <v>97</v>
      </c>
      <c r="B52" s="17" t="s">
        <v>98</v>
      </c>
      <c r="E52" s="2">
        <f>SUM(I52:L52)</f>
        <v>24</v>
      </c>
      <c r="F52" s="3">
        <f>E52*G52</f>
        <v>0</v>
      </c>
      <c r="G52" s="29"/>
      <c r="H52" s="2">
        <f>SUM(E52:F52)</f>
        <v>24</v>
      </c>
      <c r="I52" s="18"/>
      <c r="J52" s="18">
        <v>24</v>
      </c>
      <c r="K52" s="18"/>
      <c r="L52" s="18"/>
      <c r="M52" s="5">
        <f t="shared" si="23"/>
        <v>4.597575757575758</v>
      </c>
      <c r="N52" s="19">
        <v>1.92</v>
      </c>
      <c r="O52" s="18">
        <f>N52*AG$26</f>
        <v>3379.2</v>
      </c>
      <c r="P52" s="19">
        <v>1.92</v>
      </c>
      <c r="Q52" s="18">
        <f>P52*AG$26</f>
        <v>3379.2</v>
      </c>
      <c r="R52" s="19"/>
      <c r="S52" s="18"/>
      <c r="T52" s="19"/>
      <c r="U52" s="18"/>
      <c r="V52" s="19">
        <f>J52/$AG$25/1.76</f>
        <v>0.7575757575757576</v>
      </c>
      <c r="W52" s="18">
        <f>V52*AG$26</f>
        <v>1333.3333333333333</v>
      </c>
      <c r="X52" s="2">
        <f>SUM(Y52:AC52)</f>
        <v>24</v>
      </c>
      <c r="Y52" s="18"/>
      <c r="Z52" s="18">
        <v>10</v>
      </c>
      <c r="AA52" s="18">
        <v>10</v>
      </c>
      <c r="AB52" s="18">
        <v>4</v>
      </c>
      <c r="AC52" s="18"/>
      <c r="AD52" s="18"/>
      <c r="AE52" s="18">
        <f>N52*1760*$AG$22/1000+P52*1760*AG23/1000</f>
        <v>141.9264</v>
      </c>
      <c r="AF52" s="17" t="s">
        <v>196</v>
      </c>
    </row>
    <row r="53" spans="5:31" s="20" customFormat="1" ht="12.75">
      <c r="E53" s="2"/>
      <c r="F53" s="3"/>
      <c r="G53" s="29"/>
      <c r="H53" s="2"/>
      <c r="I53" s="18"/>
      <c r="J53" s="18"/>
      <c r="K53" s="18"/>
      <c r="L53" s="18"/>
      <c r="M53" s="5"/>
      <c r="N53" s="19"/>
      <c r="O53" s="18"/>
      <c r="P53" s="19"/>
      <c r="Q53" s="18"/>
      <c r="R53" s="19"/>
      <c r="S53" s="18"/>
      <c r="T53" s="19"/>
      <c r="U53" s="18"/>
      <c r="V53" s="19"/>
      <c r="W53" s="18"/>
      <c r="X53" s="2"/>
      <c r="Y53" s="18"/>
      <c r="Z53" s="18"/>
      <c r="AA53" s="18"/>
      <c r="AB53" s="18"/>
      <c r="AC53" s="18"/>
      <c r="AD53" s="18"/>
      <c r="AE53" s="18"/>
    </row>
    <row r="54" spans="1:32" s="17" customFormat="1" ht="12.75">
      <c r="A54" s="16" t="s">
        <v>99</v>
      </c>
      <c r="B54" s="17" t="s">
        <v>100</v>
      </c>
      <c r="E54" s="2">
        <f>SUM(I54:L54)</f>
        <v>96.12</v>
      </c>
      <c r="F54" s="3">
        <f>E54*G54</f>
        <v>0</v>
      </c>
      <c r="G54" s="29"/>
      <c r="H54" s="2">
        <f>SUM(E54:F54)</f>
        <v>96.12</v>
      </c>
      <c r="I54" s="18">
        <f>(32*190)/1000</f>
        <v>6.08</v>
      </c>
      <c r="J54" s="18">
        <v>27</v>
      </c>
      <c r="K54" s="18"/>
      <c r="L54" s="18">
        <f>(32*1970)/1000</f>
        <v>63.04</v>
      </c>
      <c r="M54" s="5">
        <f>N54+P54+R54+T54+V54</f>
        <v>1.668939393939394</v>
      </c>
      <c r="N54" s="19">
        <v>0.5</v>
      </c>
      <c r="O54" s="18">
        <v>0</v>
      </c>
      <c r="P54" s="19">
        <f>(I54/$AG$23)/1.76</f>
        <v>0.14393939393939395</v>
      </c>
      <c r="Q54" s="18">
        <f>P54*AG$26</f>
        <v>253.33333333333334</v>
      </c>
      <c r="R54" s="19">
        <v>0</v>
      </c>
      <c r="S54" s="18">
        <v>0</v>
      </c>
      <c r="T54" s="19">
        <f>(I54/$AG$24)/1.76</f>
        <v>0.17272727272727273</v>
      </c>
      <c r="U54" s="18">
        <f>T54*AG$26</f>
        <v>304</v>
      </c>
      <c r="V54" s="19">
        <f>J54/$AG$25/1.76</f>
        <v>0.8522727272727273</v>
      </c>
      <c r="W54" s="18">
        <f>V54*AG$26</f>
        <v>1500</v>
      </c>
      <c r="X54" s="2">
        <f>SUM(Y54:AC54)</f>
        <v>96</v>
      </c>
      <c r="Y54" s="18">
        <v>0</v>
      </c>
      <c r="Z54" s="18">
        <v>0</v>
      </c>
      <c r="AA54" s="18">
        <v>48</v>
      </c>
      <c r="AB54" s="18">
        <v>48</v>
      </c>
      <c r="AC54" s="18"/>
      <c r="AD54" s="18"/>
      <c r="AE54" s="18">
        <f>N54*1760*$AG$22/1000</f>
        <v>15.84</v>
      </c>
      <c r="AF54" s="17" t="s">
        <v>196</v>
      </c>
    </row>
    <row r="55" spans="5:31" s="20" customFormat="1" ht="12.75">
      <c r="E55" s="2"/>
      <c r="F55" s="3"/>
      <c r="G55" s="29"/>
      <c r="H55" s="2"/>
      <c r="I55" s="18"/>
      <c r="J55" s="18"/>
      <c r="K55" s="18"/>
      <c r="L55" s="18"/>
      <c r="M55" s="5"/>
      <c r="N55" s="19"/>
      <c r="O55" s="18"/>
      <c r="P55" s="19"/>
      <c r="Q55" s="18"/>
      <c r="R55" s="19"/>
      <c r="S55" s="18"/>
      <c r="T55" s="19"/>
      <c r="U55" s="18"/>
      <c r="V55" s="19"/>
      <c r="W55" s="18"/>
      <c r="X55" s="2"/>
      <c r="Y55" s="18"/>
      <c r="Z55" s="18"/>
      <c r="AA55" s="18"/>
      <c r="AB55" s="18"/>
      <c r="AC55" s="18"/>
      <c r="AD55" s="18"/>
      <c r="AE55" s="18"/>
    </row>
    <row r="56" spans="1:31" s="17" customFormat="1" ht="12.75">
      <c r="A56" s="16" t="s">
        <v>101</v>
      </c>
      <c r="B56" s="17" t="s">
        <v>102</v>
      </c>
      <c r="E56" s="2">
        <f>E58+E62+E66+E70+E74</f>
        <v>475</v>
      </c>
      <c r="F56" s="2">
        <f>F58+F62+F66+F70+F74</f>
        <v>0</v>
      </c>
      <c r="G56" s="28">
        <f>F56/E56</f>
        <v>0</v>
      </c>
      <c r="H56" s="2">
        <f aca="true" t="shared" si="27" ref="H56:AE56">H58+H62+H66+H70+H74</f>
        <v>475</v>
      </c>
      <c r="I56" s="2">
        <f t="shared" si="27"/>
        <v>65</v>
      </c>
      <c r="J56" s="2">
        <f t="shared" si="27"/>
        <v>290</v>
      </c>
      <c r="K56" s="2">
        <f t="shared" si="27"/>
        <v>0</v>
      </c>
      <c r="L56" s="2">
        <f t="shared" si="27"/>
        <v>120</v>
      </c>
      <c r="M56" s="5">
        <f t="shared" si="27"/>
        <v>12.260631313131313</v>
      </c>
      <c r="N56" s="5">
        <f t="shared" si="27"/>
        <v>0</v>
      </c>
      <c r="O56" s="2">
        <f t="shared" si="27"/>
        <v>0</v>
      </c>
      <c r="P56" s="5">
        <f t="shared" si="27"/>
        <v>0.96</v>
      </c>
      <c r="Q56" s="2">
        <f t="shared" si="27"/>
        <v>1689.6</v>
      </c>
      <c r="R56" s="5">
        <f t="shared" si="27"/>
        <v>0</v>
      </c>
      <c r="S56" s="2">
        <f t="shared" si="27"/>
        <v>0</v>
      </c>
      <c r="T56" s="5">
        <f t="shared" si="27"/>
        <v>2.146590909090909</v>
      </c>
      <c r="U56" s="2">
        <f t="shared" si="27"/>
        <v>3778.0000000000005</v>
      </c>
      <c r="V56" s="5">
        <f t="shared" si="27"/>
        <v>9.154040404040405</v>
      </c>
      <c r="W56" s="2">
        <f t="shared" si="27"/>
        <v>16111.111111111111</v>
      </c>
      <c r="X56" s="2">
        <f t="shared" si="27"/>
        <v>475</v>
      </c>
      <c r="Y56" s="2">
        <f t="shared" si="27"/>
        <v>0</v>
      </c>
      <c r="Z56" s="2">
        <f t="shared" si="27"/>
        <v>100</v>
      </c>
      <c r="AA56" s="2">
        <f t="shared" si="27"/>
        <v>375</v>
      </c>
      <c r="AB56" s="2">
        <f t="shared" si="27"/>
        <v>0</v>
      </c>
      <c r="AC56" s="2">
        <f t="shared" si="27"/>
        <v>0</v>
      </c>
      <c r="AD56" s="2">
        <f t="shared" si="27"/>
        <v>0</v>
      </c>
      <c r="AE56" s="2">
        <f t="shared" si="27"/>
        <v>51.1104</v>
      </c>
    </row>
    <row r="57" spans="1:31" ht="12.75">
      <c r="A57" s="17"/>
      <c r="B57" s="17"/>
      <c r="C57" s="20"/>
      <c r="D57" s="20"/>
      <c r="G57" s="28"/>
      <c r="I57" s="2"/>
      <c r="J57" s="2"/>
      <c r="K57" s="2"/>
      <c r="L57" s="2"/>
      <c r="N57" s="5"/>
      <c r="O57" s="2"/>
      <c r="P57" s="5"/>
      <c r="Q57" s="2"/>
      <c r="R57" s="5"/>
      <c r="S57" s="2"/>
      <c r="T57" s="5"/>
      <c r="U57" s="2"/>
      <c r="V57" s="5"/>
      <c r="W57" s="2"/>
      <c r="Y57" s="2"/>
      <c r="Z57" s="2"/>
      <c r="AA57" s="2"/>
      <c r="AB57" s="2"/>
      <c r="AC57" s="2"/>
      <c r="AD57" s="2"/>
      <c r="AE57" s="2"/>
    </row>
    <row r="58" spans="1:31" ht="12.75">
      <c r="A58" s="16" t="s">
        <v>103</v>
      </c>
      <c r="B58" s="17" t="s">
        <v>159</v>
      </c>
      <c r="C58" s="20"/>
      <c r="D58" s="20"/>
      <c r="E58" s="2">
        <f>SUM(E59:E60)</f>
        <v>230</v>
      </c>
      <c r="F58" s="2">
        <f>SUM(F59:F60)</f>
        <v>0</v>
      </c>
      <c r="G58" s="28">
        <f>F58/E58</f>
        <v>0</v>
      </c>
      <c r="H58" s="2">
        <f aca="true" t="shared" si="28" ref="H58:AE58">SUM(H59:H60)</f>
        <v>230</v>
      </c>
      <c r="I58" s="2">
        <f t="shared" si="28"/>
        <v>20</v>
      </c>
      <c r="J58" s="2">
        <f t="shared" si="28"/>
        <v>180</v>
      </c>
      <c r="K58" s="2">
        <f t="shared" si="28"/>
        <v>0</v>
      </c>
      <c r="L58" s="2">
        <f t="shared" si="28"/>
        <v>30</v>
      </c>
      <c r="M58" s="5">
        <f t="shared" si="28"/>
        <v>6.25</v>
      </c>
      <c r="N58" s="5">
        <f t="shared" si="28"/>
        <v>0</v>
      </c>
      <c r="O58" s="2">
        <f t="shared" si="28"/>
        <v>0</v>
      </c>
      <c r="P58" s="5">
        <f t="shared" si="28"/>
        <v>0</v>
      </c>
      <c r="Q58" s="2">
        <f t="shared" si="28"/>
        <v>0</v>
      </c>
      <c r="R58" s="5">
        <f t="shared" si="28"/>
        <v>0</v>
      </c>
      <c r="S58" s="2">
        <f t="shared" si="28"/>
        <v>0</v>
      </c>
      <c r="T58" s="5">
        <f>SUM(T59:T60)</f>
        <v>0.5681818181818182</v>
      </c>
      <c r="U58" s="2">
        <f>SUM(U59:U60)</f>
        <v>1000.0000000000001</v>
      </c>
      <c r="V58" s="5">
        <f t="shared" si="28"/>
        <v>5.681818181818182</v>
      </c>
      <c r="W58" s="2">
        <f t="shared" si="28"/>
        <v>10000</v>
      </c>
      <c r="X58" s="2">
        <f t="shared" si="28"/>
        <v>230</v>
      </c>
      <c r="Y58" s="2">
        <f t="shared" si="28"/>
        <v>0</v>
      </c>
      <c r="Z58" s="2">
        <f t="shared" si="28"/>
        <v>75</v>
      </c>
      <c r="AA58" s="2">
        <f t="shared" si="28"/>
        <v>155</v>
      </c>
      <c r="AB58" s="2">
        <f t="shared" si="28"/>
        <v>0</v>
      </c>
      <c r="AC58" s="2">
        <f t="shared" si="28"/>
        <v>0</v>
      </c>
      <c r="AD58" s="2">
        <f t="shared" si="28"/>
        <v>0</v>
      </c>
      <c r="AE58" s="2">
        <f t="shared" si="28"/>
        <v>0</v>
      </c>
    </row>
    <row r="59" spans="1:31" s="20" customFormat="1" ht="12.75">
      <c r="A59" s="20" t="s">
        <v>105</v>
      </c>
      <c r="B59" s="20" t="s">
        <v>104</v>
      </c>
      <c r="E59" s="2">
        <f>SUM(I59:L59)</f>
        <v>20</v>
      </c>
      <c r="F59" s="3">
        <f>E59*G59</f>
        <v>0</v>
      </c>
      <c r="G59" s="29"/>
      <c r="H59" s="2">
        <f>SUM(E59:F59)</f>
        <v>20</v>
      </c>
      <c r="I59" s="18">
        <v>20</v>
      </c>
      <c r="J59" s="18"/>
      <c r="K59" s="18"/>
      <c r="L59" s="18"/>
      <c r="M59" s="5">
        <f>N59+T59+R59+V59</f>
        <v>0.5681818181818182</v>
      </c>
      <c r="N59" s="19"/>
      <c r="O59" s="18">
        <v>0</v>
      </c>
      <c r="P59" s="19"/>
      <c r="R59" s="19">
        <v>0</v>
      </c>
      <c r="S59" s="18">
        <v>0</v>
      </c>
      <c r="T59" s="19">
        <f>(I59/$AG$24)/1.76</f>
        <v>0.5681818181818182</v>
      </c>
      <c r="U59" s="18">
        <f>T59*AG$26</f>
        <v>1000.0000000000001</v>
      </c>
      <c r="V59" s="19"/>
      <c r="W59" s="18">
        <v>0</v>
      </c>
      <c r="X59" s="2">
        <f>SUM(Y59:AC59)</f>
        <v>20</v>
      </c>
      <c r="Y59" s="18"/>
      <c r="Z59" s="18">
        <v>20</v>
      </c>
      <c r="AA59" s="18"/>
      <c r="AB59" s="18"/>
      <c r="AC59" s="18"/>
      <c r="AD59" s="18"/>
      <c r="AE59" s="18"/>
    </row>
    <row r="60" spans="1:31" s="20" customFormat="1" ht="12.75">
      <c r="A60" s="20" t="s">
        <v>106</v>
      </c>
      <c r="B60" s="20" t="s">
        <v>88</v>
      </c>
      <c r="E60" s="2">
        <f>SUM(I60:L60)</f>
        <v>210</v>
      </c>
      <c r="F60" s="3">
        <f>E60*G60</f>
        <v>0</v>
      </c>
      <c r="G60" s="29"/>
      <c r="H60" s="2">
        <f>SUM(E60:F60)</f>
        <v>210</v>
      </c>
      <c r="I60" s="18"/>
      <c r="J60" s="18">
        <f>2*90</f>
        <v>180</v>
      </c>
      <c r="K60" s="18"/>
      <c r="L60" s="18">
        <f>2*15</f>
        <v>30</v>
      </c>
      <c r="M60" s="5">
        <f>N60+P60+R60+T60+V60</f>
        <v>5.681818181818182</v>
      </c>
      <c r="N60" s="19"/>
      <c r="O60" s="18"/>
      <c r="P60" s="19"/>
      <c r="Q60" s="18"/>
      <c r="R60" s="19"/>
      <c r="S60" s="18"/>
      <c r="T60" s="19"/>
      <c r="U60" s="18"/>
      <c r="V60" s="19">
        <f>J60/$AG$25/1.76</f>
        <v>5.681818181818182</v>
      </c>
      <c r="W60" s="18">
        <f>V60*AG$26</f>
        <v>10000</v>
      </c>
      <c r="X60" s="2">
        <f>SUM(Y60:AC60)</f>
        <v>210</v>
      </c>
      <c r="Y60" s="18"/>
      <c r="Z60" s="18">
        <v>55</v>
      </c>
      <c r="AA60" s="18">
        <v>155</v>
      </c>
      <c r="AB60" s="18"/>
      <c r="AC60" s="18"/>
      <c r="AD60" s="18"/>
      <c r="AE60" s="18"/>
    </row>
    <row r="61" spans="5:31" s="20" customFormat="1" ht="12.75">
      <c r="E61" s="2"/>
      <c r="F61" s="3"/>
      <c r="G61" s="29"/>
      <c r="H61" s="2"/>
      <c r="I61" s="18"/>
      <c r="J61" s="18"/>
      <c r="K61" s="18"/>
      <c r="L61" s="18"/>
      <c r="M61" s="5"/>
      <c r="N61" s="19"/>
      <c r="O61" s="18"/>
      <c r="P61" s="19"/>
      <c r="Q61" s="18"/>
      <c r="R61" s="19"/>
      <c r="S61" s="18"/>
      <c r="T61" s="19"/>
      <c r="U61" s="18"/>
      <c r="V61" s="19"/>
      <c r="W61" s="18"/>
      <c r="X61" s="2"/>
      <c r="Y61" s="18"/>
      <c r="Z61" s="18"/>
      <c r="AA61" s="18"/>
      <c r="AB61" s="18"/>
      <c r="AC61" s="18"/>
      <c r="AD61" s="18"/>
      <c r="AE61" s="18"/>
    </row>
    <row r="62" spans="1:31" ht="12.75">
      <c r="A62" s="16" t="s">
        <v>206</v>
      </c>
      <c r="B62" s="17" t="s">
        <v>163</v>
      </c>
      <c r="C62" s="20"/>
      <c r="D62" s="20"/>
      <c r="E62" s="2">
        <f>SUM(E63:E64)</f>
        <v>140</v>
      </c>
      <c r="F62" s="2">
        <f>SUM(F63:F64)</f>
        <v>0</v>
      </c>
      <c r="G62" s="28">
        <f>F62/E62</f>
        <v>0</v>
      </c>
      <c r="H62" s="2">
        <f aca="true" t="shared" si="29" ref="H62:AE62">SUM(H63:H64)</f>
        <v>140</v>
      </c>
      <c r="I62" s="2">
        <f t="shared" si="29"/>
        <v>20</v>
      </c>
      <c r="J62" s="2">
        <f t="shared" si="29"/>
        <v>60</v>
      </c>
      <c r="K62" s="2">
        <f t="shared" si="29"/>
        <v>0</v>
      </c>
      <c r="L62" s="2">
        <f t="shared" si="29"/>
        <v>60</v>
      </c>
      <c r="M62" s="5">
        <f t="shared" si="29"/>
        <v>2.4621212121212124</v>
      </c>
      <c r="N62" s="5">
        <f t="shared" si="29"/>
        <v>0</v>
      </c>
      <c r="O62" s="2">
        <f t="shared" si="29"/>
        <v>0</v>
      </c>
      <c r="P62" s="5">
        <f t="shared" si="29"/>
        <v>0</v>
      </c>
      <c r="Q62" s="2">
        <f t="shared" si="29"/>
        <v>0</v>
      </c>
      <c r="R62" s="5">
        <f t="shared" si="29"/>
        <v>0</v>
      </c>
      <c r="S62" s="2">
        <f t="shared" si="29"/>
        <v>0</v>
      </c>
      <c r="T62" s="5">
        <f t="shared" si="29"/>
        <v>0.5681818181818182</v>
      </c>
      <c r="U62" s="2">
        <f t="shared" si="29"/>
        <v>1000.0000000000001</v>
      </c>
      <c r="V62" s="5">
        <f t="shared" si="29"/>
        <v>1.893939393939394</v>
      </c>
      <c r="W62" s="2">
        <f t="shared" si="29"/>
        <v>3333.3333333333335</v>
      </c>
      <c r="X62" s="2">
        <f t="shared" si="29"/>
        <v>140</v>
      </c>
      <c r="Y62" s="2">
        <f t="shared" si="29"/>
        <v>0</v>
      </c>
      <c r="Z62" s="2">
        <f t="shared" si="29"/>
        <v>20</v>
      </c>
      <c r="AA62" s="2">
        <f t="shared" si="29"/>
        <v>120</v>
      </c>
      <c r="AB62" s="2">
        <f t="shared" si="29"/>
        <v>0</v>
      </c>
      <c r="AC62" s="2">
        <f t="shared" si="29"/>
        <v>0</v>
      </c>
      <c r="AD62" s="2">
        <f t="shared" si="29"/>
        <v>0</v>
      </c>
      <c r="AE62" s="2">
        <f t="shared" si="29"/>
        <v>0</v>
      </c>
    </row>
    <row r="63" spans="1:31" s="20" customFormat="1" ht="12.75">
      <c r="A63" s="20" t="s">
        <v>207</v>
      </c>
      <c r="B63" s="20" t="s">
        <v>104</v>
      </c>
      <c r="E63" s="2">
        <f>SUM(I63:L63)</f>
        <v>20</v>
      </c>
      <c r="F63" s="3">
        <f>E63*G63</f>
        <v>0</v>
      </c>
      <c r="G63" s="29"/>
      <c r="H63" s="2">
        <f>SUM(E63:F63)</f>
        <v>20</v>
      </c>
      <c r="I63" s="18">
        <v>20</v>
      </c>
      <c r="J63" s="18"/>
      <c r="K63" s="18"/>
      <c r="L63" s="18"/>
      <c r="M63" s="5">
        <f>N63+P63+R63+T63+V63</f>
        <v>0.5681818181818182</v>
      </c>
      <c r="N63" s="19"/>
      <c r="O63" s="18">
        <v>0</v>
      </c>
      <c r="P63" s="19">
        <v>0</v>
      </c>
      <c r="Q63" s="18">
        <f>P63*AG$26</f>
        <v>0</v>
      </c>
      <c r="R63" s="19">
        <v>0</v>
      </c>
      <c r="S63" s="18">
        <v>0</v>
      </c>
      <c r="T63" s="19">
        <f>(I63/$AG$24)/1.76</f>
        <v>0.5681818181818182</v>
      </c>
      <c r="U63" s="18">
        <f>T63*AG$26</f>
        <v>1000.0000000000001</v>
      </c>
      <c r="V63" s="19"/>
      <c r="W63" s="18">
        <v>0</v>
      </c>
      <c r="X63" s="2">
        <f>SUM(Y63:AC63)</f>
        <v>20</v>
      </c>
      <c r="Y63" s="18"/>
      <c r="Z63" s="18">
        <v>20</v>
      </c>
      <c r="AA63" s="18"/>
      <c r="AB63" s="18"/>
      <c r="AC63" s="18"/>
      <c r="AD63" s="18"/>
      <c r="AE63" s="18"/>
    </row>
    <row r="64" spans="1:31" s="20" customFormat="1" ht="12.75">
      <c r="A64" s="20" t="s">
        <v>208</v>
      </c>
      <c r="B64" s="20" t="s">
        <v>88</v>
      </c>
      <c r="E64" s="2">
        <f>SUM(I64:L64)</f>
        <v>120</v>
      </c>
      <c r="F64" s="3">
        <f>E64*G64</f>
        <v>0</v>
      </c>
      <c r="G64" s="29"/>
      <c r="H64" s="2">
        <f>SUM(E64:F64)</f>
        <v>120</v>
      </c>
      <c r="I64" s="18"/>
      <c r="J64" s="18">
        <f>12*5</f>
        <v>60</v>
      </c>
      <c r="K64" s="18"/>
      <c r="L64" s="18">
        <f>12*5</f>
        <v>60</v>
      </c>
      <c r="M64" s="5">
        <f>N64+P64+R64+T64+V64</f>
        <v>1.893939393939394</v>
      </c>
      <c r="N64" s="19"/>
      <c r="O64" s="18"/>
      <c r="P64" s="19"/>
      <c r="Q64" s="18"/>
      <c r="R64" s="19"/>
      <c r="S64" s="18"/>
      <c r="T64" s="19"/>
      <c r="U64" s="18"/>
      <c r="V64" s="19">
        <f>J64/$AG$25/1.76</f>
        <v>1.893939393939394</v>
      </c>
      <c r="W64" s="18">
        <f>V64*AG$26</f>
        <v>3333.3333333333335</v>
      </c>
      <c r="X64" s="2">
        <f>SUM(Y64:AC64)</f>
        <v>120</v>
      </c>
      <c r="Y64" s="18"/>
      <c r="Z64" s="18"/>
      <c r="AA64" s="18">
        <v>120</v>
      </c>
      <c r="AB64" s="18"/>
      <c r="AC64" s="18"/>
      <c r="AD64" s="18"/>
      <c r="AE64" s="18"/>
    </row>
    <row r="65" spans="5:31" s="20" customFormat="1" ht="12.75">
      <c r="E65" s="2"/>
      <c r="F65" s="3"/>
      <c r="G65" s="29"/>
      <c r="H65" s="2"/>
      <c r="I65" s="18"/>
      <c r="J65" s="18"/>
      <c r="K65" s="18"/>
      <c r="L65" s="18"/>
      <c r="M65" s="5"/>
      <c r="N65" s="19"/>
      <c r="O65" s="18"/>
      <c r="P65" s="19"/>
      <c r="Q65" s="18"/>
      <c r="R65" s="19"/>
      <c r="S65" s="18"/>
      <c r="T65" s="19"/>
      <c r="U65" s="18"/>
      <c r="V65" s="19"/>
      <c r="W65" s="18"/>
      <c r="X65" s="2"/>
      <c r="Y65" s="18"/>
      <c r="Z65" s="18"/>
      <c r="AA65" s="18"/>
      <c r="AB65" s="18"/>
      <c r="AC65" s="18"/>
      <c r="AD65" s="18"/>
      <c r="AE65" s="18"/>
    </row>
    <row r="66" spans="1:31" ht="12.75">
      <c r="A66" s="16" t="s">
        <v>209</v>
      </c>
      <c r="B66" s="17" t="s">
        <v>164</v>
      </c>
      <c r="C66" s="20"/>
      <c r="D66" s="20"/>
      <c r="E66" s="2">
        <f>SUM(E67:E68)</f>
        <v>40</v>
      </c>
      <c r="F66" s="2">
        <f>SUM(F67:F68)</f>
        <v>0</v>
      </c>
      <c r="G66" s="28">
        <f>F66/E66</f>
        <v>0</v>
      </c>
      <c r="H66" s="2">
        <f aca="true" t="shared" si="30" ref="H66:AE66">SUM(H67:H68)</f>
        <v>40</v>
      </c>
      <c r="I66" s="2">
        <f t="shared" si="30"/>
        <v>10</v>
      </c>
      <c r="J66" s="2">
        <f t="shared" si="30"/>
        <v>20</v>
      </c>
      <c r="K66" s="2">
        <f t="shared" si="30"/>
        <v>0</v>
      </c>
      <c r="L66" s="2">
        <f t="shared" si="30"/>
        <v>10</v>
      </c>
      <c r="M66" s="5">
        <f t="shared" si="30"/>
        <v>0.9154040404040404</v>
      </c>
      <c r="N66" s="5">
        <f t="shared" si="30"/>
        <v>0</v>
      </c>
      <c r="O66" s="2">
        <f t="shared" si="30"/>
        <v>0</v>
      </c>
      <c r="P66" s="5">
        <f t="shared" si="30"/>
        <v>0</v>
      </c>
      <c r="Q66" s="2">
        <f t="shared" si="30"/>
        <v>0</v>
      </c>
      <c r="R66" s="5">
        <f t="shared" si="30"/>
        <v>0</v>
      </c>
      <c r="S66" s="2">
        <f t="shared" si="30"/>
        <v>0</v>
      </c>
      <c r="T66" s="5">
        <f t="shared" si="30"/>
        <v>0.2840909090909091</v>
      </c>
      <c r="U66" s="2">
        <f t="shared" si="30"/>
        <v>500.00000000000006</v>
      </c>
      <c r="V66" s="5">
        <f t="shared" si="30"/>
        <v>0.6313131313131314</v>
      </c>
      <c r="W66" s="2">
        <f t="shared" si="30"/>
        <v>1111.1111111111113</v>
      </c>
      <c r="X66" s="2">
        <f t="shared" si="30"/>
        <v>40</v>
      </c>
      <c r="Y66" s="2">
        <f t="shared" si="30"/>
        <v>0</v>
      </c>
      <c r="Z66" s="2">
        <f t="shared" si="30"/>
        <v>5</v>
      </c>
      <c r="AA66" s="2">
        <f t="shared" si="30"/>
        <v>35</v>
      </c>
      <c r="AB66" s="2">
        <f t="shared" si="30"/>
        <v>0</v>
      </c>
      <c r="AC66" s="2">
        <f t="shared" si="30"/>
        <v>0</v>
      </c>
      <c r="AD66" s="2">
        <f t="shared" si="30"/>
        <v>0</v>
      </c>
      <c r="AE66" s="2">
        <f t="shared" si="30"/>
        <v>0</v>
      </c>
    </row>
    <row r="67" spans="1:31" s="20" customFormat="1" ht="12.75">
      <c r="A67" s="20" t="s">
        <v>210</v>
      </c>
      <c r="B67" s="20" t="s">
        <v>104</v>
      </c>
      <c r="E67" s="2">
        <f>SUM(I67:L67)</f>
        <v>10</v>
      </c>
      <c r="F67" s="3">
        <f>E67*G67</f>
        <v>0</v>
      </c>
      <c r="G67" s="29"/>
      <c r="H67" s="2">
        <f>SUM(E67:F67)</f>
        <v>10</v>
      </c>
      <c r="I67" s="18">
        <v>10</v>
      </c>
      <c r="J67" s="18"/>
      <c r="K67" s="18"/>
      <c r="L67" s="18"/>
      <c r="M67" s="5">
        <f>N67+P67+R67+T67+V67</f>
        <v>0.2840909090909091</v>
      </c>
      <c r="N67" s="19"/>
      <c r="O67" s="18">
        <v>0</v>
      </c>
      <c r="P67" s="19">
        <v>0</v>
      </c>
      <c r="Q67" s="18">
        <f>P67*AG$26</f>
        <v>0</v>
      </c>
      <c r="R67" s="19">
        <v>0</v>
      </c>
      <c r="S67" s="18">
        <v>0</v>
      </c>
      <c r="T67" s="19">
        <f>(I67/$AG$24)/1.76</f>
        <v>0.2840909090909091</v>
      </c>
      <c r="U67" s="18">
        <f>T67*AG$26</f>
        <v>500.00000000000006</v>
      </c>
      <c r="V67" s="19"/>
      <c r="W67" s="18">
        <v>0</v>
      </c>
      <c r="X67" s="2">
        <f>SUM(Y67:AC67)</f>
        <v>10</v>
      </c>
      <c r="Y67" s="18"/>
      <c r="Z67" s="18">
        <v>5</v>
      </c>
      <c r="AA67" s="18">
        <v>5</v>
      </c>
      <c r="AB67" s="18"/>
      <c r="AC67" s="18"/>
      <c r="AD67" s="18"/>
      <c r="AE67" s="18"/>
    </row>
    <row r="68" spans="1:31" s="20" customFormat="1" ht="12.75">
      <c r="A68" s="20" t="s">
        <v>211</v>
      </c>
      <c r="B68" s="20" t="s">
        <v>88</v>
      </c>
      <c r="E68" s="2">
        <f>SUM(I68:L68)</f>
        <v>30</v>
      </c>
      <c r="F68" s="3">
        <f>E68*G68</f>
        <v>0</v>
      </c>
      <c r="G68" s="29"/>
      <c r="H68" s="2">
        <f>SUM(E68:F68)</f>
        <v>30</v>
      </c>
      <c r="I68" s="18"/>
      <c r="J68" s="18">
        <v>20</v>
      </c>
      <c r="K68" s="18"/>
      <c r="L68" s="18">
        <v>10</v>
      </c>
      <c r="M68" s="5">
        <f>N68+P68+R68+T68+V68</f>
        <v>0.6313131313131314</v>
      </c>
      <c r="N68" s="19"/>
      <c r="O68" s="18"/>
      <c r="P68" s="19"/>
      <c r="Q68" s="18"/>
      <c r="R68" s="19"/>
      <c r="S68" s="18"/>
      <c r="T68" s="19"/>
      <c r="U68" s="18"/>
      <c r="V68" s="19">
        <f>J68/$AG$25/1.76</f>
        <v>0.6313131313131314</v>
      </c>
      <c r="W68" s="18">
        <f>V68*AG$26</f>
        <v>1111.1111111111113</v>
      </c>
      <c r="X68" s="2">
        <f>SUM(Y68:AC68)</f>
        <v>30</v>
      </c>
      <c r="Y68" s="18"/>
      <c r="Z68" s="18"/>
      <c r="AA68" s="18">
        <v>30</v>
      </c>
      <c r="AB68" s="18"/>
      <c r="AC68" s="18"/>
      <c r="AD68" s="18"/>
      <c r="AE68" s="18"/>
    </row>
    <row r="69" spans="3:31" s="20" customFormat="1" ht="12.75">
      <c r="C69" s="17"/>
      <c r="E69" s="2"/>
      <c r="F69" s="3"/>
      <c r="G69" s="29"/>
      <c r="H69" s="2"/>
      <c r="I69" s="18"/>
      <c r="J69" s="18"/>
      <c r="K69" s="18"/>
      <c r="L69" s="18"/>
      <c r="M69" s="5"/>
      <c r="N69" s="19"/>
      <c r="O69" s="18"/>
      <c r="P69" s="19"/>
      <c r="Q69" s="18"/>
      <c r="R69" s="19"/>
      <c r="S69" s="18"/>
      <c r="T69" s="19"/>
      <c r="U69" s="18"/>
      <c r="V69" s="19"/>
      <c r="W69" s="18"/>
      <c r="X69" s="2"/>
      <c r="Y69" s="18"/>
      <c r="Z69" s="18"/>
      <c r="AA69" s="18"/>
      <c r="AB69" s="18"/>
      <c r="AC69" s="18"/>
      <c r="AD69" s="18"/>
      <c r="AE69" s="18"/>
    </row>
    <row r="70" spans="1:31" ht="12.75">
      <c r="A70" s="16" t="s">
        <v>160</v>
      </c>
      <c r="B70" s="17" t="s">
        <v>165</v>
      </c>
      <c r="C70" s="20"/>
      <c r="D70" s="20"/>
      <c r="E70" s="2">
        <f>SUM(E71:E72)</f>
        <v>65</v>
      </c>
      <c r="F70" s="2">
        <f>SUM(F71:F72)</f>
        <v>0</v>
      </c>
      <c r="G70" s="28">
        <f>F70/E70</f>
        <v>0</v>
      </c>
      <c r="H70" s="2">
        <f aca="true" t="shared" si="31" ref="H70:AE70">SUM(H71:H72)</f>
        <v>65</v>
      </c>
      <c r="I70" s="2">
        <f t="shared" si="31"/>
        <v>15</v>
      </c>
      <c r="J70" s="2">
        <f t="shared" si="31"/>
        <v>30</v>
      </c>
      <c r="K70" s="2">
        <f t="shared" si="31"/>
        <v>0</v>
      </c>
      <c r="L70" s="2">
        <f t="shared" si="31"/>
        <v>20</v>
      </c>
      <c r="M70" s="5">
        <f t="shared" si="31"/>
        <v>1.3731060606060606</v>
      </c>
      <c r="N70" s="5">
        <f t="shared" si="31"/>
        <v>0</v>
      </c>
      <c r="O70" s="2">
        <f t="shared" si="31"/>
        <v>0</v>
      </c>
      <c r="P70" s="5">
        <f t="shared" si="31"/>
        <v>0</v>
      </c>
      <c r="Q70" s="2">
        <f t="shared" si="31"/>
        <v>0</v>
      </c>
      <c r="R70" s="5">
        <f t="shared" si="31"/>
        <v>0</v>
      </c>
      <c r="S70" s="2">
        <f t="shared" si="31"/>
        <v>0</v>
      </c>
      <c r="T70" s="5">
        <f t="shared" si="31"/>
        <v>0.42613636363636365</v>
      </c>
      <c r="U70" s="2">
        <f t="shared" si="31"/>
        <v>750</v>
      </c>
      <c r="V70" s="5">
        <f t="shared" si="31"/>
        <v>0.946969696969697</v>
      </c>
      <c r="W70" s="2">
        <f t="shared" si="31"/>
        <v>1666.6666666666667</v>
      </c>
      <c r="X70" s="2">
        <f t="shared" si="31"/>
        <v>65</v>
      </c>
      <c r="Y70" s="2">
        <f t="shared" si="31"/>
        <v>0</v>
      </c>
      <c r="Z70" s="2">
        <f t="shared" si="31"/>
        <v>0</v>
      </c>
      <c r="AA70" s="2">
        <f t="shared" si="31"/>
        <v>65</v>
      </c>
      <c r="AB70" s="2">
        <f t="shared" si="31"/>
        <v>0</v>
      </c>
      <c r="AC70" s="2">
        <f t="shared" si="31"/>
        <v>0</v>
      </c>
      <c r="AD70" s="2">
        <f t="shared" si="31"/>
        <v>0</v>
      </c>
      <c r="AE70" s="2">
        <f t="shared" si="31"/>
        <v>0</v>
      </c>
    </row>
    <row r="71" spans="1:31" s="20" customFormat="1" ht="12.75">
      <c r="A71" s="20" t="s">
        <v>161</v>
      </c>
      <c r="B71" s="20" t="s">
        <v>104</v>
      </c>
      <c r="E71" s="2">
        <f>SUM(I71:L71)</f>
        <v>15</v>
      </c>
      <c r="F71" s="3">
        <f>E71*G71</f>
        <v>0</v>
      </c>
      <c r="G71" s="29"/>
      <c r="H71" s="2">
        <f>SUM(E71:F71)</f>
        <v>15</v>
      </c>
      <c r="I71" s="18">
        <v>15</v>
      </c>
      <c r="J71" s="18"/>
      <c r="K71" s="18"/>
      <c r="L71" s="18"/>
      <c r="M71" s="5">
        <f>N71+P71+R71+T71+V71</f>
        <v>0.42613636363636365</v>
      </c>
      <c r="N71" s="19"/>
      <c r="O71" s="18">
        <v>0</v>
      </c>
      <c r="P71" s="19">
        <v>0</v>
      </c>
      <c r="Q71" s="18">
        <f>P71*AG$26</f>
        <v>0</v>
      </c>
      <c r="R71" s="19">
        <v>0</v>
      </c>
      <c r="S71" s="18">
        <v>0</v>
      </c>
      <c r="T71" s="19">
        <f>(I71/$AG$24)/1.76</f>
        <v>0.42613636363636365</v>
      </c>
      <c r="U71" s="18">
        <f>T71*AG$26</f>
        <v>750</v>
      </c>
      <c r="V71" s="19"/>
      <c r="W71" s="18">
        <v>0</v>
      </c>
      <c r="X71" s="2">
        <f>SUM(Y71:AC71)</f>
        <v>15</v>
      </c>
      <c r="Y71" s="18"/>
      <c r="Z71" s="18"/>
      <c r="AA71" s="18">
        <v>15</v>
      </c>
      <c r="AB71" s="18"/>
      <c r="AC71" s="18"/>
      <c r="AD71" s="18"/>
      <c r="AE71" s="18"/>
    </row>
    <row r="72" spans="1:31" s="20" customFormat="1" ht="12.75">
      <c r="A72" s="20" t="s">
        <v>162</v>
      </c>
      <c r="B72" s="20" t="s">
        <v>88</v>
      </c>
      <c r="E72" s="2">
        <f>SUM(I72:L72)</f>
        <v>50</v>
      </c>
      <c r="F72" s="3">
        <f>E72*G72</f>
        <v>0</v>
      </c>
      <c r="G72" s="29"/>
      <c r="H72" s="2">
        <f>SUM(E72:F72)</f>
        <v>50</v>
      </c>
      <c r="I72" s="18"/>
      <c r="J72" s="18">
        <v>30</v>
      </c>
      <c r="K72" s="18"/>
      <c r="L72" s="18">
        <v>20</v>
      </c>
      <c r="M72" s="5">
        <f>N72+P72+R72+T72+V72</f>
        <v>0.946969696969697</v>
      </c>
      <c r="N72" s="19"/>
      <c r="O72" s="18"/>
      <c r="P72" s="19"/>
      <c r="Q72" s="18"/>
      <c r="R72" s="19"/>
      <c r="S72" s="18"/>
      <c r="T72" s="19"/>
      <c r="U72" s="18"/>
      <c r="V72" s="19">
        <f>J72/$AG$25/1.76</f>
        <v>0.946969696969697</v>
      </c>
      <c r="W72" s="18">
        <f>V72*AG$26</f>
        <v>1666.6666666666667</v>
      </c>
      <c r="X72" s="2">
        <f>SUM(Y72:AC72)</f>
        <v>50</v>
      </c>
      <c r="Y72" s="18"/>
      <c r="Z72" s="18"/>
      <c r="AA72" s="18">
        <v>50</v>
      </c>
      <c r="AB72" s="18"/>
      <c r="AC72" s="18"/>
      <c r="AD72" s="18"/>
      <c r="AE72" s="18"/>
    </row>
    <row r="73" spans="5:31" s="20" customFormat="1" ht="12.75">
      <c r="E73" s="2"/>
      <c r="F73" s="3"/>
      <c r="G73" s="29"/>
      <c r="H73" s="2"/>
      <c r="I73" s="18"/>
      <c r="J73" s="18"/>
      <c r="K73" s="18"/>
      <c r="L73" s="18"/>
      <c r="M73" s="5"/>
      <c r="N73" s="19"/>
      <c r="O73" s="18"/>
      <c r="P73" s="19"/>
      <c r="Q73" s="18"/>
      <c r="R73" s="19"/>
      <c r="S73" s="18"/>
      <c r="T73" s="19"/>
      <c r="U73" s="18"/>
      <c r="V73" s="19"/>
      <c r="W73" s="18"/>
      <c r="X73" s="2"/>
      <c r="Y73" s="18"/>
      <c r="Z73" s="18"/>
      <c r="AA73" s="18"/>
      <c r="AB73" s="18"/>
      <c r="AC73" s="18"/>
      <c r="AD73" s="18"/>
      <c r="AE73" s="18"/>
    </row>
    <row r="74" spans="1:32" s="20" customFormat="1" ht="12.75">
      <c r="A74" s="17" t="s">
        <v>212</v>
      </c>
      <c r="B74" s="17" t="s">
        <v>213</v>
      </c>
      <c r="E74" s="2">
        <f>SUM(I74:L74)</f>
        <v>0</v>
      </c>
      <c r="F74" s="3">
        <f>E74*G74</f>
        <v>0</v>
      </c>
      <c r="G74" s="29"/>
      <c r="H74" s="2">
        <f>SUM(E74:F74)</f>
        <v>0</v>
      </c>
      <c r="I74" s="18">
        <v>0</v>
      </c>
      <c r="J74" s="18"/>
      <c r="K74" s="18"/>
      <c r="L74" s="18"/>
      <c r="M74" s="5">
        <f>N74+P74+R74+T74+V74</f>
        <v>1.26</v>
      </c>
      <c r="N74" s="19">
        <v>0</v>
      </c>
      <c r="O74" s="18">
        <v>0</v>
      </c>
      <c r="P74" s="19">
        <v>0.96</v>
      </c>
      <c r="Q74" s="18">
        <f>P74*AG$26</f>
        <v>1689.6</v>
      </c>
      <c r="R74" s="19">
        <v>0</v>
      </c>
      <c r="S74" s="18">
        <v>0</v>
      </c>
      <c r="T74" s="19">
        <v>0.3</v>
      </c>
      <c r="U74" s="18">
        <f>T74*AG$26</f>
        <v>528</v>
      </c>
      <c r="V74" s="19"/>
      <c r="W74" s="18">
        <v>0</v>
      </c>
      <c r="X74" s="2">
        <f>SUM(Y74:AC74)</f>
        <v>0</v>
      </c>
      <c r="Y74" s="18"/>
      <c r="Z74" s="18"/>
      <c r="AA74" s="18">
        <v>0</v>
      </c>
      <c r="AB74" s="18"/>
      <c r="AC74" s="18"/>
      <c r="AD74" s="18"/>
      <c r="AE74" s="18">
        <f>Q74*$AG$23/1000+U74*AG24/1000</f>
        <v>51.1104</v>
      </c>
      <c r="AF74" s="20" t="s">
        <v>196</v>
      </c>
    </row>
    <row r="75" spans="5:31" s="20" customFormat="1" ht="12.75">
      <c r="E75" s="2"/>
      <c r="F75" s="3"/>
      <c r="G75" s="29"/>
      <c r="H75" s="2"/>
      <c r="I75" s="18"/>
      <c r="J75" s="18"/>
      <c r="K75" s="18"/>
      <c r="L75" s="18"/>
      <c r="M75" s="5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2"/>
      <c r="Y75" s="18"/>
      <c r="Z75" s="18"/>
      <c r="AA75" s="18"/>
      <c r="AB75" s="18"/>
      <c r="AC75" s="18"/>
      <c r="AD75" s="18"/>
      <c r="AE75" s="18"/>
    </row>
    <row r="76" spans="1:32" ht="12.75">
      <c r="A76" s="16" t="s">
        <v>107</v>
      </c>
      <c r="B76" s="17" t="s">
        <v>108</v>
      </c>
      <c r="C76" s="20"/>
      <c r="D76" s="20"/>
      <c r="E76" s="2">
        <f>E78+E84+E90+E95+E109</f>
        <v>1425</v>
      </c>
      <c r="F76" s="2">
        <f>F78+F84+F90+F95+F109</f>
        <v>0</v>
      </c>
      <c r="G76" s="28">
        <f>F76/E76</f>
        <v>0</v>
      </c>
      <c r="H76" s="2">
        <f aca="true" t="shared" si="32" ref="H76:AF76">H78+H84+H90+H95+H109</f>
        <v>1425</v>
      </c>
      <c r="I76" s="2">
        <f t="shared" si="32"/>
        <v>10</v>
      </c>
      <c r="J76" s="2">
        <f t="shared" si="32"/>
        <v>145</v>
      </c>
      <c r="K76" s="2">
        <f t="shared" si="32"/>
        <v>0</v>
      </c>
      <c r="L76" s="2">
        <f t="shared" si="32"/>
        <v>1270</v>
      </c>
      <c r="M76" s="5">
        <f t="shared" si="32"/>
        <v>9.533762626262625</v>
      </c>
      <c r="N76" s="5">
        <f t="shared" si="32"/>
        <v>4.41</v>
      </c>
      <c r="O76" s="2">
        <f t="shared" si="32"/>
        <v>7761.6</v>
      </c>
      <c r="P76" s="5">
        <f t="shared" si="32"/>
        <v>0.5467424242424244</v>
      </c>
      <c r="Q76" s="2">
        <f t="shared" si="32"/>
        <v>962.2666666666667</v>
      </c>
      <c r="R76" s="5">
        <f t="shared" si="32"/>
        <v>0</v>
      </c>
      <c r="S76" s="2">
        <f t="shared" si="32"/>
        <v>0</v>
      </c>
      <c r="T76" s="5">
        <f t="shared" si="32"/>
        <v>0</v>
      </c>
      <c r="U76" s="2">
        <f t="shared" si="32"/>
        <v>0</v>
      </c>
      <c r="V76" s="5">
        <f t="shared" si="32"/>
        <v>4.567020202020203</v>
      </c>
      <c r="W76" s="2">
        <f t="shared" si="32"/>
        <v>8055.555555555555</v>
      </c>
      <c r="X76" s="2">
        <f t="shared" si="32"/>
        <v>1425</v>
      </c>
      <c r="Y76" s="2">
        <f t="shared" si="32"/>
        <v>0</v>
      </c>
      <c r="Z76" s="2">
        <f t="shared" si="32"/>
        <v>372</v>
      </c>
      <c r="AA76" s="2">
        <f t="shared" si="32"/>
        <v>777</v>
      </c>
      <c r="AB76" s="2">
        <f t="shared" si="32"/>
        <v>276</v>
      </c>
      <c r="AC76" s="2">
        <f t="shared" si="32"/>
        <v>0</v>
      </c>
      <c r="AD76" s="2">
        <f t="shared" si="32"/>
        <v>0</v>
      </c>
      <c r="AE76" s="2">
        <f t="shared" si="32"/>
        <v>334.4176</v>
      </c>
      <c r="AF76" s="2">
        <f t="shared" si="32"/>
        <v>0</v>
      </c>
    </row>
    <row r="77" spans="1:31" ht="12.75">
      <c r="A77" s="17"/>
      <c r="B77" s="17"/>
      <c r="C77" s="20"/>
      <c r="D77" s="20"/>
      <c r="G77" s="29"/>
      <c r="I77" s="18"/>
      <c r="J77" s="18"/>
      <c r="K77" s="18"/>
      <c r="L77" s="18"/>
      <c r="N77" s="19"/>
      <c r="O77" s="18"/>
      <c r="P77" s="19"/>
      <c r="Q77" s="18"/>
      <c r="R77" s="19"/>
      <c r="S77" s="18"/>
      <c r="T77" s="19"/>
      <c r="U77" s="18"/>
      <c r="V77" s="19"/>
      <c r="W77" s="18"/>
      <c r="Y77" s="18"/>
      <c r="Z77" s="18"/>
      <c r="AA77" s="18"/>
      <c r="AE77" s="4"/>
    </row>
    <row r="78" spans="1:31" ht="12.75">
      <c r="A78" s="16" t="s">
        <v>109</v>
      </c>
      <c r="B78" s="17" t="s">
        <v>42</v>
      </c>
      <c r="C78" s="20"/>
      <c r="D78" s="20"/>
      <c r="E78" s="2">
        <f>SUM(E79:E82)</f>
        <v>196</v>
      </c>
      <c r="F78" s="2">
        <f>SUM(F79:F82)</f>
        <v>0</v>
      </c>
      <c r="G78" s="29"/>
      <c r="H78" s="2">
        <f aca="true" t="shared" si="33" ref="H78:AE78">SUM(H79:H82)</f>
        <v>196</v>
      </c>
      <c r="I78" s="2">
        <f t="shared" si="33"/>
        <v>0</v>
      </c>
      <c r="J78" s="2">
        <f t="shared" si="33"/>
        <v>0</v>
      </c>
      <c r="K78" s="2">
        <f t="shared" si="33"/>
        <v>0</v>
      </c>
      <c r="L78" s="2">
        <f t="shared" si="33"/>
        <v>196</v>
      </c>
      <c r="M78" s="5">
        <f t="shared" si="33"/>
        <v>0.58</v>
      </c>
      <c r="N78" s="5">
        <f t="shared" si="33"/>
        <v>0.58</v>
      </c>
      <c r="O78" s="2">
        <f t="shared" si="33"/>
        <v>1020.8</v>
      </c>
      <c r="P78" s="5">
        <f t="shared" si="33"/>
        <v>0</v>
      </c>
      <c r="Q78" s="2">
        <f t="shared" si="33"/>
        <v>0</v>
      </c>
      <c r="R78" s="5">
        <f t="shared" si="33"/>
        <v>0</v>
      </c>
      <c r="S78" s="2">
        <f t="shared" si="33"/>
        <v>0</v>
      </c>
      <c r="T78" s="5">
        <f t="shared" si="33"/>
        <v>0</v>
      </c>
      <c r="U78" s="2">
        <f t="shared" si="33"/>
        <v>0</v>
      </c>
      <c r="V78" s="5">
        <f t="shared" si="33"/>
        <v>0</v>
      </c>
      <c r="W78" s="2">
        <f t="shared" si="33"/>
        <v>0</v>
      </c>
      <c r="X78" s="2">
        <f t="shared" si="33"/>
        <v>196</v>
      </c>
      <c r="Y78" s="2">
        <f t="shared" si="33"/>
        <v>0</v>
      </c>
      <c r="Z78" s="2">
        <f t="shared" si="33"/>
        <v>24</v>
      </c>
      <c r="AA78" s="2">
        <f t="shared" si="33"/>
        <v>100</v>
      </c>
      <c r="AB78" s="2">
        <f t="shared" si="33"/>
        <v>72</v>
      </c>
      <c r="AC78" s="2">
        <f t="shared" si="33"/>
        <v>0</v>
      </c>
      <c r="AD78" s="2">
        <f t="shared" si="33"/>
        <v>0</v>
      </c>
      <c r="AE78" s="2">
        <f t="shared" si="33"/>
        <v>56.144</v>
      </c>
    </row>
    <row r="79" spans="1:31" s="20" customFormat="1" ht="12.75">
      <c r="A79" s="20" t="s">
        <v>181</v>
      </c>
      <c r="B79" s="20" t="s">
        <v>189</v>
      </c>
      <c r="E79" s="2">
        <f>SUM(I79:L79)</f>
        <v>24</v>
      </c>
      <c r="F79" s="3">
        <f>E79*G79</f>
        <v>0</v>
      </c>
      <c r="G79" s="29"/>
      <c r="H79" s="2">
        <f>SUM(E79:F79)</f>
        <v>24</v>
      </c>
      <c r="I79" s="18"/>
      <c r="J79" s="18"/>
      <c r="K79" s="18"/>
      <c r="L79" s="18">
        <v>24</v>
      </c>
      <c r="M79" s="5">
        <f>N79+P79+R79+T79+V79</f>
        <v>0</v>
      </c>
      <c r="N79" s="19"/>
      <c r="O79" s="18">
        <v>0</v>
      </c>
      <c r="P79" s="19">
        <f>(I79/$AG$23)/1.76</f>
        <v>0</v>
      </c>
      <c r="Q79" s="18">
        <f>P79*AG$26</f>
        <v>0</v>
      </c>
      <c r="R79" s="19">
        <v>0</v>
      </c>
      <c r="S79" s="18">
        <v>0</v>
      </c>
      <c r="T79" s="19"/>
      <c r="U79" s="18">
        <v>0</v>
      </c>
      <c r="V79" s="19"/>
      <c r="W79" s="18">
        <v>0</v>
      </c>
      <c r="X79" s="2">
        <f>SUM(Y79:AD79)</f>
        <v>24</v>
      </c>
      <c r="Y79" s="18"/>
      <c r="Z79" s="18">
        <v>24</v>
      </c>
      <c r="AA79" s="18"/>
      <c r="AB79" s="18"/>
      <c r="AC79" s="18"/>
      <c r="AD79" s="18"/>
      <c r="AE79" s="18"/>
    </row>
    <row r="80" spans="1:31" s="20" customFormat="1" ht="12.75">
      <c r="A80" s="20" t="s">
        <v>182</v>
      </c>
      <c r="B80" s="20" t="s">
        <v>190</v>
      </c>
      <c r="E80" s="2">
        <f>SUM(I80:L80)</f>
        <v>132</v>
      </c>
      <c r="F80" s="3">
        <f>E80*G80</f>
        <v>0</v>
      </c>
      <c r="G80" s="29"/>
      <c r="H80" s="2">
        <f>SUM(E80:F80)</f>
        <v>132</v>
      </c>
      <c r="I80" s="18"/>
      <c r="J80" s="18"/>
      <c r="K80" s="18"/>
      <c r="L80" s="18">
        <v>132</v>
      </c>
      <c r="M80" s="5">
        <f>N80+P80+R80+T80+V80</f>
        <v>0</v>
      </c>
      <c r="N80" s="19"/>
      <c r="O80" s="18"/>
      <c r="P80" s="19"/>
      <c r="Q80" s="18"/>
      <c r="R80" s="19"/>
      <c r="S80" s="18"/>
      <c r="T80" s="19"/>
      <c r="U80" s="18"/>
      <c r="V80" s="19">
        <f>J80/$AG$25/1.76</f>
        <v>0</v>
      </c>
      <c r="W80" s="18">
        <f>V80*AG$26</f>
        <v>0</v>
      </c>
      <c r="X80" s="2">
        <f>SUM(Y80:AD80)</f>
        <v>132</v>
      </c>
      <c r="Y80" s="18"/>
      <c r="Z80" s="18"/>
      <c r="AA80" s="18">
        <v>60</v>
      </c>
      <c r="AB80" s="18">
        <v>72</v>
      </c>
      <c r="AC80" s="18"/>
      <c r="AD80" s="18"/>
      <c r="AE80" s="18"/>
    </row>
    <row r="81" spans="1:31" s="20" customFormat="1" ht="12.75">
      <c r="A81" s="20" t="s">
        <v>183</v>
      </c>
      <c r="B81" s="20" t="s">
        <v>191</v>
      </c>
      <c r="E81" s="2">
        <f>SUM(I81:L81)</f>
        <v>40</v>
      </c>
      <c r="F81" s="3">
        <f>E81*G81</f>
        <v>0</v>
      </c>
      <c r="G81" s="29"/>
      <c r="H81" s="2">
        <f>SUM(E81:F81)</f>
        <v>40</v>
      </c>
      <c r="I81" s="18"/>
      <c r="J81" s="18"/>
      <c r="K81" s="18"/>
      <c r="L81" s="18">
        <v>40</v>
      </c>
      <c r="M81" s="5">
        <f>N81+P81+R81+T81+V81</f>
        <v>0</v>
      </c>
      <c r="N81" s="19"/>
      <c r="O81" s="18"/>
      <c r="P81" s="19"/>
      <c r="Q81" s="18"/>
      <c r="R81" s="19"/>
      <c r="S81" s="18"/>
      <c r="T81" s="19"/>
      <c r="U81" s="18"/>
      <c r="V81" s="19">
        <f>J81/$AG$25/1.76</f>
        <v>0</v>
      </c>
      <c r="W81" s="18">
        <f>V81*AG$26</f>
        <v>0</v>
      </c>
      <c r="X81" s="2">
        <f>SUM(Y81:AD81)</f>
        <v>40</v>
      </c>
      <c r="Y81" s="18"/>
      <c r="Z81" s="18"/>
      <c r="AA81" s="18">
        <v>40</v>
      </c>
      <c r="AB81" s="18"/>
      <c r="AC81" s="18"/>
      <c r="AD81" s="18"/>
      <c r="AE81" s="20">
        <f>N81*$AG$22</f>
        <v>0</v>
      </c>
    </row>
    <row r="82" spans="1:32" s="20" customFormat="1" ht="12.75">
      <c r="A82" s="20" t="s">
        <v>188</v>
      </c>
      <c r="B82" s="20" t="s">
        <v>119</v>
      </c>
      <c r="E82" s="2">
        <f>SUM(I82:L82)</f>
        <v>0</v>
      </c>
      <c r="F82" s="3">
        <f>E82*G82</f>
        <v>0</v>
      </c>
      <c r="G82" s="29"/>
      <c r="H82" s="2">
        <f>SUM(E82:F82)</f>
        <v>0</v>
      </c>
      <c r="I82" s="18"/>
      <c r="J82" s="18"/>
      <c r="K82" s="18"/>
      <c r="L82" s="18">
        <v>0</v>
      </c>
      <c r="M82" s="5">
        <f>N82+P82+R82+T82+V82</f>
        <v>0.58</v>
      </c>
      <c r="N82" s="19">
        <v>0.58</v>
      </c>
      <c r="O82" s="18">
        <f>N82*AG$26</f>
        <v>1020.8</v>
      </c>
      <c r="P82" s="19"/>
      <c r="Q82" s="18"/>
      <c r="R82" s="19"/>
      <c r="S82" s="18"/>
      <c r="T82" s="19"/>
      <c r="U82" s="18"/>
      <c r="V82" s="19">
        <f>J82/$AG$25/1.76</f>
        <v>0</v>
      </c>
      <c r="W82" s="18">
        <f>V82*AG$26</f>
        <v>0</v>
      </c>
      <c r="X82" s="2">
        <f>SUM(Y82:AD82)</f>
        <v>0</v>
      </c>
      <c r="Y82" s="18"/>
      <c r="Z82" s="18"/>
      <c r="AA82" s="18">
        <v>0</v>
      </c>
      <c r="AB82" s="18">
        <v>0</v>
      </c>
      <c r="AC82" s="18"/>
      <c r="AD82" s="18"/>
      <c r="AE82" s="18">
        <f>O82*$AH$21/1000</f>
        <v>56.144</v>
      </c>
      <c r="AF82" s="20" t="s">
        <v>215</v>
      </c>
    </row>
    <row r="83" spans="1:31" ht="12.75">
      <c r="A83" s="16"/>
      <c r="B83" s="17"/>
      <c r="C83" s="20"/>
      <c r="D83" s="20"/>
      <c r="G83" s="29"/>
      <c r="I83" s="18"/>
      <c r="J83" s="18"/>
      <c r="K83" s="18"/>
      <c r="L83" s="18"/>
      <c r="N83" s="19"/>
      <c r="O83" s="18"/>
      <c r="P83" s="19"/>
      <c r="Q83" s="18"/>
      <c r="R83" s="19"/>
      <c r="S83" s="18"/>
      <c r="T83" s="19"/>
      <c r="U83" s="18"/>
      <c r="V83" s="19"/>
      <c r="W83" s="18"/>
      <c r="Y83" s="18"/>
      <c r="Z83" s="18"/>
      <c r="AA83" s="18"/>
      <c r="AB83" s="18"/>
      <c r="AC83" s="18"/>
      <c r="AD83" s="18"/>
      <c r="AE83" s="20"/>
    </row>
    <row r="84" spans="1:31" ht="12.75">
      <c r="A84" s="16" t="s">
        <v>110</v>
      </c>
      <c r="B84" s="17" t="s">
        <v>111</v>
      </c>
      <c r="C84" s="17"/>
      <c r="D84" s="17"/>
      <c r="E84" s="2">
        <f>SUM(E85:E88)</f>
        <v>187</v>
      </c>
      <c r="F84" s="2">
        <f>SUM(F85:F88)</f>
        <v>0</v>
      </c>
      <c r="G84" s="29"/>
      <c r="H84" s="2">
        <f aca="true" t="shared" si="34" ref="H84:AE84">SUM(H85:H88)</f>
        <v>187</v>
      </c>
      <c r="I84" s="2">
        <f t="shared" si="34"/>
        <v>0</v>
      </c>
      <c r="J84" s="2">
        <f t="shared" si="34"/>
        <v>0</v>
      </c>
      <c r="K84" s="2">
        <f t="shared" si="34"/>
        <v>0</v>
      </c>
      <c r="L84" s="2">
        <f t="shared" si="34"/>
        <v>187</v>
      </c>
      <c r="M84" s="5">
        <f t="shared" si="34"/>
        <v>0.75</v>
      </c>
      <c r="N84" s="5">
        <f t="shared" si="34"/>
        <v>0.75</v>
      </c>
      <c r="O84" s="2">
        <f t="shared" si="34"/>
        <v>1320</v>
      </c>
      <c r="P84" s="5">
        <f t="shared" si="34"/>
        <v>0</v>
      </c>
      <c r="Q84" s="2">
        <f t="shared" si="34"/>
        <v>0</v>
      </c>
      <c r="R84" s="5">
        <f t="shared" si="34"/>
        <v>0</v>
      </c>
      <c r="S84" s="2">
        <f t="shared" si="34"/>
        <v>0</v>
      </c>
      <c r="T84" s="5">
        <f t="shared" si="34"/>
        <v>0</v>
      </c>
      <c r="U84" s="2">
        <f t="shared" si="34"/>
        <v>0</v>
      </c>
      <c r="V84" s="5">
        <f t="shared" si="34"/>
        <v>0</v>
      </c>
      <c r="W84" s="2">
        <f t="shared" si="34"/>
        <v>0</v>
      </c>
      <c r="X84" s="2">
        <f t="shared" si="34"/>
        <v>187</v>
      </c>
      <c r="Y84" s="2">
        <f t="shared" si="34"/>
        <v>0</v>
      </c>
      <c r="Z84" s="2">
        <f t="shared" si="34"/>
        <v>0</v>
      </c>
      <c r="AA84" s="2">
        <f t="shared" si="34"/>
        <v>107</v>
      </c>
      <c r="AB84" s="2">
        <f t="shared" si="34"/>
        <v>80</v>
      </c>
      <c r="AC84" s="2">
        <f t="shared" si="34"/>
        <v>0</v>
      </c>
      <c r="AD84" s="2">
        <f t="shared" si="34"/>
        <v>0</v>
      </c>
      <c r="AE84" s="2">
        <f t="shared" si="34"/>
        <v>72.6</v>
      </c>
    </row>
    <row r="85" spans="1:31" s="20" customFormat="1" ht="12.75">
      <c r="A85" s="20" t="s">
        <v>184</v>
      </c>
      <c r="B85" s="20" t="s">
        <v>192</v>
      </c>
      <c r="E85" s="2">
        <f>SUM(I85:L85)</f>
        <v>140</v>
      </c>
      <c r="F85" s="3">
        <f>E85*G85</f>
        <v>0</v>
      </c>
      <c r="G85" s="29"/>
      <c r="H85" s="2">
        <f>SUM(E85:F85)</f>
        <v>140</v>
      </c>
      <c r="I85" s="18" t="s">
        <v>195</v>
      </c>
      <c r="J85" s="18"/>
      <c r="K85" s="18"/>
      <c r="L85" s="18">
        <v>140</v>
      </c>
      <c r="M85" s="5">
        <f>N85+P85+R85+T85+V85</f>
        <v>0</v>
      </c>
      <c r="N85" s="19"/>
      <c r="O85" s="18">
        <v>0</v>
      </c>
      <c r="P85" s="19"/>
      <c r="Q85" s="18">
        <f>P85*AG$26</f>
        <v>0</v>
      </c>
      <c r="R85" s="19">
        <v>0</v>
      </c>
      <c r="S85" s="18">
        <v>0</v>
      </c>
      <c r="T85" s="19"/>
      <c r="U85" s="18">
        <v>0</v>
      </c>
      <c r="V85" s="19"/>
      <c r="W85" s="18">
        <v>0</v>
      </c>
      <c r="X85" s="2">
        <f>SUM(Y85:AD85)</f>
        <v>140</v>
      </c>
      <c r="Y85" s="18"/>
      <c r="Z85" s="18"/>
      <c r="AA85" s="18">
        <v>60</v>
      </c>
      <c r="AB85" s="18">
        <v>80</v>
      </c>
      <c r="AC85" s="18"/>
      <c r="AD85" s="18"/>
      <c r="AE85" s="18"/>
    </row>
    <row r="86" spans="1:31" s="20" customFormat="1" ht="12.75">
      <c r="A86" s="20" t="s">
        <v>185</v>
      </c>
      <c r="B86" s="20" t="s">
        <v>193</v>
      </c>
      <c r="E86" s="2">
        <f>SUM(I86:L86)</f>
        <v>27</v>
      </c>
      <c r="F86" s="3">
        <f>E86*G86</f>
        <v>0</v>
      </c>
      <c r="G86" s="29"/>
      <c r="H86" s="2">
        <f>SUM(E86:F86)</f>
        <v>27</v>
      </c>
      <c r="I86" s="18"/>
      <c r="J86" s="18" t="s">
        <v>195</v>
      </c>
      <c r="K86" s="18"/>
      <c r="L86" s="18">
        <v>27</v>
      </c>
      <c r="M86" s="5">
        <f>N86+P86+R86+T86+V86</f>
        <v>0</v>
      </c>
      <c r="N86" s="19"/>
      <c r="O86" s="18"/>
      <c r="P86" s="19"/>
      <c r="Q86" s="18"/>
      <c r="R86" s="19"/>
      <c r="S86" s="18"/>
      <c r="T86" s="19"/>
      <c r="U86" s="18"/>
      <c r="V86" s="19"/>
      <c r="W86" s="18">
        <f>V86*AG$26</f>
        <v>0</v>
      </c>
      <c r="X86" s="2">
        <f>SUM(Y86:AD86)</f>
        <v>27</v>
      </c>
      <c r="Y86" s="18"/>
      <c r="Z86" s="18"/>
      <c r="AA86" s="18">
        <v>27</v>
      </c>
      <c r="AB86" s="18"/>
      <c r="AC86" s="18"/>
      <c r="AD86" s="18"/>
      <c r="AE86" s="18"/>
    </row>
    <row r="87" spans="1:31" s="20" customFormat="1" ht="12.75">
      <c r="A87" s="20" t="s">
        <v>186</v>
      </c>
      <c r="B87" s="20" t="s">
        <v>194</v>
      </c>
      <c r="E87" s="2">
        <f>SUM(I87:L87)</f>
        <v>20</v>
      </c>
      <c r="F87" s="3">
        <f>E87*G87</f>
        <v>0</v>
      </c>
      <c r="G87" s="29"/>
      <c r="H87" s="2">
        <f>SUM(E87:F87)</f>
        <v>20</v>
      </c>
      <c r="I87" s="18"/>
      <c r="J87" s="18" t="s">
        <v>195</v>
      </c>
      <c r="K87" s="18"/>
      <c r="L87" s="18">
        <v>20</v>
      </c>
      <c r="M87" s="5">
        <f>N87+P87+R87+T87+V87</f>
        <v>0</v>
      </c>
      <c r="N87" s="19"/>
      <c r="O87" s="18"/>
      <c r="P87" s="19"/>
      <c r="Q87" s="18"/>
      <c r="R87" s="19"/>
      <c r="S87" s="18"/>
      <c r="T87" s="19"/>
      <c r="U87" s="18"/>
      <c r="V87" s="19"/>
      <c r="W87" s="18">
        <f>V87*AG$26</f>
        <v>0</v>
      </c>
      <c r="X87" s="2">
        <f>SUM(Y87:AD87)</f>
        <v>20</v>
      </c>
      <c r="Y87" s="18"/>
      <c r="Z87" s="18"/>
      <c r="AA87" s="18">
        <v>20</v>
      </c>
      <c r="AB87" s="18"/>
      <c r="AC87" s="18"/>
      <c r="AD87" s="18"/>
      <c r="AE87" s="20">
        <f>N87*$AG$22</f>
        <v>0</v>
      </c>
    </row>
    <row r="88" spans="1:32" s="20" customFormat="1" ht="12.75">
      <c r="A88" s="20" t="s">
        <v>187</v>
      </c>
      <c r="B88" s="20" t="s">
        <v>119</v>
      </c>
      <c r="E88" s="2">
        <f>SUM(I88:L88)</f>
        <v>0</v>
      </c>
      <c r="F88" s="3">
        <f>E88*G88</f>
        <v>0</v>
      </c>
      <c r="G88" s="29"/>
      <c r="H88" s="2">
        <f>SUM(E88:F88)</f>
        <v>0</v>
      </c>
      <c r="I88" s="18"/>
      <c r="J88" s="18" t="s">
        <v>195</v>
      </c>
      <c r="K88" s="18"/>
      <c r="L88" s="18">
        <v>0</v>
      </c>
      <c r="M88" s="5">
        <f>N88+P88+R88+T88+V88</f>
        <v>0.75</v>
      </c>
      <c r="N88" s="19">
        <v>0.75</v>
      </c>
      <c r="O88" s="18">
        <f>N88*AG$26</f>
        <v>1320</v>
      </c>
      <c r="P88" s="19"/>
      <c r="Q88" s="18"/>
      <c r="R88" s="19"/>
      <c r="S88" s="18"/>
      <c r="T88" s="19"/>
      <c r="U88" s="18"/>
      <c r="V88" s="19"/>
      <c r="W88" s="18">
        <f>V88*AG$26</f>
        <v>0</v>
      </c>
      <c r="X88" s="2">
        <f>SUM(Y88:AD88)</f>
        <v>0</v>
      </c>
      <c r="Y88" s="18"/>
      <c r="Z88" s="18"/>
      <c r="AA88" s="18"/>
      <c r="AB88" s="18"/>
      <c r="AC88" s="18"/>
      <c r="AD88" s="18"/>
      <c r="AE88" s="18">
        <f>O88*$AH$21/1000</f>
        <v>72.6</v>
      </c>
      <c r="AF88" s="20" t="s">
        <v>215</v>
      </c>
    </row>
    <row r="89" spans="1:31" ht="12.75">
      <c r="A89" s="16"/>
      <c r="B89" s="17"/>
      <c r="C89" s="17"/>
      <c r="D89" s="17"/>
      <c r="G89" s="29"/>
      <c r="I89" s="18"/>
      <c r="J89" s="18"/>
      <c r="K89" s="18"/>
      <c r="L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Y89" s="18"/>
      <c r="Z89" s="18"/>
      <c r="AA89" s="18"/>
      <c r="AB89" s="18"/>
      <c r="AC89" s="18"/>
      <c r="AD89" s="18"/>
      <c r="AE89" s="20"/>
    </row>
    <row r="90" spans="1:31" s="17" customFormat="1" ht="12.75">
      <c r="A90" s="16" t="s">
        <v>112</v>
      </c>
      <c r="B90" s="17" t="s">
        <v>113</v>
      </c>
      <c r="E90" s="2">
        <f>SUM(E91:E93)</f>
        <v>170</v>
      </c>
      <c r="F90" s="2">
        <f>SUM(F91:F93)</f>
        <v>0</v>
      </c>
      <c r="G90" s="28">
        <f>F90/E90</f>
        <v>0</v>
      </c>
      <c r="H90" s="2">
        <f aca="true" t="shared" si="35" ref="H90:AC90">SUM(H91:H93)</f>
        <v>170</v>
      </c>
      <c r="I90" s="2">
        <f t="shared" si="35"/>
        <v>10</v>
      </c>
      <c r="J90" s="2">
        <f t="shared" si="35"/>
        <v>109</v>
      </c>
      <c r="K90" s="2">
        <f t="shared" si="35"/>
        <v>0</v>
      </c>
      <c r="L90" s="2">
        <f t="shared" si="35"/>
        <v>51</v>
      </c>
      <c r="M90" s="5">
        <f t="shared" si="35"/>
        <v>5.0973989898989895</v>
      </c>
      <c r="N90" s="5">
        <f t="shared" si="35"/>
        <v>1.42</v>
      </c>
      <c r="O90" s="2">
        <f t="shared" si="35"/>
        <v>2499.2</v>
      </c>
      <c r="P90" s="5">
        <f t="shared" si="35"/>
        <v>0.23674242424242425</v>
      </c>
      <c r="Q90" s="2">
        <f t="shared" si="35"/>
        <v>416.6666666666667</v>
      </c>
      <c r="R90" s="5">
        <f t="shared" si="35"/>
        <v>0</v>
      </c>
      <c r="S90" s="2">
        <f t="shared" si="35"/>
        <v>0</v>
      </c>
      <c r="T90" s="5">
        <f t="shared" si="35"/>
        <v>0</v>
      </c>
      <c r="U90" s="2">
        <f t="shared" si="35"/>
        <v>0</v>
      </c>
      <c r="V90" s="5">
        <f>SUM(V91:V93)-0.01</f>
        <v>3.430656565656566</v>
      </c>
      <c r="W90" s="2">
        <f t="shared" si="35"/>
        <v>6055.555555555555</v>
      </c>
      <c r="X90" s="2">
        <f t="shared" si="35"/>
        <v>170</v>
      </c>
      <c r="Y90" s="2">
        <f t="shared" si="35"/>
        <v>0</v>
      </c>
      <c r="Z90" s="2">
        <f t="shared" si="35"/>
        <v>20</v>
      </c>
      <c r="AA90" s="2">
        <f t="shared" si="35"/>
        <v>115</v>
      </c>
      <c r="AB90" s="2">
        <f t="shared" si="35"/>
        <v>35</v>
      </c>
      <c r="AC90" s="2">
        <f t="shared" si="35"/>
        <v>0</v>
      </c>
      <c r="AD90" s="2">
        <f>SUM(AD91:AD93)</f>
        <v>0</v>
      </c>
      <c r="AE90" s="2">
        <f>SUM(AE91:AE93)</f>
        <v>44.9856</v>
      </c>
    </row>
    <row r="91" spans="1:31" s="20" customFormat="1" ht="12.75">
      <c r="A91" s="20" t="s">
        <v>145</v>
      </c>
      <c r="B91" s="20" t="s">
        <v>104</v>
      </c>
      <c r="E91" s="2">
        <f>SUM(I91:L91)</f>
        <v>10</v>
      </c>
      <c r="F91" s="3">
        <f>E91*G91</f>
        <v>0</v>
      </c>
      <c r="G91" s="29"/>
      <c r="H91" s="2">
        <f>SUM(E91:F91)</f>
        <v>10</v>
      </c>
      <c r="I91" s="18">
        <v>10</v>
      </c>
      <c r="J91" s="18"/>
      <c r="K91" s="18"/>
      <c r="L91" s="18"/>
      <c r="M91" s="5">
        <f>N91+P91+R91+T91+V91</f>
        <v>0.23674242424242425</v>
      </c>
      <c r="N91" s="19"/>
      <c r="O91" s="18">
        <v>0</v>
      </c>
      <c r="P91" s="19">
        <f>(I91/$AG$23)/1.76</f>
        <v>0.23674242424242425</v>
      </c>
      <c r="Q91" s="18">
        <f>P91*AG$26</f>
        <v>416.6666666666667</v>
      </c>
      <c r="R91" s="19">
        <v>0</v>
      </c>
      <c r="S91" s="18">
        <v>0</v>
      </c>
      <c r="T91" s="19"/>
      <c r="U91" s="18">
        <v>0</v>
      </c>
      <c r="V91" s="19"/>
      <c r="W91" s="18">
        <v>0</v>
      </c>
      <c r="X91" s="2">
        <f>SUM(Y91:AC91)</f>
        <v>10</v>
      </c>
      <c r="Y91" s="18"/>
      <c r="Z91" s="18">
        <v>10</v>
      </c>
      <c r="AA91" s="18"/>
      <c r="AB91" s="18"/>
      <c r="AC91" s="18"/>
      <c r="AD91" s="18"/>
      <c r="AE91" s="18"/>
    </row>
    <row r="92" spans="1:31" s="20" customFormat="1" ht="12.75">
      <c r="A92" s="20" t="s">
        <v>147</v>
      </c>
      <c r="B92" s="20" t="s">
        <v>114</v>
      </c>
      <c r="E92" s="2">
        <f>SUM(I92:L92)</f>
        <v>25</v>
      </c>
      <c r="F92" s="3">
        <f>E92*G92</f>
        <v>0</v>
      </c>
      <c r="G92" s="29"/>
      <c r="H92" s="2">
        <f>SUM(E92:F92)</f>
        <v>25</v>
      </c>
      <c r="I92" s="18"/>
      <c r="J92" s="18">
        <v>15</v>
      </c>
      <c r="K92" s="18"/>
      <c r="L92" s="18">
        <v>10</v>
      </c>
      <c r="M92" s="5">
        <f>N92+P92+R92+T92+V92</f>
        <v>0.4734848484848485</v>
      </c>
      <c r="N92" s="19"/>
      <c r="O92" s="18"/>
      <c r="P92" s="19"/>
      <c r="Q92" s="18"/>
      <c r="R92" s="19"/>
      <c r="S92" s="18"/>
      <c r="T92" s="19"/>
      <c r="U92" s="18"/>
      <c r="V92" s="19">
        <f>J92/$AG$25/1.76</f>
        <v>0.4734848484848485</v>
      </c>
      <c r="W92" s="18">
        <f>V92*AG$26</f>
        <v>833.3333333333334</v>
      </c>
      <c r="X92" s="2">
        <f>SUM(Y92:AC92)</f>
        <v>25</v>
      </c>
      <c r="Y92" s="18"/>
      <c r="Z92" s="18">
        <v>10</v>
      </c>
      <c r="AA92" s="18">
        <v>15</v>
      </c>
      <c r="AB92" s="18"/>
      <c r="AC92" s="18"/>
      <c r="AD92" s="18"/>
      <c r="AE92" s="18"/>
    </row>
    <row r="93" spans="1:32" s="20" customFormat="1" ht="12.75">
      <c r="A93" s="20" t="s">
        <v>146</v>
      </c>
      <c r="B93" s="20" t="s">
        <v>88</v>
      </c>
      <c r="E93" s="2">
        <f>SUM(I93:L93)</f>
        <v>135</v>
      </c>
      <c r="F93" s="3">
        <f>E93*G93</f>
        <v>0</v>
      </c>
      <c r="G93" s="29"/>
      <c r="H93" s="2">
        <f>SUM(E93:F93)</f>
        <v>135</v>
      </c>
      <c r="I93" s="18"/>
      <c r="J93" s="18">
        <v>94</v>
      </c>
      <c r="K93" s="18"/>
      <c r="L93" s="18">
        <v>41</v>
      </c>
      <c r="M93" s="5">
        <f>N93+P93+R93+T93+V93</f>
        <v>4.387171717171717</v>
      </c>
      <c r="N93" s="19">
        <v>1.42</v>
      </c>
      <c r="O93" s="18">
        <f>N93*AG$26</f>
        <v>2499.2</v>
      </c>
      <c r="P93" s="19"/>
      <c r="Q93" s="18"/>
      <c r="R93" s="19"/>
      <c r="S93" s="18"/>
      <c r="T93" s="19"/>
      <c r="U93" s="18"/>
      <c r="V93" s="19">
        <f>J93/$AG$25/1.76</f>
        <v>2.967171717171717</v>
      </c>
      <c r="W93" s="18">
        <f>V93*AG$26</f>
        <v>5222.222222222222</v>
      </c>
      <c r="X93" s="2">
        <f>SUM(Y93:AC93)</f>
        <v>135</v>
      </c>
      <c r="Y93" s="18"/>
      <c r="Z93" s="18"/>
      <c r="AA93" s="18">
        <v>100</v>
      </c>
      <c r="AB93" s="18">
        <v>35</v>
      </c>
      <c r="AC93" s="18"/>
      <c r="AD93" s="18"/>
      <c r="AE93" s="18">
        <f>N93*1760*$AG$22/1000</f>
        <v>44.9856</v>
      </c>
      <c r="AF93" s="20" t="s">
        <v>196</v>
      </c>
    </row>
    <row r="94" spans="5:30" s="20" customFormat="1" ht="12.75">
      <c r="E94" s="2"/>
      <c r="F94" s="3"/>
      <c r="G94" s="29"/>
      <c r="H94" s="2"/>
      <c r="I94" s="18"/>
      <c r="J94" s="18"/>
      <c r="K94" s="18"/>
      <c r="L94" s="18"/>
      <c r="M94" s="5"/>
      <c r="N94" s="19"/>
      <c r="O94" s="18"/>
      <c r="P94" s="19"/>
      <c r="Q94" s="18"/>
      <c r="R94" s="19"/>
      <c r="S94" s="18"/>
      <c r="T94" s="19"/>
      <c r="U94" s="18"/>
      <c r="V94" s="19"/>
      <c r="W94" s="18"/>
      <c r="X94" s="2"/>
      <c r="Y94" s="18"/>
      <c r="Z94" s="18"/>
      <c r="AA94" s="18"/>
      <c r="AB94" s="18"/>
      <c r="AC94" s="18"/>
      <c r="AD94" s="18"/>
    </row>
    <row r="95" spans="1:31" s="17" customFormat="1" ht="12.75">
      <c r="A95" s="16" t="s">
        <v>115</v>
      </c>
      <c r="B95" s="17" t="s">
        <v>116</v>
      </c>
      <c r="E95" s="2">
        <f>E97+E101+E105</f>
        <v>815</v>
      </c>
      <c r="F95" s="2">
        <f>F97+F101+F105</f>
        <v>0</v>
      </c>
      <c r="G95" s="28">
        <f>F95/E95</f>
        <v>0</v>
      </c>
      <c r="H95" s="2">
        <f aca="true" t="shared" si="36" ref="H95:AC95">H97+H101+H105</f>
        <v>815</v>
      </c>
      <c r="I95" s="2">
        <f t="shared" si="36"/>
        <v>0</v>
      </c>
      <c r="J95" s="2">
        <f t="shared" si="36"/>
        <v>36</v>
      </c>
      <c r="K95" s="2">
        <f t="shared" si="36"/>
        <v>0</v>
      </c>
      <c r="L95" s="2">
        <f t="shared" si="36"/>
        <v>779</v>
      </c>
      <c r="M95" s="5">
        <f>M97+M101+M105+M107</f>
        <v>3.1063636363636364</v>
      </c>
      <c r="N95" s="5">
        <f>N97+N101+N105+N107</f>
        <v>1.66</v>
      </c>
      <c r="O95" s="2">
        <f>O97+O101+O105+O107</f>
        <v>2921.6</v>
      </c>
      <c r="P95" s="5">
        <f>P97+P101+P105+P107</f>
        <v>0.31000000000000005</v>
      </c>
      <c r="Q95" s="2">
        <f t="shared" si="36"/>
        <v>545.6</v>
      </c>
      <c r="R95" s="5">
        <f t="shared" si="36"/>
        <v>0</v>
      </c>
      <c r="S95" s="2">
        <f t="shared" si="36"/>
        <v>0</v>
      </c>
      <c r="T95" s="5">
        <f t="shared" si="36"/>
        <v>0</v>
      </c>
      <c r="U95" s="2">
        <f t="shared" si="36"/>
        <v>0</v>
      </c>
      <c r="V95" s="5">
        <f t="shared" si="36"/>
        <v>1.1363636363636362</v>
      </c>
      <c r="W95" s="2">
        <f t="shared" si="36"/>
        <v>1999.9999999999998</v>
      </c>
      <c r="X95" s="2">
        <f t="shared" si="36"/>
        <v>815</v>
      </c>
      <c r="Y95" s="2">
        <f t="shared" si="36"/>
        <v>0</v>
      </c>
      <c r="Z95" s="2">
        <f t="shared" si="36"/>
        <v>298</v>
      </c>
      <c r="AA95" s="2">
        <f t="shared" si="36"/>
        <v>428</v>
      </c>
      <c r="AB95" s="2">
        <f t="shared" si="36"/>
        <v>89</v>
      </c>
      <c r="AC95" s="2">
        <f t="shared" si="36"/>
        <v>0</v>
      </c>
      <c r="AD95" s="2">
        <f>AD97+AD101+AD105</f>
        <v>0</v>
      </c>
      <c r="AE95" s="2">
        <f>AE97+AE101+AE105+AE107</f>
        <v>160.688</v>
      </c>
    </row>
    <row r="96" spans="5:31" s="17" customFormat="1" ht="12.75">
      <c r="E96" s="2"/>
      <c r="F96" s="3"/>
      <c r="G96" s="28"/>
      <c r="H96" s="2"/>
      <c r="I96" s="2"/>
      <c r="J96" s="2"/>
      <c r="K96" s="2"/>
      <c r="L96" s="2"/>
      <c r="M96" s="5"/>
      <c r="N96" s="5"/>
      <c r="O96" s="2"/>
      <c r="P96" s="5"/>
      <c r="Q96" s="2"/>
      <c r="R96" s="5"/>
      <c r="S96" s="2"/>
      <c r="T96" s="5"/>
      <c r="U96" s="2"/>
      <c r="V96" s="5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16" t="s">
        <v>117</v>
      </c>
      <c r="B97" s="17" t="s">
        <v>118</v>
      </c>
      <c r="C97" s="20"/>
      <c r="D97" s="20"/>
      <c r="E97" s="2">
        <f>SUM(E98:E99)</f>
        <v>511</v>
      </c>
      <c r="F97" s="2">
        <f>SUM(F98:F99)</f>
        <v>0</v>
      </c>
      <c r="G97" s="28">
        <f>F97/E97</f>
        <v>0</v>
      </c>
      <c r="H97" s="2">
        <f aca="true" t="shared" si="37" ref="H97:AC97">SUM(H98:H99)</f>
        <v>511</v>
      </c>
      <c r="I97" s="2">
        <f t="shared" si="37"/>
        <v>0</v>
      </c>
      <c r="J97" s="2">
        <f t="shared" si="37"/>
        <v>32</v>
      </c>
      <c r="K97" s="2">
        <f t="shared" si="37"/>
        <v>0</v>
      </c>
      <c r="L97" s="2">
        <f t="shared" si="37"/>
        <v>479</v>
      </c>
      <c r="M97" s="5">
        <f t="shared" si="37"/>
        <v>1.29010101010101</v>
      </c>
      <c r="N97" s="5">
        <f t="shared" si="37"/>
        <v>0</v>
      </c>
      <c r="O97" s="2">
        <f t="shared" si="37"/>
        <v>0</v>
      </c>
      <c r="P97" s="5">
        <f>SUM(P98:P99)</f>
        <v>0.28</v>
      </c>
      <c r="Q97" s="2">
        <f>SUM(Q98:Q99)</f>
        <v>492.80000000000007</v>
      </c>
      <c r="R97" s="5">
        <f t="shared" si="37"/>
        <v>0</v>
      </c>
      <c r="S97" s="2">
        <f t="shared" si="37"/>
        <v>0</v>
      </c>
      <c r="T97" s="5">
        <f t="shared" si="37"/>
        <v>0</v>
      </c>
      <c r="U97" s="2">
        <f t="shared" si="37"/>
        <v>0</v>
      </c>
      <c r="V97" s="5">
        <f t="shared" si="37"/>
        <v>1.01010101010101</v>
      </c>
      <c r="W97" s="2">
        <f t="shared" si="37"/>
        <v>1777.7777777777776</v>
      </c>
      <c r="X97" s="2">
        <f t="shared" si="37"/>
        <v>511</v>
      </c>
      <c r="Y97" s="2">
        <f t="shared" si="37"/>
        <v>0</v>
      </c>
      <c r="Z97" s="2">
        <f t="shared" si="37"/>
        <v>188</v>
      </c>
      <c r="AA97" s="2">
        <f t="shared" si="37"/>
        <v>256</v>
      </c>
      <c r="AB97" s="2">
        <f t="shared" si="37"/>
        <v>67</v>
      </c>
      <c r="AC97" s="2">
        <f t="shared" si="37"/>
        <v>0</v>
      </c>
      <c r="AD97" s="2">
        <f>SUM(AD98:AD99)</f>
        <v>0</v>
      </c>
      <c r="AE97" s="2">
        <f>SUM(AE98:AE99)</f>
        <v>0</v>
      </c>
    </row>
    <row r="98" spans="1:31" s="20" customFormat="1" ht="12.75">
      <c r="A98" s="20" t="s">
        <v>148</v>
      </c>
      <c r="B98" s="20" t="s">
        <v>88</v>
      </c>
      <c r="E98" s="2">
        <f>SUM(I98:L98)</f>
        <v>479</v>
      </c>
      <c r="F98" s="3">
        <f>E98*G98</f>
        <v>0</v>
      </c>
      <c r="G98" s="29"/>
      <c r="H98" s="2">
        <f>SUM(E98:F98)</f>
        <v>479</v>
      </c>
      <c r="I98" s="18"/>
      <c r="J98" s="18"/>
      <c r="K98" s="18"/>
      <c r="L98" s="18">
        <v>479</v>
      </c>
      <c r="M98" s="5">
        <f>N98+P98+R98+T98+V98</f>
        <v>0</v>
      </c>
      <c r="N98" s="19"/>
      <c r="O98" s="18"/>
      <c r="P98" s="19"/>
      <c r="Q98" s="18"/>
      <c r="R98" s="19"/>
      <c r="S98" s="18"/>
      <c r="T98" s="19"/>
      <c r="U98" s="18"/>
      <c r="V98" s="19"/>
      <c r="W98" s="18"/>
      <c r="X98" s="2">
        <f>SUM(Y98:AC98)</f>
        <v>479</v>
      </c>
      <c r="Y98" s="18"/>
      <c r="Z98" s="18">
        <v>180</v>
      </c>
      <c r="AA98" s="18">
        <v>240</v>
      </c>
      <c r="AB98" s="18">
        <v>59</v>
      </c>
      <c r="AC98" s="18"/>
      <c r="AD98" s="18"/>
      <c r="AE98" s="18"/>
    </row>
    <row r="99" spans="1:31" s="20" customFormat="1" ht="12.75">
      <c r="A99" s="20" t="s">
        <v>149</v>
      </c>
      <c r="B99" s="20" t="s">
        <v>119</v>
      </c>
      <c r="E99" s="2">
        <f>SUM(I99:L99)</f>
        <v>32</v>
      </c>
      <c r="F99" s="3">
        <f>E99*G99</f>
        <v>0</v>
      </c>
      <c r="G99" s="29"/>
      <c r="H99" s="2">
        <f>SUM(E99:F99)</f>
        <v>32</v>
      </c>
      <c r="I99" s="18"/>
      <c r="J99" s="18">
        <v>32</v>
      </c>
      <c r="K99" s="18"/>
      <c r="L99" s="18">
        <v>0</v>
      </c>
      <c r="M99" s="5">
        <f>P99+R99+T99+V99</f>
        <v>1.29010101010101</v>
      </c>
      <c r="N99" s="19"/>
      <c r="P99" s="19">
        <v>0.28</v>
      </c>
      <c r="Q99" s="18">
        <f>P99*AG$26</f>
        <v>492.80000000000007</v>
      </c>
      <c r="R99" s="19"/>
      <c r="S99" s="18"/>
      <c r="T99" s="19"/>
      <c r="U99" s="18"/>
      <c r="V99" s="19">
        <f>J99/$AG$25/1.76</f>
        <v>1.01010101010101</v>
      </c>
      <c r="W99" s="18">
        <f>V99*AG$26</f>
        <v>1777.7777777777776</v>
      </c>
      <c r="X99" s="2">
        <f>SUM(Y99:AC99)</f>
        <v>32</v>
      </c>
      <c r="Y99" s="18"/>
      <c r="Z99" s="18">
        <v>8</v>
      </c>
      <c r="AA99" s="18">
        <v>16</v>
      </c>
      <c r="AB99" s="18">
        <v>8</v>
      </c>
      <c r="AC99" s="18"/>
      <c r="AD99" s="18"/>
      <c r="AE99" s="18">
        <v>0</v>
      </c>
    </row>
    <row r="100" spans="5:31" s="20" customFormat="1" ht="12.75">
      <c r="E100" s="2"/>
      <c r="F100" s="3"/>
      <c r="G100" s="29"/>
      <c r="H100" s="2"/>
      <c r="I100" s="18"/>
      <c r="J100" s="18"/>
      <c r="K100" s="18"/>
      <c r="L100" s="18"/>
      <c r="M100" s="5"/>
      <c r="N100" s="19"/>
      <c r="O100" s="18"/>
      <c r="P100" s="19"/>
      <c r="Q100" s="18"/>
      <c r="R100" s="19"/>
      <c r="S100" s="18"/>
      <c r="T100" s="19"/>
      <c r="U100" s="18"/>
      <c r="V100" s="19"/>
      <c r="W100" s="18"/>
      <c r="X100" s="2"/>
      <c r="Y100" s="18"/>
      <c r="Z100" s="18"/>
      <c r="AA100" s="18"/>
      <c r="AB100" s="18"/>
      <c r="AC100" s="18"/>
      <c r="AD100" s="18"/>
      <c r="AE100" s="18"/>
    </row>
    <row r="101" spans="1:31" ht="12.75">
      <c r="A101" s="16" t="s">
        <v>120</v>
      </c>
      <c r="B101" s="17" t="s">
        <v>121</v>
      </c>
      <c r="C101" s="20"/>
      <c r="D101" s="20"/>
      <c r="E101" s="2">
        <f>SUM(E102:E103)</f>
        <v>124</v>
      </c>
      <c r="F101" s="2">
        <f>SUM(F102:F103)</f>
        <v>0</v>
      </c>
      <c r="G101" s="28">
        <f>F101/E101</f>
        <v>0</v>
      </c>
      <c r="H101" s="2">
        <f aca="true" t="shared" si="38" ref="H101:AC101">SUM(H102:H103)</f>
        <v>124</v>
      </c>
      <c r="I101" s="2">
        <f t="shared" si="38"/>
        <v>0</v>
      </c>
      <c r="J101" s="2">
        <f t="shared" si="38"/>
        <v>4</v>
      </c>
      <c r="K101" s="2">
        <f t="shared" si="38"/>
        <v>0</v>
      </c>
      <c r="L101" s="2">
        <f t="shared" si="38"/>
        <v>120</v>
      </c>
      <c r="M101" s="5">
        <f t="shared" si="38"/>
        <v>0.15626262626262624</v>
      </c>
      <c r="N101" s="5">
        <f t="shared" si="38"/>
        <v>0</v>
      </c>
      <c r="O101" s="2">
        <f t="shared" si="38"/>
        <v>0</v>
      </c>
      <c r="P101" s="5">
        <f>SUM(P102:P103)</f>
        <v>0.03</v>
      </c>
      <c r="Q101" s="2">
        <f>SUM(Q102:Q103)</f>
        <v>52.8</v>
      </c>
      <c r="R101" s="5">
        <f t="shared" si="38"/>
        <v>0</v>
      </c>
      <c r="S101" s="2">
        <f t="shared" si="38"/>
        <v>0</v>
      </c>
      <c r="T101" s="5">
        <f t="shared" si="38"/>
        <v>0</v>
      </c>
      <c r="U101" s="2">
        <f t="shared" si="38"/>
        <v>0</v>
      </c>
      <c r="V101" s="5">
        <f t="shared" si="38"/>
        <v>0.12626262626262624</v>
      </c>
      <c r="W101" s="2">
        <f t="shared" si="38"/>
        <v>222.2222222222222</v>
      </c>
      <c r="X101" s="2">
        <f t="shared" si="38"/>
        <v>124</v>
      </c>
      <c r="Y101" s="2">
        <f t="shared" si="38"/>
        <v>0</v>
      </c>
      <c r="Z101" s="2">
        <f t="shared" si="38"/>
        <v>20</v>
      </c>
      <c r="AA101" s="2">
        <f t="shared" si="38"/>
        <v>82</v>
      </c>
      <c r="AB101" s="2">
        <f t="shared" si="38"/>
        <v>22</v>
      </c>
      <c r="AC101" s="2">
        <f t="shared" si="38"/>
        <v>0</v>
      </c>
      <c r="AD101" s="2">
        <f>SUM(AD102:AD103)</f>
        <v>0</v>
      </c>
      <c r="AE101" s="2">
        <f>SUM(AE102:AE103)</f>
        <v>0</v>
      </c>
    </row>
    <row r="102" spans="1:31" s="20" customFormat="1" ht="12.75">
      <c r="A102" s="20" t="s">
        <v>150</v>
      </c>
      <c r="B102" s="20" t="s">
        <v>88</v>
      </c>
      <c r="E102" s="2">
        <f>SUM(I102:L102)</f>
        <v>120</v>
      </c>
      <c r="F102" s="3">
        <f>E102*G102</f>
        <v>0</v>
      </c>
      <c r="G102" s="29"/>
      <c r="H102" s="2">
        <f>SUM(E102:F102)</f>
        <v>120</v>
      </c>
      <c r="I102" s="18"/>
      <c r="J102" s="18"/>
      <c r="K102" s="18"/>
      <c r="L102" s="18">
        <v>120</v>
      </c>
      <c r="M102" s="5">
        <f>N102+P102+R102+T102+V102</f>
        <v>0</v>
      </c>
      <c r="N102" s="19"/>
      <c r="O102" s="18"/>
      <c r="P102" s="19"/>
      <c r="Q102" s="18"/>
      <c r="R102" s="19"/>
      <c r="S102" s="18"/>
      <c r="T102" s="19"/>
      <c r="U102" s="18"/>
      <c r="V102" s="19"/>
      <c r="W102" s="18"/>
      <c r="X102" s="2">
        <f>SUM(Y102:AC102)</f>
        <v>120</v>
      </c>
      <c r="Y102" s="18"/>
      <c r="Z102" s="18">
        <v>20</v>
      </c>
      <c r="AA102" s="18">
        <v>80</v>
      </c>
      <c r="AB102" s="18">
        <v>20</v>
      </c>
      <c r="AC102" s="18"/>
      <c r="AD102" s="18"/>
      <c r="AE102" s="18"/>
    </row>
    <row r="103" spans="1:31" s="20" customFormat="1" ht="12.75">
      <c r="A103" s="20" t="s">
        <v>151</v>
      </c>
      <c r="B103" s="20" t="s">
        <v>119</v>
      </c>
      <c r="E103" s="2">
        <f>SUM(I103:L103)</f>
        <v>4</v>
      </c>
      <c r="F103" s="3">
        <f>E103*G103</f>
        <v>0</v>
      </c>
      <c r="G103" s="29"/>
      <c r="H103" s="2">
        <f>SUM(E103:F103)</f>
        <v>4</v>
      </c>
      <c r="I103" s="18"/>
      <c r="J103" s="18">
        <v>4</v>
      </c>
      <c r="K103" s="18"/>
      <c r="L103" s="18">
        <v>0</v>
      </c>
      <c r="M103" s="5">
        <f>P103+R103+T103+V103</f>
        <v>0.15626262626262624</v>
      </c>
      <c r="N103" s="19"/>
      <c r="P103" s="19">
        <v>0.03</v>
      </c>
      <c r="Q103" s="18">
        <f>P103*AG$26</f>
        <v>52.8</v>
      </c>
      <c r="R103" s="19"/>
      <c r="S103" s="18"/>
      <c r="T103" s="19"/>
      <c r="U103" s="18"/>
      <c r="V103" s="19">
        <f>J103/$AG$25/1.76</f>
        <v>0.12626262626262624</v>
      </c>
      <c r="W103" s="18">
        <f>V103*AG$26</f>
        <v>222.2222222222222</v>
      </c>
      <c r="X103" s="2">
        <f>SUM(Y103:AC103)</f>
        <v>4</v>
      </c>
      <c r="Y103" s="18"/>
      <c r="Z103" s="18"/>
      <c r="AA103" s="18">
        <v>2</v>
      </c>
      <c r="AB103" s="18">
        <v>2</v>
      </c>
      <c r="AC103" s="18"/>
      <c r="AD103" s="18"/>
      <c r="AE103" s="18">
        <v>0</v>
      </c>
    </row>
    <row r="104" ht="12.75">
      <c r="AE104" s="4"/>
    </row>
    <row r="105" spans="1:31" ht="12.75">
      <c r="A105" s="16" t="s">
        <v>122</v>
      </c>
      <c r="B105" s="17" t="s">
        <v>123</v>
      </c>
      <c r="C105" s="17"/>
      <c r="D105" s="17"/>
      <c r="E105" s="2">
        <f>SUM(I105:L105)</f>
        <v>180</v>
      </c>
      <c r="F105" s="3">
        <f>E105*G105</f>
        <v>0</v>
      </c>
      <c r="G105" s="29"/>
      <c r="H105" s="2">
        <f>SUM(E105:F105)</f>
        <v>180</v>
      </c>
      <c r="I105" s="18"/>
      <c r="J105" s="18"/>
      <c r="K105" s="18"/>
      <c r="L105" s="18">
        <v>180</v>
      </c>
      <c r="M105" s="5">
        <f>N105+P105+R105+T105+V105</f>
        <v>0</v>
      </c>
      <c r="N105" s="19"/>
      <c r="O105" s="18"/>
      <c r="P105" s="19"/>
      <c r="Q105" s="18"/>
      <c r="R105" s="19"/>
      <c r="S105" s="18"/>
      <c r="T105" s="19"/>
      <c r="U105" s="18"/>
      <c r="V105" s="19"/>
      <c r="W105" s="18"/>
      <c r="X105" s="2">
        <f>SUM(Y105:AC105)</f>
        <v>180</v>
      </c>
      <c r="Y105" s="18"/>
      <c r="Z105" s="18">
        <v>90</v>
      </c>
      <c r="AA105" s="18">
        <v>90</v>
      </c>
      <c r="AB105" s="18"/>
      <c r="AC105" s="18"/>
      <c r="AD105" s="18"/>
      <c r="AE105" s="18"/>
    </row>
    <row r="106" spans="1:31" ht="12.75">
      <c r="A106" s="16"/>
      <c r="B106" s="17"/>
      <c r="C106" s="17"/>
      <c r="D106" s="17"/>
      <c r="G106" s="29"/>
      <c r="I106" s="18"/>
      <c r="J106" s="18"/>
      <c r="K106" s="18"/>
      <c r="L106" s="18"/>
      <c r="N106" s="19"/>
      <c r="O106" s="18"/>
      <c r="P106" s="19"/>
      <c r="Q106" s="18"/>
      <c r="R106" s="19"/>
      <c r="S106" s="18"/>
      <c r="T106" s="19"/>
      <c r="U106" s="18"/>
      <c r="V106" s="19"/>
      <c r="W106" s="18"/>
      <c r="Y106" s="18"/>
      <c r="Z106" s="18"/>
      <c r="AA106" s="18"/>
      <c r="AB106" s="18"/>
      <c r="AC106" s="18"/>
      <c r="AD106" s="18"/>
      <c r="AE106" s="18"/>
    </row>
    <row r="107" spans="1:32" ht="12.75">
      <c r="A107" s="16" t="s">
        <v>166</v>
      </c>
      <c r="B107" s="17" t="s">
        <v>167</v>
      </c>
      <c r="C107" s="17"/>
      <c r="D107" s="17"/>
      <c r="E107" s="2">
        <f>SUM(I107:L107)</f>
        <v>0</v>
      </c>
      <c r="F107" s="3">
        <f>E107*G107</f>
        <v>0</v>
      </c>
      <c r="G107" s="29"/>
      <c r="H107" s="2">
        <f>SUM(E107:F107)</f>
        <v>0</v>
      </c>
      <c r="I107" s="18"/>
      <c r="J107" s="18"/>
      <c r="K107" s="18"/>
      <c r="L107" s="18">
        <v>0</v>
      </c>
      <c r="M107" s="5">
        <f>N107+P107+R107+T107+V107</f>
        <v>1.66</v>
      </c>
      <c r="N107" s="19">
        <v>1.66</v>
      </c>
      <c r="O107" s="18">
        <f>N107*AG$26</f>
        <v>2921.6</v>
      </c>
      <c r="P107" s="19"/>
      <c r="Q107" s="18"/>
      <c r="R107" s="19"/>
      <c r="S107" s="18"/>
      <c r="T107" s="19"/>
      <c r="U107" s="18"/>
      <c r="V107" s="19"/>
      <c r="W107" s="18"/>
      <c r="X107" s="2">
        <f>SUM(Y107:AC107)</f>
        <v>0</v>
      </c>
      <c r="Y107" s="18"/>
      <c r="Z107" s="18">
        <v>0</v>
      </c>
      <c r="AA107" s="18">
        <v>0</v>
      </c>
      <c r="AB107" s="18"/>
      <c r="AC107" s="18"/>
      <c r="AD107" s="18"/>
      <c r="AE107" s="18">
        <f>O107*$AH$21/1000</f>
        <v>160.688</v>
      </c>
      <c r="AF107" t="s">
        <v>215</v>
      </c>
    </row>
    <row r="108" spans="1:31" ht="12.75">
      <c r="A108" s="16"/>
      <c r="B108" s="17"/>
      <c r="C108" s="17"/>
      <c r="D108" s="17"/>
      <c r="G108" s="29"/>
      <c r="I108" s="18"/>
      <c r="J108" s="18"/>
      <c r="K108" s="18"/>
      <c r="L108" s="18"/>
      <c r="N108" s="19"/>
      <c r="O108" s="18"/>
      <c r="P108" s="19"/>
      <c r="Q108" s="18"/>
      <c r="R108" s="19"/>
      <c r="S108" s="18"/>
      <c r="T108" s="19"/>
      <c r="U108" s="18"/>
      <c r="V108" s="19"/>
      <c r="W108" s="18"/>
      <c r="Y108" s="18"/>
      <c r="Z108" s="18"/>
      <c r="AA108" s="18"/>
      <c r="AB108" s="18"/>
      <c r="AC108" s="18"/>
      <c r="AD108" s="18"/>
      <c r="AE108" s="18"/>
    </row>
    <row r="109" spans="1:31" ht="12.75">
      <c r="A109" s="16" t="s">
        <v>152</v>
      </c>
      <c r="B109" s="17" t="s">
        <v>158</v>
      </c>
      <c r="C109" s="17"/>
      <c r="D109" s="17"/>
      <c r="E109" s="2">
        <f>SUM(I109:L109)</f>
        <v>57</v>
      </c>
      <c r="F109" s="3">
        <f>E109*G109</f>
        <v>0</v>
      </c>
      <c r="G109" s="29"/>
      <c r="H109" s="2">
        <f>SUM(E109:F109)</f>
        <v>57</v>
      </c>
      <c r="I109" s="18"/>
      <c r="J109" s="18"/>
      <c r="K109" s="18"/>
      <c r="L109" s="18">
        <v>57</v>
      </c>
      <c r="M109" s="5">
        <f>N109+P109+R109+T109+V109</f>
        <v>0</v>
      </c>
      <c r="N109" s="19"/>
      <c r="O109" s="18"/>
      <c r="P109" s="19"/>
      <c r="Q109" s="18"/>
      <c r="R109" s="19"/>
      <c r="S109" s="18"/>
      <c r="T109" s="19"/>
      <c r="U109" s="18"/>
      <c r="V109" s="19"/>
      <c r="W109" s="18"/>
      <c r="X109" s="2">
        <f>SUM(Y109:AC109)</f>
        <v>57</v>
      </c>
      <c r="Y109" s="18"/>
      <c r="Z109" s="18">
        <v>30</v>
      </c>
      <c r="AA109" s="18">
        <v>27</v>
      </c>
      <c r="AB109" s="18"/>
      <c r="AC109" s="18"/>
      <c r="AD109" s="18"/>
      <c r="AE109" s="18"/>
    </row>
    <row r="110" spans="5:31" s="20" customFormat="1" ht="12.75">
      <c r="E110" s="2"/>
      <c r="F110" s="3"/>
      <c r="G110" s="29"/>
      <c r="H110" s="2"/>
      <c r="I110" s="18"/>
      <c r="J110" s="18"/>
      <c r="K110" s="18"/>
      <c r="L110" s="18"/>
      <c r="M110" s="5"/>
      <c r="N110" s="19"/>
      <c r="O110" s="18"/>
      <c r="P110" s="19"/>
      <c r="Q110" s="18"/>
      <c r="R110" s="19"/>
      <c r="S110" s="18"/>
      <c r="T110" s="19"/>
      <c r="U110" s="18"/>
      <c r="V110" s="19"/>
      <c r="W110" s="18"/>
      <c r="X110" s="2"/>
      <c r="Y110" s="18"/>
      <c r="Z110" s="18"/>
      <c r="AA110" s="18"/>
      <c r="AB110" s="18"/>
      <c r="AC110" s="18"/>
      <c r="AD110" s="18"/>
      <c r="AE110" s="18"/>
    </row>
    <row r="111" spans="1:31" s="20" customFormat="1" ht="12.75">
      <c r="A111" s="22" t="s">
        <v>124</v>
      </c>
      <c r="B111" s="17" t="s">
        <v>50</v>
      </c>
      <c r="E111" s="2">
        <f>SUM(I111:L111)</f>
        <v>100</v>
      </c>
      <c r="F111" s="3">
        <f>E111*G111</f>
        <v>0</v>
      </c>
      <c r="G111" s="29"/>
      <c r="H111" s="2">
        <f>SUM(E111:F111)</f>
        <v>100</v>
      </c>
      <c r="I111" s="18">
        <v>0</v>
      </c>
      <c r="J111" s="18">
        <v>0</v>
      </c>
      <c r="K111" s="18">
        <v>0</v>
      </c>
      <c r="L111" s="18">
        <f>5*20</f>
        <v>100</v>
      </c>
      <c r="M111" s="5">
        <f>N111+P111+R111+T111+V111</f>
        <v>0</v>
      </c>
      <c r="N111" s="19">
        <v>0</v>
      </c>
      <c r="O111" s="18">
        <v>0</v>
      </c>
      <c r="P111" s="19">
        <v>0</v>
      </c>
      <c r="Q111" s="18">
        <v>0</v>
      </c>
      <c r="R111" s="19">
        <v>0</v>
      </c>
      <c r="S111" s="18">
        <v>0</v>
      </c>
      <c r="T111" s="19">
        <v>0</v>
      </c>
      <c r="U111" s="18">
        <v>0</v>
      </c>
      <c r="V111" s="19">
        <f>J111/$AG$25/1.76</f>
        <v>0</v>
      </c>
      <c r="W111" s="18">
        <v>0</v>
      </c>
      <c r="X111" s="2">
        <f>SUM(Y111:AC111)</f>
        <v>100</v>
      </c>
      <c r="Y111" s="18">
        <f>Y113+Y136</f>
        <v>0</v>
      </c>
      <c r="Z111" s="18">
        <v>20</v>
      </c>
      <c r="AA111" s="18">
        <v>40</v>
      </c>
      <c r="AB111" s="18">
        <v>40</v>
      </c>
      <c r="AC111" s="18">
        <v>0</v>
      </c>
      <c r="AD111" s="18">
        <v>0</v>
      </c>
      <c r="AE111" s="18">
        <v>0</v>
      </c>
    </row>
    <row r="112" ht="12.75">
      <c r="AE112" s="4"/>
    </row>
    <row r="113" spans="1:31" ht="12.75">
      <c r="A113" s="16" t="s">
        <v>125</v>
      </c>
      <c r="B113" t="s">
        <v>126</v>
      </c>
      <c r="E113" s="2">
        <f>SUM(E114:E115)</f>
        <v>291.64</v>
      </c>
      <c r="F113" s="2">
        <f>SUM(F114:F115)</f>
        <v>0</v>
      </c>
      <c r="G113" s="28">
        <f>F113/E113</f>
        <v>0</v>
      </c>
      <c r="H113" s="2">
        <f aca="true" t="shared" si="39" ref="H113:AC113">SUM(H114:H115)</f>
        <v>291.64</v>
      </c>
      <c r="I113" s="2">
        <f t="shared" si="39"/>
        <v>134.64</v>
      </c>
      <c r="J113" s="2">
        <f t="shared" si="39"/>
        <v>67</v>
      </c>
      <c r="K113" s="2">
        <f t="shared" si="39"/>
        <v>0</v>
      </c>
      <c r="L113" s="2">
        <f t="shared" si="39"/>
        <v>90</v>
      </c>
      <c r="M113" s="5">
        <f t="shared" si="39"/>
        <v>10.20489898989899</v>
      </c>
      <c r="N113" s="5">
        <f t="shared" si="39"/>
        <v>8.09</v>
      </c>
      <c r="O113" s="2">
        <f t="shared" si="39"/>
        <v>14238.4</v>
      </c>
      <c r="P113" s="5">
        <f t="shared" si="39"/>
        <v>0</v>
      </c>
      <c r="Q113" s="2">
        <f t="shared" si="39"/>
        <v>0</v>
      </c>
      <c r="R113" s="5">
        <f t="shared" si="39"/>
        <v>0</v>
      </c>
      <c r="S113" s="2">
        <f t="shared" si="39"/>
        <v>0</v>
      </c>
      <c r="T113" s="5">
        <f t="shared" si="39"/>
        <v>0</v>
      </c>
      <c r="U113" s="2">
        <f t="shared" si="39"/>
        <v>0</v>
      </c>
      <c r="V113" s="5">
        <f t="shared" si="39"/>
        <v>2.1148989898989896</v>
      </c>
      <c r="W113" s="2">
        <f t="shared" si="39"/>
        <v>3722.2222222222217</v>
      </c>
      <c r="X113" s="2">
        <f t="shared" si="39"/>
        <v>292</v>
      </c>
      <c r="Y113" s="2">
        <f t="shared" si="39"/>
        <v>0</v>
      </c>
      <c r="Z113" s="2">
        <f t="shared" si="39"/>
        <v>69</v>
      </c>
      <c r="AA113" s="2">
        <f t="shared" si="39"/>
        <v>115</v>
      </c>
      <c r="AB113" s="2">
        <f t="shared" si="39"/>
        <v>108</v>
      </c>
      <c r="AC113" s="2">
        <f t="shared" si="39"/>
        <v>0</v>
      </c>
      <c r="AD113" s="2">
        <f>SUM(AD114:AD115)</f>
        <v>0</v>
      </c>
      <c r="AE113" s="2">
        <f>SUM(AE114:AE115)</f>
        <v>371.712</v>
      </c>
    </row>
    <row r="114" spans="1:32" s="20" customFormat="1" ht="12.75">
      <c r="A114" s="20" t="s">
        <v>127</v>
      </c>
      <c r="B114" s="20" t="s">
        <v>128</v>
      </c>
      <c r="E114" s="2">
        <f>SUM(I114:L114)</f>
        <v>178.89440000000002</v>
      </c>
      <c r="F114" s="3">
        <f>E114*G114</f>
        <v>0</v>
      </c>
      <c r="G114" s="29"/>
      <c r="H114" s="2">
        <f>SUM(E114:F114)</f>
        <v>178.89440000000002</v>
      </c>
      <c r="I114" s="18">
        <f>2.08*1760*AG22/1000</f>
        <v>65.8944</v>
      </c>
      <c r="J114" s="18">
        <v>33</v>
      </c>
      <c r="K114" s="18"/>
      <c r="L114" s="18">
        <v>80</v>
      </c>
      <c r="M114" s="5">
        <f>N114+P114+R114+T114+V114</f>
        <v>5.041666666666666</v>
      </c>
      <c r="N114" s="19">
        <v>4</v>
      </c>
      <c r="O114" s="18">
        <f>N114*AG$26</f>
        <v>7040</v>
      </c>
      <c r="P114" s="19"/>
      <c r="Q114" s="18"/>
      <c r="R114" s="19"/>
      <c r="S114" s="18"/>
      <c r="T114" s="19"/>
      <c r="U114" s="18"/>
      <c r="V114" s="19">
        <f>J114/$AG$25/1.76</f>
        <v>1.0416666666666665</v>
      </c>
      <c r="W114" s="18">
        <f>V114*AG$26</f>
        <v>1833.333333333333</v>
      </c>
      <c r="X114" s="2">
        <f>SUM(Y114:AC114)</f>
        <v>179</v>
      </c>
      <c r="Y114" s="18"/>
      <c r="Z114" s="18">
        <v>29</v>
      </c>
      <c r="AA114" s="18">
        <v>75</v>
      </c>
      <c r="AB114" s="18">
        <v>75</v>
      </c>
      <c r="AC114" s="18"/>
      <c r="AD114" s="18"/>
      <c r="AE114" s="18">
        <f>1.92*1760*AH21/1000</f>
        <v>185.856</v>
      </c>
      <c r="AF114" s="20" t="s">
        <v>215</v>
      </c>
    </row>
    <row r="115" spans="1:35" s="20" customFormat="1" ht="12.75">
      <c r="A115" s="20" t="s">
        <v>129</v>
      </c>
      <c r="B115" s="20" t="s">
        <v>130</v>
      </c>
      <c r="E115" s="2">
        <f>SUM(I115:L115)</f>
        <v>112.7456</v>
      </c>
      <c r="F115" s="3">
        <f>E115*G115</f>
        <v>0</v>
      </c>
      <c r="G115" s="29"/>
      <c r="H115" s="2">
        <f>SUM(E115:F115)</f>
        <v>112.7456</v>
      </c>
      <c r="I115" s="18">
        <f>2.17*1760*AG22/1000</f>
        <v>68.7456</v>
      </c>
      <c r="J115" s="18">
        <v>34</v>
      </c>
      <c r="K115" s="18"/>
      <c r="L115" s="18">
        <v>10</v>
      </c>
      <c r="M115" s="5">
        <f>N115+P115+R115+T115+V115</f>
        <v>5.163232323232323</v>
      </c>
      <c r="N115" s="19">
        <v>4.09</v>
      </c>
      <c r="O115" s="18">
        <f>N115*AG$26</f>
        <v>7198.4</v>
      </c>
      <c r="P115" s="19"/>
      <c r="Q115" s="18"/>
      <c r="R115" s="19"/>
      <c r="S115" s="18"/>
      <c r="T115" s="19"/>
      <c r="U115" s="18"/>
      <c r="V115" s="19">
        <f>J115/$AG$25/1.76</f>
        <v>1.073232323232323</v>
      </c>
      <c r="W115" s="18">
        <f>V115*AG$26</f>
        <v>1888.8888888888887</v>
      </c>
      <c r="X115" s="2">
        <f>SUM(Y115:AC115)</f>
        <v>113</v>
      </c>
      <c r="Y115" s="18"/>
      <c r="Z115" s="18">
        <v>40</v>
      </c>
      <c r="AA115" s="18">
        <v>40</v>
      </c>
      <c r="AB115" s="18">
        <v>33</v>
      </c>
      <c r="AC115" s="18"/>
      <c r="AD115" s="18"/>
      <c r="AE115" s="18">
        <f>1.92*1760*AH21/1000</f>
        <v>185.856</v>
      </c>
      <c r="AF115" s="20" t="s">
        <v>215</v>
      </c>
      <c r="AG115" s="20" t="s">
        <v>132</v>
      </c>
      <c r="AI115" s="20" t="s">
        <v>133</v>
      </c>
    </row>
    <row r="116" spans="33:37" ht="12.75">
      <c r="AG116" t="s">
        <v>135</v>
      </c>
      <c r="AH116" t="s">
        <v>136</v>
      </c>
      <c r="AI116" t="s">
        <v>137</v>
      </c>
      <c r="AJ116" t="s">
        <v>138</v>
      </c>
      <c r="AK116" t="s">
        <v>139</v>
      </c>
    </row>
    <row r="117" spans="1:31" ht="12.75">
      <c r="A117" s="16" t="s">
        <v>131</v>
      </c>
      <c r="B117" t="s">
        <v>168</v>
      </c>
      <c r="E117" s="2">
        <f>SUM(E118:E120)</f>
        <v>185.3312</v>
      </c>
      <c r="F117" s="2">
        <f>SUM(F118:F120)</f>
        <v>0</v>
      </c>
      <c r="G117" s="28">
        <f>F117/E117</f>
        <v>0</v>
      </c>
      <c r="H117" s="2">
        <f aca="true" t="shared" si="40" ref="H117:AE117">SUM(H118:H120)</f>
        <v>185.3312</v>
      </c>
      <c r="I117" s="2">
        <f t="shared" si="40"/>
        <v>66</v>
      </c>
      <c r="J117" s="2">
        <f t="shared" si="40"/>
        <v>120.3312</v>
      </c>
      <c r="K117" s="2">
        <f t="shared" si="40"/>
        <v>0</v>
      </c>
      <c r="L117" s="2">
        <f t="shared" si="40"/>
        <v>0</v>
      </c>
      <c r="M117" s="5">
        <f t="shared" si="40"/>
        <v>5.19429292929293</v>
      </c>
      <c r="N117" s="5">
        <f t="shared" si="40"/>
        <v>1.16</v>
      </c>
      <c r="O117" s="2">
        <f t="shared" si="40"/>
        <v>2041.6</v>
      </c>
      <c r="P117" s="5">
        <f t="shared" si="40"/>
        <v>1.7063636363636365</v>
      </c>
      <c r="Q117" s="2">
        <f t="shared" si="40"/>
        <v>3000</v>
      </c>
      <c r="R117" s="5">
        <f t="shared" si="40"/>
        <v>0</v>
      </c>
      <c r="S117" s="2">
        <f t="shared" si="40"/>
        <v>0</v>
      </c>
      <c r="T117" s="5">
        <f t="shared" si="40"/>
        <v>0</v>
      </c>
      <c r="U117" s="2">
        <f t="shared" si="40"/>
        <v>0</v>
      </c>
      <c r="V117" s="5">
        <f t="shared" si="40"/>
        <v>2.327929292929293</v>
      </c>
      <c r="W117" s="2">
        <f t="shared" si="40"/>
        <v>4097.155555555555</v>
      </c>
      <c r="X117" s="2">
        <f t="shared" si="40"/>
        <v>185</v>
      </c>
      <c r="Y117" s="2">
        <f t="shared" si="40"/>
        <v>0</v>
      </c>
      <c r="Z117" s="2">
        <f t="shared" si="40"/>
        <v>0</v>
      </c>
      <c r="AA117" s="2">
        <f t="shared" si="40"/>
        <v>75</v>
      </c>
      <c r="AB117" s="2">
        <f t="shared" si="40"/>
        <v>76</v>
      </c>
      <c r="AC117" s="2">
        <f>SUM(AC118:AC120)</f>
        <v>34</v>
      </c>
      <c r="AD117" s="2">
        <f t="shared" si="40"/>
        <v>0</v>
      </c>
      <c r="AE117" s="2">
        <f t="shared" si="40"/>
        <v>179.6608</v>
      </c>
    </row>
    <row r="118" spans="1:32" s="20" customFormat="1" ht="12.75">
      <c r="A118" s="20" t="s">
        <v>134</v>
      </c>
      <c r="B118" s="20" t="s">
        <v>169</v>
      </c>
      <c r="E118" s="2">
        <f>SUM(I118:L118)</f>
        <v>61</v>
      </c>
      <c r="F118" s="3">
        <f>E118*G118</f>
        <v>0</v>
      </c>
      <c r="G118" s="29"/>
      <c r="H118" s="2">
        <f>SUM(E118:F118)</f>
        <v>61</v>
      </c>
      <c r="I118" s="18">
        <v>24</v>
      </c>
      <c r="J118" s="18">
        <v>37</v>
      </c>
      <c r="K118" s="18"/>
      <c r="L118" s="18"/>
      <c r="M118" s="5">
        <f>N118+P118+R118+T118+V118</f>
        <v>2.316111111111111</v>
      </c>
      <c r="N118" s="19">
        <v>0.58</v>
      </c>
      <c r="O118" s="18">
        <f>N118*AG$26</f>
        <v>1020.8</v>
      </c>
      <c r="P118" s="19">
        <f>(I118/$AG$23)/1.76</f>
        <v>0.5681818181818182</v>
      </c>
      <c r="Q118" s="18">
        <f>P118*AG$26</f>
        <v>1000.0000000000001</v>
      </c>
      <c r="R118" s="19"/>
      <c r="S118" s="18"/>
      <c r="T118" s="19"/>
      <c r="U118" s="18"/>
      <c r="V118" s="19">
        <f>J118/$AG$25/1.76</f>
        <v>1.1679292929292928</v>
      </c>
      <c r="W118" s="18">
        <f>V118*AG$26</f>
        <v>2055.555555555555</v>
      </c>
      <c r="X118" s="2">
        <f>SUM(Y118:AC118)</f>
        <v>61</v>
      </c>
      <c r="Y118" s="18"/>
      <c r="AA118" s="18">
        <v>30</v>
      </c>
      <c r="AB118" s="18">
        <v>31</v>
      </c>
      <c r="AC118" s="18"/>
      <c r="AD118" s="18"/>
      <c r="AE118" s="18">
        <f>N118*1760*AH21/1000</f>
        <v>56.144</v>
      </c>
      <c r="AF118" s="20" t="s">
        <v>215</v>
      </c>
    </row>
    <row r="119" spans="1:35" s="20" customFormat="1" ht="12.75">
      <c r="A119" s="20" t="s">
        <v>140</v>
      </c>
      <c r="B119" s="20" t="s">
        <v>180</v>
      </c>
      <c r="E119" s="2">
        <f>SUM(I119:L119)</f>
        <v>42</v>
      </c>
      <c r="F119" s="3">
        <f>E119*G119</f>
        <v>0</v>
      </c>
      <c r="G119" s="29"/>
      <c r="H119" s="2">
        <f>SUM(E119:F119)</f>
        <v>42</v>
      </c>
      <c r="I119" s="18">
        <v>24</v>
      </c>
      <c r="J119" s="18">
        <v>18</v>
      </c>
      <c r="K119" s="18"/>
      <c r="L119" s="18"/>
      <c r="M119" s="5">
        <f>N119+P119+R119+T119+V119</f>
        <v>1.728181818181818</v>
      </c>
      <c r="N119" s="19">
        <v>0.58</v>
      </c>
      <c r="O119" s="18">
        <f>N119*AG$26</f>
        <v>1020.8</v>
      </c>
      <c r="P119" s="19">
        <f>(I119/$AG$23)/1.76</f>
        <v>0.5681818181818182</v>
      </c>
      <c r="Q119" s="18">
        <f>P119*AG$26</f>
        <v>1000.0000000000001</v>
      </c>
      <c r="R119" s="19"/>
      <c r="S119" s="18"/>
      <c r="T119" s="19"/>
      <c r="U119" s="18"/>
      <c r="V119" s="19">
        <v>0.58</v>
      </c>
      <c r="W119" s="18">
        <f>V119*AG$26</f>
        <v>1020.8</v>
      </c>
      <c r="X119" s="2">
        <f>SUM(Y119:AC119)</f>
        <v>42</v>
      </c>
      <c r="Y119" s="18"/>
      <c r="AA119" s="18">
        <v>15</v>
      </c>
      <c r="AB119" s="18">
        <v>15</v>
      </c>
      <c r="AC119" s="18">
        <v>12</v>
      </c>
      <c r="AD119" s="18"/>
      <c r="AE119" s="18">
        <f>N119*1760*AH21/1000</f>
        <v>56.144</v>
      </c>
      <c r="AF119" s="20" t="s">
        <v>215</v>
      </c>
      <c r="AG119" s="20" t="s">
        <v>132</v>
      </c>
      <c r="AI119" s="20" t="s">
        <v>133</v>
      </c>
    </row>
    <row r="120" spans="1:35" s="20" customFormat="1" ht="12.75">
      <c r="A120" s="20" t="s">
        <v>214</v>
      </c>
      <c r="B120" s="20" t="s">
        <v>170</v>
      </c>
      <c r="E120" s="2">
        <f>SUM(I120:L120)-1</f>
        <v>82.3312</v>
      </c>
      <c r="F120" s="3">
        <f>E120*G120</f>
        <v>0</v>
      </c>
      <c r="G120" s="29"/>
      <c r="H120" s="2">
        <f>SUM(E120:F120)</f>
        <v>82.3312</v>
      </c>
      <c r="I120" s="18">
        <f>Q120*AG22/1000</f>
        <v>18</v>
      </c>
      <c r="J120" s="18">
        <f>W120*AJ25/1000</f>
        <v>65.3312</v>
      </c>
      <c r="K120" s="18"/>
      <c r="L120" s="18"/>
      <c r="M120" s="5">
        <f>N120+P120+R120+T120+V120</f>
        <v>1.15</v>
      </c>
      <c r="N120" s="19"/>
      <c r="O120" s="18"/>
      <c r="P120" s="19">
        <v>0.57</v>
      </c>
      <c r="Q120" s="18">
        <v>1000</v>
      </c>
      <c r="R120" s="19"/>
      <c r="S120" s="18"/>
      <c r="T120" s="19"/>
      <c r="U120" s="18"/>
      <c r="V120" s="19">
        <v>0.58</v>
      </c>
      <c r="W120" s="18">
        <f>V120*AG$26</f>
        <v>1020.8</v>
      </c>
      <c r="X120" s="2">
        <f>SUM(Y120:AC120)</f>
        <v>82</v>
      </c>
      <c r="Y120" s="18"/>
      <c r="AA120" s="18">
        <v>30</v>
      </c>
      <c r="AB120" s="18">
        <v>30</v>
      </c>
      <c r="AC120" s="18">
        <v>22</v>
      </c>
      <c r="AD120" s="18"/>
      <c r="AE120" s="18">
        <f>0.58*1760*AH23/1000</f>
        <v>67.3728</v>
      </c>
      <c r="AF120" s="20" t="s">
        <v>215</v>
      </c>
      <c r="AG120" s="20" t="s">
        <v>132</v>
      </c>
      <c r="AI120" s="20" t="s">
        <v>133</v>
      </c>
    </row>
    <row r="122" spans="1:31" ht="12.75">
      <c r="A122" s="16" t="s">
        <v>171</v>
      </c>
      <c r="B122" t="s">
        <v>172</v>
      </c>
      <c r="E122" s="2">
        <f>SUM(E123:E126)</f>
        <v>205.37439999999998</v>
      </c>
      <c r="F122" s="2">
        <f>SUM(F123:F126)</f>
        <v>0</v>
      </c>
      <c r="G122" s="28">
        <f>F122/E122</f>
        <v>0</v>
      </c>
      <c r="H122" s="2">
        <f aca="true" t="shared" si="41" ref="H122:AE122">SUM(H123:H126)</f>
        <v>205.37439999999998</v>
      </c>
      <c r="I122" s="2">
        <f t="shared" si="41"/>
        <v>18.374399999999998</v>
      </c>
      <c r="J122" s="2">
        <f t="shared" si="41"/>
        <v>57</v>
      </c>
      <c r="K122" s="2">
        <f t="shared" si="41"/>
        <v>0</v>
      </c>
      <c r="L122" s="2">
        <f t="shared" si="41"/>
        <v>130</v>
      </c>
      <c r="M122" s="5">
        <f t="shared" si="41"/>
        <v>2.379242424242424</v>
      </c>
      <c r="N122" s="5">
        <f t="shared" si="41"/>
        <v>0.58</v>
      </c>
      <c r="O122" s="2">
        <f t="shared" si="41"/>
        <v>1020.8</v>
      </c>
      <c r="P122" s="5">
        <f t="shared" si="41"/>
        <v>0</v>
      </c>
      <c r="Q122" s="2">
        <f t="shared" si="41"/>
        <v>0</v>
      </c>
      <c r="R122" s="5">
        <f t="shared" si="41"/>
        <v>0</v>
      </c>
      <c r="S122" s="2">
        <f t="shared" si="41"/>
        <v>0</v>
      </c>
      <c r="T122" s="5">
        <f t="shared" si="41"/>
        <v>0</v>
      </c>
      <c r="U122" s="2">
        <f t="shared" si="41"/>
        <v>0</v>
      </c>
      <c r="V122" s="5">
        <f t="shared" si="41"/>
        <v>1.799242424242424</v>
      </c>
      <c r="W122" s="2">
        <f t="shared" si="41"/>
        <v>3166.6666666666665</v>
      </c>
      <c r="X122" s="2">
        <f t="shared" si="41"/>
        <v>205</v>
      </c>
      <c r="Y122" s="2">
        <f t="shared" si="41"/>
        <v>0</v>
      </c>
      <c r="Z122" s="2">
        <f t="shared" si="41"/>
        <v>0</v>
      </c>
      <c r="AA122" s="2">
        <f t="shared" si="41"/>
        <v>0</v>
      </c>
      <c r="AB122" s="2">
        <f t="shared" si="41"/>
        <v>205</v>
      </c>
      <c r="AC122" s="2">
        <f t="shared" si="41"/>
        <v>0</v>
      </c>
      <c r="AD122" s="2">
        <f t="shared" si="41"/>
        <v>0</v>
      </c>
      <c r="AE122" s="2">
        <f t="shared" si="41"/>
        <v>0</v>
      </c>
    </row>
    <row r="123" spans="1:31" s="20" customFormat="1" ht="12.75">
      <c r="A123" s="20" t="s">
        <v>201</v>
      </c>
      <c r="B123" s="20" t="s">
        <v>173</v>
      </c>
      <c r="E123" s="2">
        <f>SUM(I123:L123)</f>
        <v>56</v>
      </c>
      <c r="F123" s="3">
        <f>E123*G123</f>
        <v>0</v>
      </c>
      <c r="G123" s="29"/>
      <c r="H123" s="2">
        <f>SUM(E123:F123)</f>
        <v>56</v>
      </c>
      <c r="I123" s="18"/>
      <c r="J123" s="18">
        <v>13</v>
      </c>
      <c r="K123" s="18"/>
      <c r="L123" s="18">
        <v>43</v>
      </c>
      <c r="M123" s="5">
        <f>N123+P123+R123+T123+V123</f>
        <v>0.41035353535353536</v>
      </c>
      <c r="N123" s="19"/>
      <c r="O123" s="18"/>
      <c r="P123" s="19">
        <f>(I123/$AG$23)/1.755</f>
        <v>0</v>
      </c>
      <c r="Q123" s="18">
        <f>P123*AG$26</f>
        <v>0</v>
      </c>
      <c r="R123" s="19"/>
      <c r="S123" s="18"/>
      <c r="T123" s="19"/>
      <c r="U123" s="18"/>
      <c r="V123" s="19">
        <f>J123/$AG$25/1.76</f>
        <v>0.41035353535353536</v>
      </c>
      <c r="W123" s="18">
        <f>V123*AG$26</f>
        <v>722.2222222222223</v>
      </c>
      <c r="X123" s="2">
        <f>SUM(Y123:AC123)</f>
        <v>56</v>
      </c>
      <c r="Y123" s="18"/>
      <c r="Z123" s="18"/>
      <c r="AA123" s="18"/>
      <c r="AB123" s="18">
        <v>56</v>
      </c>
      <c r="AC123" s="18"/>
      <c r="AD123" s="18"/>
      <c r="AE123" s="20">
        <f>N123*$AG$22</f>
        <v>0</v>
      </c>
    </row>
    <row r="124" spans="1:35" s="20" customFormat="1" ht="12.75">
      <c r="A124" s="20" t="s">
        <v>202</v>
      </c>
      <c r="B124" s="20" t="s">
        <v>174</v>
      </c>
      <c r="E124" s="2">
        <f>SUM(I124:L124)</f>
        <v>14</v>
      </c>
      <c r="F124" s="3">
        <f>E124*G124</f>
        <v>0</v>
      </c>
      <c r="G124" s="29"/>
      <c r="H124" s="2">
        <f>SUM(E124:F124)</f>
        <v>14</v>
      </c>
      <c r="I124" s="18"/>
      <c r="J124" s="18">
        <v>7</v>
      </c>
      <c r="K124" s="18"/>
      <c r="L124" s="18">
        <v>7</v>
      </c>
      <c r="M124" s="5">
        <f>N124+P124+R124+T124+V124</f>
        <v>0.22095959595959597</v>
      </c>
      <c r="N124" s="19"/>
      <c r="O124" s="18"/>
      <c r="P124" s="19">
        <f>(I124/$AG$23)/1.755</f>
        <v>0</v>
      </c>
      <c r="Q124" s="18">
        <f>P124*AG$26</f>
        <v>0</v>
      </c>
      <c r="R124" s="19"/>
      <c r="S124" s="18"/>
      <c r="T124" s="19"/>
      <c r="U124" s="18"/>
      <c r="V124" s="19">
        <f>J124/$AG$25/1.76</f>
        <v>0.22095959595959597</v>
      </c>
      <c r="W124" s="18">
        <f>V124*AG$26</f>
        <v>388.8888888888889</v>
      </c>
      <c r="X124" s="2">
        <f>SUM(Y124:AC124)</f>
        <v>14</v>
      </c>
      <c r="Y124" s="18"/>
      <c r="Z124" s="18"/>
      <c r="AA124" s="18"/>
      <c r="AB124" s="18">
        <v>14</v>
      </c>
      <c r="AC124" s="18"/>
      <c r="AD124" s="18"/>
      <c r="AE124" s="20">
        <f>N124*$AG$22</f>
        <v>0</v>
      </c>
      <c r="AG124" s="20" t="s">
        <v>132</v>
      </c>
      <c r="AI124" s="20" t="s">
        <v>133</v>
      </c>
    </row>
    <row r="125" spans="1:35" s="20" customFormat="1" ht="12.75">
      <c r="A125" s="20" t="s">
        <v>203</v>
      </c>
      <c r="B125" s="20" t="s">
        <v>175</v>
      </c>
      <c r="E125" s="2">
        <f>SUM(I125:L125)</f>
        <v>70</v>
      </c>
      <c r="F125" s="3">
        <f>E125*G125</f>
        <v>0</v>
      </c>
      <c r="G125" s="29"/>
      <c r="H125" s="2">
        <f>SUM(E125:F125)</f>
        <v>70</v>
      </c>
      <c r="I125" s="18"/>
      <c r="J125" s="18">
        <v>0</v>
      </c>
      <c r="K125" s="18"/>
      <c r="L125" s="18">
        <v>70</v>
      </c>
      <c r="M125" s="5">
        <f>N125+P125+R125+T125+V125</f>
        <v>0</v>
      </c>
      <c r="N125" s="19"/>
      <c r="O125" s="18"/>
      <c r="P125" s="19">
        <f>(I125/$AG$23)/1.755</f>
        <v>0</v>
      </c>
      <c r="Q125" s="18">
        <f>P125*AG$26</f>
        <v>0</v>
      </c>
      <c r="R125" s="19"/>
      <c r="S125" s="18"/>
      <c r="T125" s="19"/>
      <c r="U125" s="18"/>
      <c r="V125" s="19">
        <f>J125/$AG$25/1.76</f>
        <v>0</v>
      </c>
      <c r="W125" s="18">
        <f>V125*AG$26</f>
        <v>0</v>
      </c>
      <c r="X125" s="2">
        <f>SUM(Y125:AC125)</f>
        <v>70</v>
      </c>
      <c r="Y125" s="18"/>
      <c r="Z125" s="18"/>
      <c r="AA125" s="18"/>
      <c r="AB125" s="18">
        <v>70</v>
      </c>
      <c r="AC125" s="18"/>
      <c r="AD125" s="18"/>
      <c r="AE125" s="20">
        <f>N125*$AG$22</f>
        <v>0</v>
      </c>
      <c r="AG125" s="20" t="s">
        <v>132</v>
      </c>
      <c r="AI125" s="20" t="s">
        <v>133</v>
      </c>
    </row>
    <row r="126" spans="1:35" s="20" customFormat="1" ht="12.75">
      <c r="A126" s="20" t="s">
        <v>204</v>
      </c>
      <c r="B126" s="20" t="s">
        <v>176</v>
      </c>
      <c r="E126" s="2">
        <f>SUM(I126:L126)</f>
        <v>65.3744</v>
      </c>
      <c r="F126" s="3">
        <f>E126*G126</f>
        <v>0</v>
      </c>
      <c r="G126" s="29"/>
      <c r="H126" s="2">
        <f>SUM(E126:F126)</f>
        <v>65.3744</v>
      </c>
      <c r="I126" s="18">
        <f>O126*AG22/1000</f>
        <v>18.374399999999998</v>
      </c>
      <c r="J126" s="18">
        <v>37</v>
      </c>
      <c r="K126" s="18"/>
      <c r="L126" s="18">
        <v>10</v>
      </c>
      <c r="M126" s="5">
        <f>N126+P126+R126+T126+V126</f>
        <v>1.7479292929292929</v>
      </c>
      <c r="N126" s="19">
        <v>0.58</v>
      </c>
      <c r="O126" s="18">
        <f>N126*AG$26</f>
        <v>1020.8</v>
      </c>
      <c r="P126" s="19">
        <v>0</v>
      </c>
      <c r="Q126" s="18">
        <f>P126*AG$26</f>
        <v>0</v>
      </c>
      <c r="R126" s="19"/>
      <c r="S126" s="18"/>
      <c r="T126" s="19"/>
      <c r="U126" s="18"/>
      <c r="V126" s="19">
        <f>J126/$AG$25/1.76</f>
        <v>1.1679292929292928</v>
      </c>
      <c r="W126" s="18">
        <f>V126*AG$26</f>
        <v>2055.555555555555</v>
      </c>
      <c r="X126" s="2">
        <f>SUM(Y126:AC126)</f>
        <v>65</v>
      </c>
      <c r="Y126" s="18"/>
      <c r="Z126" s="18"/>
      <c r="AA126" s="18"/>
      <c r="AB126" s="18">
        <v>65</v>
      </c>
      <c r="AC126" s="18"/>
      <c r="AD126" s="18"/>
      <c r="AE126" s="20">
        <v>0</v>
      </c>
      <c r="AG126" s="20" t="s">
        <v>132</v>
      </c>
      <c r="AI126" s="20" t="s">
        <v>133</v>
      </c>
    </row>
    <row r="127" spans="5:30" s="20" customFormat="1" ht="12.75">
      <c r="E127" s="2"/>
      <c r="F127" s="3"/>
      <c r="G127" s="29"/>
      <c r="H127" s="2"/>
      <c r="I127" s="18"/>
      <c r="J127" s="18"/>
      <c r="K127" s="18"/>
      <c r="L127" s="18"/>
      <c r="M127" s="5"/>
      <c r="N127" s="19"/>
      <c r="O127" s="18"/>
      <c r="P127" s="19"/>
      <c r="Q127" s="18"/>
      <c r="R127" s="19"/>
      <c r="S127" s="18"/>
      <c r="T127" s="19"/>
      <c r="U127" s="18"/>
      <c r="V127" s="19"/>
      <c r="W127" s="18"/>
      <c r="X127" s="2"/>
      <c r="Y127" s="18"/>
      <c r="Z127" s="18"/>
      <c r="AA127" s="18"/>
      <c r="AB127" s="18"/>
      <c r="AC127" s="18"/>
      <c r="AD127" s="18"/>
    </row>
    <row r="128" spans="1:35" s="17" customFormat="1" ht="12.75">
      <c r="A128" s="17" t="s">
        <v>177</v>
      </c>
      <c r="B128" s="17" t="s">
        <v>178</v>
      </c>
      <c r="E128" s="2">
        <f>SUM(I128:L128)</f>
        <v>34.32</v>
      </c>
      <c r="F128" s="3">
        <f>E128*G128</f>
        <v>0</v>
      </c>
      <c r="G128" s="28">
        <v>0</v>
      </c>
      <c r="H128" s="2">
        <f>SUM(E128:F128)</f>
        <v>34.32</v>
      </c>
      <c r="I128" s="2">
        <f>Q128*AG23/1000+0.75*1760*AG22/1000</f>
        <v>34.32</v>
      </c>
      <c r="J128" s="2"/>
      <c r="K128" s="2"/>
      <c r="L128" s="2"/>
      <c r="M128" s="5">
        <f>N128+P128+R128+T128+V128</f>
        <v>1.5</v>
      </c>
      <c r="N128" s="5">
        <v>1.25</v>
      </c>
      <c r="O128" s="2">
        <f>N128*AG$26</f>
        <v>2200</v>
      </c>
      <c r="P128" s="19">
        <v>0.25</v>
      </c>
      <c r="Q128" s="2">
        <f>P128*AG$26</f>
        <v>440</v>
      </c>
      <c r="R128" s="5"/>
      <c r="S128" s="2"/>
      <c r="T128" s="5"/>
      <c r="U128" s="2"/>
      <c r="V128" s="5">
        <f>J128/$AG$25/1.755</f>
        <v>0</v>
      </c>
      <c r="W128" s="2">
        <f>V128*AG$26</f>
        <v>0</v>
      </c>
      <c r="X128" s="2">
        <f>SUM(Y128:AC128)</f>
        <v>34</v>
      </c>
      <c r="Y128" s="2"/>
      <c r="Z128" s="2"/>
      <c r="AA128" s="2"/>
      <c r="AB128" s="2">
        <v>34</v>
      </c>
      <c r="AC128" s="2"/>
      <c r="AD128" s="2"/>
      <c r="AE128" s="2">
        <f>0.5*1760*AH21/1000</f>
        <v>48.4</v>
      </c>
      <c r="AF128" s="17" t="s">
        <v>215</v>
      </c>
      <c r="AG128" s="17" t="s">
        <v>132</v>
      </c>
      <c r="AI128" s="17" t="s">
        <v>133</v>
      </c>
    </row>
    <row r="129" spans="5:30" s="20" customFormat="1" ht="12.75">
      <c r="E129" s="2"/>
      <c r="F129" s="3"/>
      <c r="G129" s="29"/>
      <c r="H129" s="2"/>
      <c r="I129" s="18"/>
      <c r="J129" s="18"/>
      <c r="K129" s="18"/>
      <c r="L129" s="18"/>
      <c r="M129" s="5"/>
      <c r="N129" s="19"/>
      <c r="O129" s="18"/>
      <c r="P129" s="19"/>
      <c r="Q129" s="18"/>
      <c r="R129" s="19"/>
      <c r="S129" s="18"/>
      <c r="T129" s="19"/>
      <c r="U129" s="18"/>
      <c r="V129" s="19"/>
      <c r="W129" s="18"/>
      <c r="X129" s="2"/>
      <c r="Y129" s="18"/>
      <c r="Z129" s="18"/>
      <c r="AA129" s="18"/>
      <c r="AB129" s="18"/>
      <c r="AC129" s="18"/>
      <c r="AD129" s="18"/>
    </row>
    <row r="130" spans="1:31" ht="12.75">
      <c r="A130" s="16" t="s">
        <v>179</v>
      </c>
      <c r="B130" t="s">
        <v>205</v>
      </c>
      <c r="E130" s="2">
        <f>SUM(E131:E132)</f>
        <v>853.38204225</v>
      </c>
      <c r="F130" s="2">
        <f>SUM(F131:F132)</f>
        <v>0</v>
      </c>
      <c r="G130" s="28">
        <f>F130/E130</f>
        <v>0</v>
      </c>
      <c r="H130" s="2">
        <f>SUM(H131:H132)</f>
        <v>853.38204225</v>
      </c>
      <c r="I130" s="2">
        <f>SUM(I131:I132)</f>
        <v>733.38204225</v>
      </c>
      <c r="J130" s="2">
        <f>SUM(J131:J132)</f>
        <v>0</v>
      </c>
      <c r="K130" s="2">
        <f>SUM(K131:K132)</f>
        <v>0</v>
      </c>
      <c r="L130" s="2">
        <f>SUM(L131:L132)</f>
        <v>120</v>
      </c>
      <c r="M130" s="5">
        <f>SUM(M131:M131)</f>
        <v>6</v>
      </c>
      <c r="N130" s="5">
        <f>SUM(N131:N131)</f>
        <v>6</v>
      </c>
      <c r="O130" s="2">
        <f>SUM(O131:O132)</f>
        <v>10560</v>
      </c>
      <c r="P130" s="5">
        <f>SUM(P131:P131)</f>
        <v>0</v>
      </c>
      <c r="Q130" s="2">
        <f>SUM(Q131:Q132)</f>
        <v>0</v>
      </c>
      <c r="R130" s="5">
        <f>SUM(R131:R131)</f>
        <v>0</v>
      </c>
      <c r="S130" s="2">
        <f>SUM(S131:S132)</f>
        <v>0</v>
      </c>
      <c r="T130" s="5">
        <f>SUM(T131:T131)</f>
        <v>0</v>
      </c>
      <c r="U130" s="2">
        <f>SUM(U131:U132)</f>
        <v>0</v>
      </c>
      <c r="V130" s="5">
        <f>SUM(V131:V131)</f>
        <v>0</v>
      </c>
      <c r="W130" s="2">
        <f aca="true" t="shared" si="42" ref="W130:AE130">SUM(W131:W132)</f>
        <v>0</v>
      </c>
      <c r="X130" s="2">
        <f t="shared" si="42"/>
        <v>853.3820422499999</v>
      </c>
      <c r="Y130" s="2">
        <f t="shared" si="42"/>
        <v>142.230340375</v>
      </c>
      <c r="Z130" s="2">
        <f t="shared" si="42"/>
        <v>142.230340375</v>
      </c>
      <c r="AA130" s="2">
        <f t="shared" si="42"/>
        <v>142.230340375</v>
      </c>
      <c r="AB130" s="2">
        <f t="shared" si="42"/>
        <v>142.230340375</v>
      </c>
      <c r="AC130" s="2">
        <f t="shared" si="42"/>
        <v>142.230340375</v>
      </c>
      <c r="AD130" s="2">
        <f t="shared" si="42"/>
        <v>142.230340375</v>
      </c>
      <c r="AE130" s="2">
        <f t="shared" si="42"/>
        <v>0</v>
      </c>
    </row>
    <row r="131" spans="2:37" s="20" customFormat="1" ht="12.75">
      <c r="B131" s="20" t="s">
        <v>141</v>
      </c>
      <c r="E131" s="2">
        <f>SUM(I131:L131)</f>
        <v>733.38204225</v>
      </c>
      <c r="F131" s="3">
        <f>E131*G131</f>
        <v>0</v>
      </c>
      <c r="G131" s="29"/>
      <c r="H131" s="2">
        <f>SUM(E131:F131)</f>
        <v>733.38204225</v>
      </c>
      <c r="I131" s="18">
        <f>6*AK131</f>
        <v>733.38204225</v>
      </c>
      <c r="K131" s="18"/>
      <c r="L131" s="18"/>
      <c r="M131" s="5">
        <f>N131+P131+R131+T131+V131</f>
        <v>6</v>
      </c>
      <c r="N131" s="19">
        <v>6</v>
      </c>
      <c r="O131" s="18">
        <f>N131*AG$26</f>
        <v>10560</v>
      </c>
      <c r="P131" s="19"/>
      <c r="Q131" s="18"/>
      <c r="R131" s="19"/>
      <c r="S131" s="18"/>
      <c r="T131" s="19"/>
      <c r="U131" s="18"/>
      <c r="V131" s="19"/>
      <c r="W131" s="18"/>
      <c r="X131" s="2">
        <f>SUM(Y131:AD131)</f>
        <v>733.3820422499999</v>
      </c>
      <c r="Y131" s="18">
        <f aca="true" t="shared" si="43" ref="Y131:AD131">$AK$131</f>
        <v>122.230340375</v>
      </c>
      <c r="Z131" s="18">
        <f t="shared" si="43"/>
        <v>122.230340375</v>
      </c>
      <c r="AA131" s="18">
        <f t="shared" si="43"/>
        <v>122.230340375</v>
      </c>
      <c r="AB131" s="18">
        <f t="shared" si="43"/>
        <v>122.230340375</v>
      </c>
      <c r="AC131" s="18">
        <f t="shared" si="43"/>
        <v>122.230340375</v>
      </c>
      <c r="AD131" s="18">
        <f t="shared" si="43"/>
        <v>122.230340375</v>
      </c>
      <c r="AF131" s="20" t="s">
        <v>8</v>
      </c>
      <c r="AG131" s="20">
        <v>65</v>
      </c>
      <c r="AH131" s="20">
        <v>1.397</v>
      </c>
      <c r="AI131" s="20">
        <v>1.15</v>
      </c>
      <c r="AJ131" s="20">
        <v>1.1705</v>
      </c>
      <c r="AK131" s="20">
        <f>AG131*AH131*AI131*AJ131</f>
        <v>122.230340375</v>
      </c>
    </row>
    <row r="132" spans="2:30" s="20" customFormat="1" ht="12.75">
      <c r="B132" s="20" t="s">
        <v>154</v>
      </c>
      <c r="E132" s="2">
        <f>SUM(I132:L132)</f>
        <v>120</v>
      </c>
      <c r="F132" s="3">
        <f>E132*G132</f>
        <v>0</v>
      </c>
      <c r="G132" s="29"/>
      <c r="H132" s="2">
        <f>SUM(E132:F132)</f>
        <v>120</v>
      </c>
      <c r="I132" s="18"/>
      <c r="J132" s="18"/>
      <c r="K132" s="18"/>
      <c r="L132" s="18">
        <f>20*6</f>
        <v>120</v>
      </c>
      <c r="M132" s="5">
        <f>N132+P132+R132+T132+V132</f>
        <v>0</v>
      </c>
      <c r="N132" s="19"/>
      <c r="O132" s="18"/>
      <c r="P132" s="19"/>
      <c r="Q132" s="18"/>
      <c r="R132" s="19"/>
      <c r="S132" s="18"/>
      <c r="T132" s="19"/>
      <c r="U132" s="18"/>
      <c r="V132" s="19"/>
      <c r="W132" s="18"/>
      <c r="X132" s="2">
        <f>SUM(Y132:AD132)</f>
        <v>120</v>
      </c>
      <c r="Y132" s="18">
        <v>20</v>
      </c>
      <c r="Z132" s="18">
        <v>20</v>
      </c>
      <c r="AA132" s="18">
        <v>20</v>
      </c>
      <c r="AB132" s="18">
        <v>20</v>
      </c>
      <c r="AC132" s="18">
        <v>20</v>
      </c>
      <c r="AD132" s="18">
        <v>20</v>
      </c>
    </row>
    <row r="133" spans="5:30" s="20" customFormat="1" ht="12.75">
      <c r="E133" s="2"/>
      <c r="F133" s="3"/>
      <c r="G133" s="29"/>
      <c r="H133" s="2"/>
      <c r="I133" s="18"/>
      <c r="J133" s="18"/>
      <c r="K133" s="18"/>
      <c r="L133" s="18"/>
      <c r="M133" s="5"/>
      <c r="N133" s="19"/>
      <c r="O133" s="18"/>
      <c r="P133" s="19"/>
      <c r="Q133" s="18"/>
      <c r="R133" s="19"/>
      <c r="S133" s="18"/>
      <c r="T133" s="19"/>
      <c r="U133" s="18"/>
      <c r="V133" s="19"/>
      <c r="W133" s="18"/>
      <c r="X133" s="2"/>
      <c r="Y133" s="18"/>
      <c r="Z133" s="18"/>
      <c r="AA133" s="18"/>
      <c r="AB133" s="18"/>
      <c r="AC133" s="18"/>
      <c r="AD133" s="18"/>
    </row>
    <row r="134" spans="5:30" s="20" customFormat="1" ht="12.75">
      <c r="E134" s="2"/>
      <c r="F134" s="3"/>
      <c r="G134" s="29"/>
      <c r="H134" s="2"/>
      <c r="I134" s="18"/>
      <c r="J134" s="18"/>
      <c r="K134" s="18"/>
      <c r="L134" s="18"/>
      <c r="M134" s="5"/>
      <c r="N134" s="19"/>
      <c r="O134" s="18"/>
      <c r="P134" s="19"/>
      <c r="Q134" s="18"/>
      <c r="R134" s="19"/>
      <c r="S134" s="18"/>
      <c r="T134" s="19"/>
      <c r="U134" s="18"/>
      <c r="V134" s="19"/>
      <c r="W134" s="18"/>
      <c r="X134" s="2"/>
      <c r="Y134" s="18"/>
      <c r="Z134" s="18"/>
      <c r="AA134" s="18"/>
      <c r="AB134" s="18"/>
      <c r="AC134" s="18"/>
      <c r="AD134" s="18"/>
    </row>
    <row r="136" spans="1:30" s="17" customFormat="1" ht="12.75">
      <c r="A136" s="16"/>
      <c r="E136" s="2"/>
      <c r="F136" s="3"/>
      <c r="G136" s="28"/>
      <c r="H136" s="2"/>
      <c r="I136" s="2"/>
      <c r="J136" s="2"/>
      <c r="K136" s="2"/>
      <c r="L136" s="2"/>
      <c r="M136" s="5"/>
      <c r="N136" s="5"/>
      <c r="O136" s="2"/>
      <c r="P136" s="5"/>
      <c r="Q136" s="2"/>
      <c r="R136" s="5"/>
      <c r="S136" s="2"/>
      <c r="T136" s="5"/>
      <c r="U136" s="2"/>
      <c r="V136" s="5"/>
      <c r="W136" s="2"/>
      <c r="X136" s="2"/>
      <c r="Y136" s="2"/>
      <c r="Z136" s="2"/>
      <c r="AA136" s="2"/>
      <c r="AB136" s="2"/>
      <c r="AC136" s="2"/>
      <c r="AD136" s="2"/>
    </row>
    <row r="137" spans="5:30" s="20" customFormat="1" ht="12.75">
      <c r="E137" s="2"/>
      <c r="F137" s="3"/>
      <c r="G137" s="29"/>
      <c r="H137" s="2"/>
      <c r="I137" s="18"/>
      <c r="J137" s="18"/>
      <c r="K137" s="18"/>
      <c r="L137" s="18"/>
      <c r="M137" s="5"/>
      <c r="N137" s="19"/>
      <c r="O137" s="18"/>
      <c r="P137" s="19"/>
      <c r="Q137" s="18"/>
      <c r="R137" s="19"/>
      <c r="S137" s="18"/>
      <c r="T137" s="19"/>
      <c r="U137" s="18"/>
      <c r="V137" s="19"/>
      <c r="W137" s="18"/>
      <c r="X137" s="2"/>
      <c r="Y137" s="18"/>
      <c r="Z137" s="18"/>
      <c r="AB137" s="18"/>
      <c r="AC137" s="18"/>
      <c r="AD137" s="18"/>
    </row>
    <row r="138" spans="5:30" s="20" customFormat="1" ht="12.75">
      <c r="E138" s="2"/>
      <c r="F138" s="3"/>
      <c r="G138" s="29"/>
      <c r="H138" s="2"/>
      <c r="I138" s="18"/>
      <c r="J138" s="18"/>
      <c r="K138" s="18"/>
      <c r="L138" s="18"/>
      <c r="M138" s="5"/>
      <c r="N138" s="19"/>
      <c r="O138" s="18"/>
      <c r="P138" s="19"/>
      <c r="Q138" s="18"/>
      <c r="R138" s="19"/>
      <c r="S138" s="18"/>
      <c r="T138" s="19"/>
      <c r="U138" s="18"/>
      <c r="V138" s="19"/>
      <c r="W138" s="18"/>
      <c r="X138" s="2"/>
      <c r="Y138" s="18"/>
      <c r="Z138" s="18"/>
      <c r="AB138" s="18"/>
      <c r="AC138" s="18"/>
      <c r="AD138" s="18"/>
    </row>
    <row r="139" spans="5:30" s="20" customFormat="1" ht="12.75">
      <c r="E139" s="2"/>
      <c r="F139" s="3"/>
      <c r="G139" s="29"/>
      <c r="H139" s="2"/>
      <c r="I139" s="18"/>
      <c r="J139" s="18"/>
      <c r="K139" s="18"/>
      <c r="L139" s="18"/>
      <c r="M139" s="5"/>
      <c r="N139" s="19"/>
      <c r="O139" s="18"/>
      <c r="P139" s="19"/>
      <c r="Q139" s="18"/>
      <c r="R139" s="19"/>
      <c r="S139" s="18"/>
      <c r="T139" s="19"/>
      <c r="U139" s="18"/>
      <c r="V139" s="19"/>
      <c r="W139" s="18"/>
      <c r="X139" s="2"/>
      <c r="Y139" s="18"/>
      <c r="Z139" s="18"/>
      <c r="AC139" s="18"/>
      <c r="AD139" s="18"/>
    </row>
    <row r="140" spans="5:30" s="20" customFormat="1" ht="12.75">
      <c r="E140" s="2"/>
      <c r="F140" s="3"/>
      <c r="G140" s="29"/>
      <c r="H140" s="2"/>
      <c r="I140" s="18"/>
      <c r="J140" s="18"/>
      <c r="K140" s="18"/>
      <c r="L140" s="18"/>
      <c r="M140" s="5"/>
      <c r="N140" s="19"/>
      <c r="O140" s="18"/>
      <c r="P140" s="19"/>
      <c r="Q140" s="18"/>
      <c r="R140" s="19"/>
      <c r="S140" s="18"/>
      <c r="T140" s="19"/>
      <c r="U140" s="18"/>
      <c r="V140" s="19"/>
      <c r="W140" s="18"/>
      <c r="X140" s="2"/>
      <c r="Y140" s="18"/>
      <c r="Z140" s="18"/>
      <c r="AA140" s="18"/>
      <c r="AB140" s="18"/>
      <c r="AC140" s="18"/>
      <c r="AD140" s="18"/>
    </row>
    <row r="141" spans="5:30" s="20" customFormat="1" ht="12.75">
      <c r="E141" s="2"/>
      <c r="F141" s="3"/>
      <c r="G141" s="29"/>
      <c r="H141" s="2"/>
      <c r="I141" s="18"/>
      <c r="J141" s="18"/>
      <c r="K141" s="18"/>
      <c r="L141" s="18"/>
      <c r="M141" s="5"/>
      <c r="N141" s="19"/>
      <c r="O141" s="18"/>
      <c r="P141" s="19"/>
      <c r="Q141" s="18"/>
      <c r="R141" s="19"/>
      <c r="S141" s="18"/>
      <c r="T141" s="19"/>
      <c r="U141" s="18"/>
      <c r="V141" s="19"/>
      <c r="W141" s="18"/>
      <c r="X141" s="2"/>
      <c r="Y141" s="18"/>
      <c r="Z141" s="18"/>
      <c r="AB141" s="18"/>
      <c r="AC141" s="18"/>
      <c r="AD141" s="18"/>
    </row>
    <row r="142" spans="5:30" s="20" customFormat="1" ht="12.75">
      <c r="E142" s="2"/>
      <c r="F142" s="3"/>
      <c r="G142" s="29"/>
      <c r="H142" s="2"/>
      <c r="I142" s="18"/>
      <c r="J142" s="18"/>
      <c r="K142" s="18"/>
      <c r="L142" s="18"/>
      <c r="M142" s="5"/>
      <c r="N142" s="19"/>
      <c r="O142" s="18"/>
      <c r="P142" s="19"/>
      <c r="Q142" s="18"/>
      <c r="R142" s="19"/>
      <c r="S142" s="18"/>
      <c r="T142" s="19"/>
      <c r="U142" s="18"/>
      <c r="V142" s="19"/>
      <c r="W142" s="18"/>
      <c r="X142" s="2"/>
      <c r="Y142" s="18"/>
      <c r="Z142" s="18"/>
      <c r="AB142" s="18"/>
      <c r="AC142" s="18"/>
      <c r="AD142" s="18"/>
    </row>
    <row r="144" spans="1:31" s="17" customFormat="1" ht="12.75">
      <c r="A144" s="16"/>
      <c r="E144" s="2"/>
      <c r="F144" s="2"/>
      <c r="G144" s="28"/>
      <c r="H144" s="2"/>
      <c r="I144" s="2"/>
      <c r="J144" s="2"/>
      <c r="K144" s="2"/>
      <c r="L144" s="2"/>
      <c r="M144" s="5"/>
      <c r="N144" s="5"/>
      <c r="O144" s="2"/>
      <c r="P144" s="5"/>
      <c r="Q144" s="2"/>
      <c r="R144" s="5"/>
      <c r="S144" s="2"/>
      <c r="T144" s="5"/>
      <c r="U144" s="2"/>
      <c r="V144" s="5"/>
      <c r="W144" s="2"/>
      <c r="X144" s="2"/>
      <c r="Y144" s="2"/>
      <c r="Z144" s="2"/>
      <c r="AA144" s="2"/>
      <c r="AB144" s="2"/>
      <c r="AC144" s="2"/>
      <c r="AD144" s="2"/>
      <c r="AE144" s="2"/>
    </row>
    <row r="145" spans="5:30" s="20" customFormat="1" ht="12.75">
      <c r="E145" s="2"/>
      <c r="F145" s="3"/>
      <c r="G145" s="29"/>
      <c r="H145" s="2"/>
      <c r="I145" s="18"/>
      <c r="J145" s="18"/>
      <c r="K145" s="18"/>
      <c r="L145" s="18"/>
      <c r="M145" s="5"/>
      <c r="N145" s="19"/>
      <c r="O145" s="18"/>
      <c r="P145" s="19"/>
      <c r="Q145" s="18"/>
      <c r="R145" s="19"/>
      <c r="S145" s="18"/>
      <c r="T145" s="19"/>
      <c r="U145" s="18"/>
      <c r="V145" s="19"/>
      <c r="W145" s="18"/>
      <c r="X145" s="2"/>
      <c r="Y145" s="18"/>
      <c r="Z145" s="18"/>
      <c r="AA145" s="18"/>
      <c r="AB145" s="18"/>
      <c r="AC145" s="18"/>
      <c r="AD145" s="18"/>
    </row>
    <row r="146" spans="5:30" s="20" customFormat="1" ht="12.75">
      <c r="E146" s="2"/>
      <c r="F146" s="3"/>
      <c r="G146" s="29"/>
      <c r="H146" s="2"/>
      <c r="I146" s="18"/>
      <c r="J146" s="18"/>
      <c r="K146" s="18"/>
      <c r="L146" s="18"/>
      <c r="M146" s="5"/>
      <c r="N146" s="19"/>
      <c r="O146" s="18"/>
      <c r="P146" s="19"/>
      <c r="Q146" s="18"/>
      <c r="R146" s="19"/>
      <c r="S146" s="18"/>
      <c r="T146" s="19"/>
      <c r="U146" s="18"/>
      <c r="V146" s="19"/>
      <c r="W146" s="18"/>
      <c r="X146" s="2"/>
      <c r="Y146" s="18"/>
      <c r="Z146" s="18"/>
      <c r="AA146" s="18"/>
      <c r="AB146" s="18"/>
      <c r="AC146" s="18"/>
      <c r="AD146" s="18"/>
    </row>
    <row r="147" spans="5:30" s="20" customFormat="1" ht="12.75">
      <c r="E147" s="2"/>
      <c r="F147" s="3"/>
      <c r="G147" s="29"/>
      <c r="H147" s="2"/>
      <c r="I147" s="18"/>
      <c r="K147" s="18"/>
      <c r="L147" s="18"/>
      <c r="M147" s="5"/>
      <c r="N147" s="19"/>
      <c r="O147" s="18"/>
      <c r="P147" s="19"/>
      <c r="Q147" s="18"/>
      <c r="R147" s="19"/>
      <c r="S147" s="18"/>
      <c r="T147" s="19"/>
      <c r="U147" s="18"/>
      <c r="V147" s="19"/>
      <c r="W147" s="18"/>
      <c r="X147" s="2"/>
      <c r="Y147" s="18"/>
      <c r="Z147" s="18"/>
      <c r="AB147" s="18"/>
      <c r="AC147" s="18"/>
      <c r="AD147" s="18"/>
    </row>
    <row r="148" spans="5:30" s="20" customFormat="1" ht="12.75">
      <c r="E148" s="2"/>
      <c r="F148" s="3"/>
      <c r="G148" s="29"/>
      <c r="H148" s="2"/>
      <c r="I148" s="18"/>
      <c r="J148" s="18"/>
      <c r="K148" s="18"/>
      <c r="M148" s="5"/>
      <c r="N148" s="19"/>
      <c r="O148" s="18"/>
      <c r="P148" s="19"/>
      <c r="Q148" s="18"/>
      <c r="R148" s="19"/>
      <c r="S148" s="18"/>
      <c r="T148" s="19"/>
      <c r="U148" s="18"/>
      <c r="V148" s="19"/>
      <c r="W148" s="18"/>
      <c r="X148" s="2"/>
      <c r="Y148" s="18"/>
      <c r="Z148" s="18"/>
      <c r="AA148" s="18"/>
      <c r="AB148" s="18"/>
      <c r="AC148" s="18"/>
      <c r="AD148" s="18"/>
    </row>
  </sheetData>
  <printOptions/>
  <pageMargins left="0.75" right="0.75" top="1" bottom="1" header="0.5" footer="0.5"/>
  <pageSetup horizontalDpi="1200" verticalDpi="1200" orientation="portrait" scale="77" r:id="rId1"/>
  <rowBreaks count="1" manualBreakCount="1">
    <brk id="51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becker</dc:creator>
  <cp:keywords/>
  <dc:description/>
  <cp:lastModifiedBy>Vladimir Issakov</cp:lastModifiedBy>
  <cp:lastPrinted>2004-10-28T14:48:02Z</cp:lastPrinted>
  <dcterms:created xsi:type="dcterms:W3CDTF">2004-10-11T19:46:15Z</dcterms:created>
  <dcterms:modified xsi:type="dcterms:W3CDTF">2004-12-06T17:19:12Z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-1357163203</vt:i4>
  </property>
  <property fmtid="{D5CDD505-2E9C-101B-9397-08002B2CF9AE}" pid="3" name="_EmailSubject">
    <vt:lpwstr>Corrected Update</vt:lpwstr>
  </property>
  <property fmtid="{D5CDD505-2E9C-101B-9397-08002B2CF9AE}" pid="4" name="_AuthorEmail">
    <vt:lpwstr>jbecker@bnl.gov</vt:lpwstr>
  </property>
  <property fmtid="{D5CDD505-2E9C-101B-9397-08002B2CF9AE}" pid="5" name="_AuthorEmailDisplayName">
    <vt:lpwstr>Becker, Jesse E</vt:lpwstr>
  </property>
</Properties>
</file>