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77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<sst xmlns="http://schemas.openxmlformats.org/spreadsheetml/2006/main" count="835" uniqueCount="197">
  <si>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</si>
  <si>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</si>
  <si>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</si>
  <si>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</si>
  <si>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</si>
  <si>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</si>
  <si>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</si>
  <si>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</si>
  <si>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</si>
  <si>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</si>
  <si>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</si>
  <si>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</si>
  <si>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</si>
  <si>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</si>
  <si>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</si>
  <si>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</si>
  <si>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</si>
  <si>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</si>
  <si>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</si>
  <si>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</si>
  <si>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</si>
  <si>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</si>
  <si>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</si>
  <si>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</si>
  <si>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</si>
  <si>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</si>
  <si>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</si>
  <si>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</si>
  <si>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</si>
  <si>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</si>
  <si>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</si>
  <si>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</si>
  <si>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</si>
  <si>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</si>
  <si>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</si>
  <si>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</si>
  <si>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</si>
  <si>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</si>
  <si>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</si>
  <si>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</si>
  <si>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</si>
  <si>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</si>
  <si>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</si>
  <si>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</si>
  <si>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</si>
  <si>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</si>
  <si>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</si>
  <si>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</si>
  <si>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</si>
  <si>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HCl</t>
  </si>
  <si>
    <t>lb/hr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</si>
  <si>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</si>
  <si>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</si>
  <si>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</si>
  <si>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</si>
  <si>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</si>
  <si>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</si>
  <si>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</si>
  <si>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</si>
  <si>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</si>
  <si>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</si>
  <si>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</si>
  <si>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</si>
  <si>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</si>
  <si>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</si>
  <si>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</si>
  <si>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</si>
  <si>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</si>
  <si>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</si>
  <si>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</si>
  <si>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</si>
  <si>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</si>
  <si>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</si>
  <si>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</si>
  <si>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</si>
  <si>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</si>
  <si>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</si>
  <si>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</si>
  <si>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</si>
  <si>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</si>
  <si>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</si>
  <si>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</si>
  <si>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</si>
  <si>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</si>
  <si>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Silver</t>
  </si>
  <si>
    <t>Thallium</t>
  </si>
  <si>
    <t>Comments</t>
  </si>
  <si>
    <t>Trial Burn</t>
  </si>
  <si>
    <t xml:space="preserve">   O2</t>
  </si>
  <si>
    <t xml:space="preserve">   Moisture</t>
  </si>
  <si>
    <t>Copper</t>
  </si>
  <si>
    <t>CO (RA)</t>
  </si>
  <si>
    <t>Chromium</t>
  </si>
  <si>
    <t>Sampling Train</t>
  </si>
  <si>
    <t>Trial burn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</si>
  <si>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</si>
  <si>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</si>
  <si>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</si>
  <si>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</si>
  <si>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</si>
  <si>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</si>
  <si>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</si>
  <si>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</si>
  <si>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</si>
  <si>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</si>
  <si>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</si>
  <si>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</si>
  <si>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CO (MHRA)</t>
  </si>
  <si>
    <t>in. H2O</t>
  </si>
  <si>
    <t>nd</t>
  </si>
  <si>
    <t>UT</t>
  </si>
  <si>
    <t>Deactivation Furnace System</t>
  </si>
  <si>
    <t>RCRA Compliance Test Results - Final Report, October 1993</t>
  </si>
  <si>
    <t>TRC Environmental Corporation</t>
  </si>
  <si>
    <t>3003C1</t>
  </si>
  <si>
    <t>metals</t>
  </si>
  <si>
    <t>Slelenium</t>
  </si>
  <si>
    <t>Detected in sample volume (ng)</t>
  </si>
  <si>
    <t>Run 4</t>
  </si>
  <si>
    <t>PM, CO, HCl/Cl2, metals, PCDD/F</t>
  </si>
  <si>
    <t>Trial burn, mixed agent VX/munitions feed</t>
  </si>
  <si>
    <t>RCRA Compliance Test Results - Final Report, April 1992</t>
  </si>
  <si>
    <t>Alliance Technologies Corporation</t>
  </si>
  <si>
    <t>January 8-16, 1992</t>
  </si>
  <si>
    <t>July 27 - August 3, 1993</t>
  </si>
  <si>
    <t>3003C2</t>
  </si>
  <si>
    <t>Trial burn, mixed agent HD/munitions feed</t>
  </si>
  <si>
    <t>Cr+6</t>
  </si>
  <si>
    <t>3003C3</t>
  </si>
  <si>
    <t>Cr</t>
  </si>
  <si>
    <t xml:space="preserve">Agent </t>
  </si>
  <si>
    <t>Venturi Pressure Drop</t>
  </si>
  <si>
    <t>Retort Pressure</t>
  </si>
  <si>
    <t>Fiber Bed Pressure</t>
  </si>
  <si>
    <t>Venturi Brine Flow</t>
  </si>
  <si>
    <t>Liquor Flow</t>
  </si>
  <si>
    <t>Retort Discharge Temp</t>
  </si>
  <si>
    <t>Venturi Oulet Temp</t>
  </si>
  <si>
    <t>gpm</t>
  </si>
  <si>
    <t>Afterburner Temp</t>
  </si>
  <si>
    <t>Discharge Conveyor Temp</t>
  </si>
  <si>
    <t>Retort Feed End Temp</t>
  </si>
  <si>
    <t>3003C3 Trial burn</t>
  </si>
  <si>
    <t>Solid</t>
  </si>
  <si>
    <t>Natural gas</t>
  </si>
  <si>
    <t>Rotary kiln</t>
  </si>
  <si>
    <t>Tier I for all metals ???</t>
  </si>
  <si>
    <t>Tooele</t>
  </si>
  <si>
    <t>Results of the Chromium Emissions Report, May 1993</t>
  </si>
  <si>
    <t>February 24-26, 1993</t>
  </si>
  <si>
    <t>Trial burn, Chromium testing</t>
  </si>
  <si>
    <t>Cr, Cr+6</t>
  </si>
  <si>
    <t>AB/C/Q/VS/PBS/DM</t>
  </si>
  <si>
    <t>Quench, venturi scrubber, packed bed, demister, cyclone, afterburner</t>
  </si>
  <si>
    <t>Combustor Type</t>
  </si>
  <si>
    <t>Combustor Class</t>
  </si>
  <si>
    <t>UT5210090002</t>
  </si>
  <si>
    <t>Ammunition with chemical nerve agents</t>
  </si>
  <si>
    <t>CAMDS Tooele Army Depot South (TOCDF)</t>
  </si>
  <si>
    <t>Report Name/Date</t>
  </si>
  <si>
    <t>Report Prepare</t>
  </si>
  <si>
    <t>Testing Firm</t>
  </si>
  <si>
    <t>Testing Dates</t>
  </si>
  <si>
    <t>Condition Descr</t>
  </si>
  <si>
    <t>Content</t>
  </si>
  <si>
    <t>Feedstream 1</t>
  </si>
  <si>
    <t>Stack Gas Emissions 1</t>
  </si>
  <si>
    <t>Phase I ID No.</t>
  </si>
  <si>
    <t>Condition Description</t>
  </si>
  <si>
    <t>R1</t>
  </si>
  <si>
    <t>R2</t>
  </si>
  <si>
    <t>R3</t>
  </si>
  <si>
    <t>R4</t>
  </si>
  <si>
    <t>E1</t>
  </si>
  <si>
    <t>E2</t>
  </si>
  <si>
    <t>Chromium (Hex)</t>
  </si>
  <si>
    <t>Cond Dates</t>
  </si>
  <si>
    <t>Number of Sister Facilities</t>
  </si>
  <si>
    <t>APCS Detailed Acronym</t>
  </si>
  <si>
    <t>APCS General Class</t>
  </si>
  <si>
    <t>HEWS, WQ, LEWS</t>
  </si>
  <si>
    <t>source</t>
  </si>
  <si>
    <t>cond</t>
  </si>
  <si>
    <t>emiss</t>
  </si>
  <si>
    <t>feed</t>
  </si>
  <si>
    <t>process</t>
  </si>
  <si>
    <t>df c1</t>
  </si>
  <si>
    <t>df c2</t>
  </si>
  <si>
    <t>Onsite incinerator, DoD government, chem demil</t>
  </si>
  <si>
    <t>Feedstream Number</t>
  </si>
  <si>
    <t>Feed Class</t>
  </si>
  <si>
    <t>Solid HW</t>
  </si>
  <si>
    <t>F1</t>
  </si>
  <si>
    <t>Total Chlorine</t>
  </si>
  <si>
    <t>Full ND</t>
  </si>
  <si>
    <t>PM, HCl, metals,PCCD/F</t>
  </si>
  <si>
    <t>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</si>
</sst>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7" fontId="0" fillId="0" borderId="0" xfId="0" applyNumberFormat="1" applyFont="1" applyFill="1" applyBorder="1" applyAlignment="1">
      <alignment horizontal="right"/>
    </xf>
    <xf numFmtId="11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17" fontId="1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4" ht="12.75">
      <c r="A4" t="s">
        <v>184</v>
      </c>
    </row>
    <row r="5" ht="12.75">
      <c r="A5" t="s">
        <v>185</v>
      </c>
    </row>
    <row r="6" ht="12.75">
      <c r="A6" t="s">
        <v>186</v>
      </c>
    </row>
    <row r="7" ht="12.75">
      <c r="A7" t="s">
        <v>187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58"/>
  <sheetViews>
    <sheetView workbookViewId="0" topLeftCell="B1">
      <selection activeCell="A12" sqref="A12"/>
    </sheetView>
  </sheetViews>
  <sheetFormatPr defaultColWidth="9.140625" defaultRowHeight="12.75"/>
  <cols>
    <col min="1" max="1" width="2.140625" style="1" hidden="1" customWidth="1"/>
    <col min="2" max="2" width="27.28125" style="1" customWidth="1"/>
    <col min="3" max="3" width="58.421875" style="1" customWidth="1"/>
    <col min="4" max="16384" width="8.8515625" style="1" customWidth="1"/>
  </cols>
  <sheetData>
    <row r="1" spans="2:12" ht="12.75">
      <c r="B1" s="10" t="s">
        <v>71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2.75">
      <c r="B3" s="18" t="s">
        <v>167</v>
      </c>
      <c r="C3" s="19">
        <v>3003</v>
      </c>
      <c r="D3" s="18"/>
      <c r="E3" s="18"/>
      <c r="F3" s="18"/>
      <c r="G3" s="18"/>
      <c r="H3" s="18"/>
      <c r="I3" s="18"/>
      <c r="J3" s="18"/>
      <c r="K3" s="18"/>
      <c r="L3" s="18"/>
    </row>
    <row r="4" spans="2:12" ht="12.75">
      <c r="B4" s="18" t="s">
        <v>0</v>
      </c>
      <c r="C4" s="64" t="s">
        <v>156</v>
      </c>
      <c r="D4" s="18"/>
      <c r="E4" s="18"/>
      <c r="F4" s="18"/>
      <c r="G4" s="18"/>
      <c r="H4" s="18"/>
      <c r="I4" s="18"/>
      <c r="J4" s="18"/>
      <c r="K4" s="18"/>
      <c r="L4" s="18"/>
    </row>
    <row r="5" spans="2:12" ht="12.75">
      <c r="B5" s="18" t="s">
        <v>1</v>
      </c>
      <c r="C5" s="18" t="s">
        <v>158</v>
      </c>
      <c r="D5" s="18"/>
      <c r="E5" s="18"/>
      <c r="F5" s="18"/>
      <c r="G5" s="18"/>
      <c r="H5" s="18"/>
      <c r="I5" s="18"/>
      <c r="J5" s="18"/>
      <c r="K5" s="18"/>
      <c r="L5" s="18"/>
    </row>
    <row r="6" spans="2:12" ht="12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ht="12.75">
      <c r="B7" s="18" t="s">
        <v>3</v>
      </c>
      <c r="C7" s="18" t="s">
        <v>147</v>
      </c>
      <c r="D7" s="18"/>
      <c r="E7" s="18"/>
      <c r="F7" s="18"/>
      <c r="G7" s="18"/>
      <c r="H7" s="18"/>
      <c r="I7" s="18"/>
      <c r="J7" s="18"/>
      <c r="K7" s="18"/>
      <c r="L7" s="18"/>
    </row>
    <row r="8" spans="2:12" ht="12.75">
      <c r="B8" s="18" t="s">
        <v>4</v>
      </c>
      <c r="C8" s="18" t="s">
        <v>110</v>
      </c>
      <c r="D8" s="18"/>
      <c r="E8" s="18"/>
      <c r="F8" s="18"/>
      <c r="G8" s="18"/>
      <c r="H8" s="18"/>
      <c r="I8" s="18"/>
      <c r="J8" s="18"/>
      <c r="K8" s="18"/>
      <c r="L8" s="18"/>
    </row>
    <row r="9" spans="2:12" ht="12.75">
      <c r="B9" s="18" t="s">
        <v>5</v>
      </c>
      <c r="C9" s="18" t="s">
        <v>111</v>
      </c>
      <c r="D9" s="18"/>
      <c r="E9" s="18"/>
      <c r="F9" s="18"/>
      <c r="G9" s="18"/>
      <c r="H9" s="18"/>
      <c r="I9" s="18"/>
      <c r="J9" s="18"/>
      <c r="K9" s="18"/>
      <c r="L9" s="18"/>
    </row>
    <row r="10" spans="2:12" ht="12.75">
      <c r="B10" s="18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12.75">
      <c r="B11" s="18" t="s">
        <v>177</v>
      </c>
      <c r="C11" s="19">
        <v>0</v>
      </c>
      <c r="D11" s="18"/>
      <c r="E11" s="18"/>
      <c r="F11" s="18"/>
      <c r="G11" s="18"/>
      <c r="H11" s="18"/>
      <c r="I11" s="18"/>
      <c r="J11" s="18"/>
      <c r="K11" s="18"/>
      <c r="L11" s="18"/>
    </row>
    <row r="12" spans="2:12" ht="12.75">
      <c r="B12" s="18" t="s">
        <v>155</v>
      </c>
      <c r="C12" s="1" t="s">
        <v>188</v>
      </c>
      <c r="D12" s="18"/>
      <c r="E12" s="18"/>
      <c r="F12" s="18"/>
      <c r="G12" s="18"/>
      <c r="H12" s="18"/>
      <c r="I12" s="18"/>
      <c r="J12" s="18"/>
      <c r="K12" s="18"/>
      <c r="L12" s="18"/>
    </row>
    <row r="13" spans="2:12" ht="12.75">
      <c r="B13" s="18" t="s">
        <v>154</v>
      </c>
      <c r="C13" s="18" t="s">
        <v>145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2:12" s="57" customFormat="1" ht="12.75">
      <c r="B14" s="56" t="s">
        <v>61</v>
      </c>
      <c r="C14" s="56" t="s">
        <v>145</v>
      </c>
      <c r="D14" s="56"/>
      <c r="E14" s="56"/>
      <c r="F14" s="56"/>
      <c r="G14" s="56"/>
      <c r="H14" s="56"/>
      <c r="I14" s="56"/>
      <c r="J14" s="56"/>
      <c r="K14" s="56"/>
      <c r="L14" s="56"/>
    </row>
    <row r="15" spans="2:12" s="57" customFormat="1" ht="12.75">
      <c r="B15" s="56" t="s">
        <v>68</v>
      </c>
      <c r="C15" s="58"/>
      <c r="D15" s="56"/>
      <c r="E15" s="56"/>
      <c r="F15" s="56"/>
      <c r="G15" s="56"/>
      <c r="H15" s="56"/>
      <c r="I15" s="56"/>
      <c r="J15" s="56"/>
      <c r="K15" s="56"/>
      <c r="L15" s="56"/>
    </row>
    <row r="16" spans="2:12" s="57" customFormat="1" ht="12.75">
      <c r="B16" s="18" t="s">
        <v>72</v>
      </c>
      <c r="C16" s="56"/>
      <c r="F16" s="56"/>
      <c r="G16" s="56"/>
      <c r="H16" s="56"/>
      <c r="I16" s="56"/>
      <c r="J16" s="56"/>
      <c r="K16" s="56"/>
      <c r="L16" s="56"/>
    </row>
    <row r="17" spans="2:12" s="57" customFormat="1" ht="12.75">
      <c r="B17" s="18" t="s">
        <v>178</v>
      </c>
      <c r="C17" s="56" t="s">
        <v>152</v>
      </c>
      <c r="D17" s="56"/>
      <c r="E17" s="56"/>
      <c r="F17" s="56"/>
      <c r="G17" s="56"/>
      <c r="H17" s="56"/>
      <c r="I17" s="56"/>
      <c r="J17" s="56"/>
      <c r="K17" s="56"/>
      <c r="L17" s="56"/>
    </row>
    <row r="18" spans="2:12" s="57" customFormat="1" ht="12.75">
      <c r="B18" s="18" t="s">
        <v>179</v>
      </c>
      <c r="C18" s="56" t="s">
        <v>180</v>
      </c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25.5">
      <c r="B19" s="56" t="s">
        <v>7</v>
      </c>
      <c r="C19" s="56" t="s">
        <v>153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2:12" ht="12.75">
      <c r="B20" s="18" t="s">
        <v>66</v>
      </c>
      <c r="C20" s="18" t="s">
        <v>143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2:12" ht="12.75">
      <c r="B21" s="18" t="s">
        <v>73</v>
      </c>
      <c r="C21" s="60" t="s">
        <v>157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2" ht="12.75">
      <c r="B22" s="18" t="s">
        <v>67</v>
      </c>
      <c r="C22" s="56" t="s">
        <v>144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12.7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ht="12.75">
      <c r="B24" s="18" t="s">
        <v>8</v>
      </c>
      <c r="C24" s="19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2.75">
      <c r="B25" s="18" t="s">
        <v>9</v>
      </c>
      <c r="C25" s="59">
        <v>2</v>
      </c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2.75">
      <c r="B26" s="18" t="s">
        <v>10</v>
      </c>
      <c r="C26" s="19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12.75">
      <c r="B27" s="18" t="s">
        <v>69</v>
      </c>
      <c r="C27" s="20">
        <f>3669.9/60</f>
        <v>61.165</v>
      </c>
      <c r="D27" s="18"/>
      <c r="E27" s="18"/>
      <c r="F27" s="18"/>
      <c r="G27" s="18"/>
      <c r="H27" s="18"/>
      <c r="I27" s="18"/>
      <c r="J27" s="18"/>
      <c r="K27" s="18"/>
      <c r="L27" s="18"/>
    </row>
    <row r="28" spans="2:12" ht="14.25" customHeight="1">
      <c r="B28" s="18" t="s">
        <v>70</v>
      </c>
      <c r="C28" s="19">
        <v>223</v>
      </c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2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2.75">
      <c r="B30" s="18" t="s">
        <v>11</v>
      </c>
      <c r="C30" s="18" t="s">
        <v>146</v>
      </c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12.75">
      <c r="B31" s="18" t="s">
        <v>97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4.2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56" spans="2:12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2:12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2:12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2:12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2:12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2:12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2:12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2:12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2:12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2:12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2:12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2:12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2:12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2:12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2:12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2:12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2:12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2:12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2:12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2:12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2:12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2:12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2:12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2:12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2:12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2:12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2:12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2:12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2:12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2:12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2:12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2:12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2:12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2:12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2:12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2:12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2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2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2:12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2:12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2:12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2:12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2:12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2:12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2:12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2:12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2:12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2:12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2:12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2:12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2:12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2:12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2:12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2:12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2:12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2:12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2:12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2:12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2:12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2:12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2:12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2:12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2:12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2:12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2:12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2:12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2:12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2:12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2:12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2:12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2:12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2:12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2:12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2:12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2:12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2:12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2:12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2:12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2:12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2:12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2:12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2:12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2:12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2:12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2:12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2:12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2:12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2:12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2:12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2:12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2:12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2:12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2:12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2:12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2:12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2:12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2:12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2:12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2:12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2:12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2:12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2:12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2:12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2:12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2:12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2:12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2:12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2:12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2:12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2:12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2:12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2:12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2:12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2:12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2:12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2:12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2:12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2:12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2:12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2:12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2:12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2:12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2:12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2:12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2:12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2:12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2:12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2:12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2:12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2:12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2:12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2:12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2:12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2:12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2:12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2:12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2:12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2:12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2:12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2:12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2:12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2:12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2:12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2:12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2:12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2:12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2:12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2:12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2:12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2:12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2:12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2:12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2:12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2:12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2:12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2:12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2:12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2:12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2:12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2:12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2:12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2:12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2:12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2:12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2:12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2:12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2:12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2:12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2:12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2:12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2:12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2:12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2:12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2:12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2:12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2:12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2:12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2:12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2:12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2:12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2:12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2:12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2:12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2:12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2:12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2:12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2:12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2:12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2:12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2:12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2:12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2:12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2:12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2:12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2:12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2:12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2:12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2:12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2:12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2:12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2:12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2:12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2:12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2:12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2:12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2:12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2:12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2:12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2:12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2:12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2:12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2:12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2:12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2:12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2:12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2:12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2:12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2:12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2:12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2:12" ht="12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2:12" ht="12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2:12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2:12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2:12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2:12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2:12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2:12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2:12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2:12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2:12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2:12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2:12" ht="12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2:12" ht="12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2:12" ht="12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2:12" ht="12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2:12" ht="12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2:12" ht="12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2:12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2:12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2:12" ht="12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2:12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2:12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2:12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2:12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2:12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2:12" ht="12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2:12" ht="12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2:12" ht="12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2:12" ht="12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2:12" ht="12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2:12" ht="12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2:12" ht="12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2:12" ht="12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2:12" ht="12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2:12" ht="12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2:12" ht="12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2:12" ht="12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2:12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2:12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2:12" ht="12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2:12" ht="12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2:12" ht="12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2:12" ht="12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2:12" ht="12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2:12" ht="12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2:12" ht="12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2:12" ht="12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2:12" ht="12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2:12" ht="12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2:12" ht="12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2:12" ht="12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2:12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2:12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2:12" ht="12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2:12" ht="12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2:12" ht="12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2:12" ht="12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2:12" ht="12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2:12" ht="12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2:12" ht="12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2:12" ht="12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2:12" ht="12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2:12" ht="12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2:12" ht="12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2:12" ht="12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2:12" ht="12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2:12" ht="12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2:12" ht="12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2:12" ht="12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2:12" ht="12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2:12" ht="12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2:12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2:12" ht="12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2:12" ht="12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2:12" ht="12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2:12" ht="12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2:12" ht="12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2:12" ht="12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2:12" ht="12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2:12" ht="12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2:12" ht="12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2:12" ht="12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2:12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2:12" ht="12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2:12" ht="12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2:12" ht="12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2:12" ht="12.7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2:12" ht="12.7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2:12" ht="12.7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2:12" ht="12.7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2:12" ht="12.7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2:12" ht="12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2:12" ht="12.7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2:12" ht="12.7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2:12" ht="12.7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2:12" ht="12.7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2:12" ht="12.7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2:12" ht="12.7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2:12" ht="12.7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2:12" ht="12.7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2:12" ht="12.7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2:12" ht="12.7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2:12" ht="12.7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2:12" ht="12.7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2:12" ht="12.7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2:12" ht="12.7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2:12" ht="12.7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2:12" ht="12.7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2:12" ht="12.7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2:12" ht="12.7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2:12" ht="12.7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2:12" ht="12.7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2:12" ht="12.7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2:12" ht="12.7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2:12" ht="12.7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2:12" ht="12.7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2:12" ht="12.7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2:12" ht="12.7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2:12" ht="12.7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2:12" ht="12.7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2:12" ht="12.7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2:12" ht="12.7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2:12" ht="12.7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2:12" ht="12.7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2:12" ht="12.7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2:12" ht="12.7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2:12" ht="12.7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2:12" ht="12.7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2:12" ht="12.7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2:12" ht="12.7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2:12" ht="12.7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2:12" ht="12.7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2:12" ht="12.7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2:12" ht="12.7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2:12" ht="12.7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2:12" ht="12.7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2:12" ht="12.7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2:12" ht="12.7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2:12" ht="12.7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2:12" ht="12.7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2:12" ht="12.7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2:12" ht="12.7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2:12" ht="12.7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2:12" ht="12.7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2:12" ht="12.7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2:12" ht="12.7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2:12" ht="12.7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2:12" ht="12.7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2:12" ht="12.7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2:12" ht="12.7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2:12" ht="12.7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2:12" ht="12.7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2:12" ht="12.7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2:12" ht="12.7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2:12" ht="12.7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2:12" ht="12.7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2:12" ht="12.7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2:12" ht="12.7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2:12" ht="12.7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2:12" ht="12.7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2:12" ht="12.7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2:12" ht="12.7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2:12" ht="12.7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2:12" ht="12.7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2:12" ht="12.7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2:12" ht="12.7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2:12" ht="12.7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2:12" ht="12.7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2:12" ht="12.7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2:12" ht="12.7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2:12" ht="12.7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2:12" ht="12.7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2:12" ht="12.7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2:12" ht="12.7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2:12" ht="12.7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2:12" ht="12.7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2:12" ht="12.7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2:12" ht="12.7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2:12" ht="12.7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2:12" ht="12.7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2:12" ht="12.7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2:12" ht="12.7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">
      <selection activeCell="A12" sqref="A12"/>
    </sheetView>
  </sheetViews>
  <sheetFormatPr defaultColWidth="9.140625" defaultRowHeight="12.75"/>
  <cols>
    <col min="1" max="1" width="2.421875" style="0" hidden="1" customWidth="1"/>
    <col min="2" max="2" width="23.7109375" style="0" customWidth="1"/>
    <col min="3" max="3" width="66.421875" style="0" customWidth="1"/>
  </cols>
  <sheetData>
    <row r="1" ht="12.75">
      <c r="B1" s="10" t="s">
        <v>168</v>
      </c>
    </row>
    <row r="3" spans="2:12" s="1" customFormat="1" ht="12.75">
      <c r="B3" s="10" t="s">
        <v>114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s="1" customFormat="1" ht="12.75">
      <c r="B4" s="10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s="1" customFormat="1" ht="12.75">
      <c r="B5" s="18" t="s">
        <v>159</v>
      </c>
      <c r="C5" s="60" t="s">
        <v>112</v>
      </c>
      <c r="D5" s="18"/>
      <c r="E5" s="18"/>
      <c r="F5" s="18"/>
      <c r="G5" s="18"/>
      <c r="H5" s="18"/>
      <c r="I5" s="18"/>
      <c r="J5" s="18"/>
      <c r="K5" s="18"/>
      <c r="L5" s="18"/>
    </row>
    <row r="6" spans="2:12" s="1" customFormat="1" ht="12.75">
      <c r="B6" s="18" t="s">
        <v>160</v>
      </c>
      <c r="C6" s="18" t="s">
        <v>113</v>
      </c>
      <c r="D6" s="18"/>
      <c r="E6" s="18"/>
      <c r="F6" s="18"/>
      <c r="G6" s="18"/>
      <c r="H6" s="18"/>
      <c r="I6" s="18"/>
      <c r="J6" s="18"/>
      <c r="K6" s="18"/>
      <c r="L6" s="18"/>
    </row>
    <row r="7" spans="2:12" s="1" customFormat="1" ht="12.75">
      <c r="B7" s="18" t="s">
        <v>161</v>
      </c>
      <c r="C7" s="18" t="s">
        <v>113</v>
      </c>
      <c r="D7" s="18"/>
      <c r="E7" s="18"/>
      <c r="F7" s="18"/>
      <c r="G7" s="18"/>
      <c r="H7" s="18"/>
      <c r="I7" s="18"/>
      <c r="J7" s="18"/>
      <c r="K7" s="18"/>
      <c r="L7" s="18"/>
    </row>
    <row r="8" spans="2:12" s="1" customFormat="1" ht="12.75">
      <c r="B8" s="18" t="s">
        <v>162</v>
      </c>
      <c r="C8" s="1" t="s">
        <v>124</v>
      </c>
      <c r="D8" s="18"/>
      <c r="E8" s="18"/>
      <c r="F8" s="18"/>
      <c r="G8" s="18"/>
      <c r="H8" s="18"/>
      <c r="I8" s="18"/>
      <c r="J8" s="18"/>
      <c r="K8" s="18"/>
      <c r="L8" s="18"/>
    </row>
    <row r="9" spans="2:12" s="1" customFormat="1" ht="12.75">
      <c r="B9" s="18" t="s">
        <v>176</v>
      </c>
      <c r="C9" s="68">
        <v>34151</v>
      </c>
      <c r="D9" s="18"/>
      <c r="E9" s="18"/>
      <c r="F9" s="18"/>
      <c r="G9" s="18"/>
      <c r="H9" s="18"/>
      <c r="I9" s="18"/>
      <c r="J9" s="18"/>
      <c r="K9" s="18"/>
      <c r="L9" s="18"/>
    </row>
    <row r="10" spans="2:12" s="1" customFormat="1" ht="12.75">
      <c r="B10" s="18" t="s">
        <v>163</v>
      </c>
      <c r="C10" s="18" t="s">
        <v>120</v>
      </c>
      <c r="D10" s="18"/>
      <c r="E10" s="18"/>
      <c r="F10" s="18"/>
      <c r="G10" s="18"/>
      <c r="H10" s="18"/>
      <c r="I10" s="18"/>
      <c r="J10" s="18"/>
      <c r="K10" s="18"/>
      <c r="L10" s="18"/>
    </row>
    <row r="11" spans="2:12" s="1" customFormat="1" ht="12.75">
      <c r="B11" s="18" t="s">
        <v>164</v>
      </c>
      <c r="C11" s="21" t="s">
        <v>119</v>
      </c>
      <c r="D11" s="18"/>
      <c r="E11" s="18"/>
      <c r="F11" s="18"/>
      <c r="G11" s="18"/>
      <c r="H11" s="18"/>
      <c r="I11" s="18"/>
      <c r="J11" s="18"/>
      <c r="K11" s="18"/>
      <c r="L11" s="18"/>
    </row>
    <row r="12" spans="2:12" s="1" customFormat="1" ht="12.75">
      <c r="B12" s="18"/>
      <c r="C12" s="21"/>
      <c r="D12" s="18"/>
      <c r="E12" s="18"/>
      <c r="F12" s="18"/>
      <c r="G12" s="18"/>
      <c r="H12" s="18"/>
      <c r="I12" s="18"/>
      <c r="J12" s="18"/>
      <c r="K12" s="18"/>
      <c r="L12" s="18"/>
    </row>
    <row r="13" spans="2:12" s="1" customFormat="1" ht="12.75">
      <c r="B13" s="10" t="s">
        <v>125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2" s="1" customFormat="1" ht="12.75">
      <c r="B14" s="10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s="1" customFormat="1" ht="12.75">
      <c r="B15" s="18" t="s">
        <v>159</v>
      </c>
      <c r="C15" s="60" t="s">
        <v>121</v>
      </c>
      <c r="D15" s="18"/>
      <c r="E15" s="18"/>
      <c r="F15" s="18"/>
      <c r="G15" s="18"/>
      <c r="H15" s="18"/>
      <c r="I15" s="18"/>
      <c r="J15" s="18"/>
      <c r="K15" s="18"/>
      <c r="L15" s="18"/>
    </row>
    <row r="16" spans="2:12" s="1" customFormat="1" ht="12.75">
      <c r="B16" s="18" t="s">
        <v>160</v>
      </c>
      <c r="C16" s="18" t="s">
        <v>122</v>
      </c>
      <c r="D16" s="18"/>
      <c r="E16" s="18"/>
      <c r="F16" s="18"/>
      <c r="G16" s="18"/>
      <c r="H16" s="18"/>
      <c r="I16" s="18"/>
      <c r="J16" s="18"/>
      <c r="K16" s="18"/>
      <c r="L16" s="18"/>
    </row>
    <row r="17" spans="2:12" s="1" customFormat="1" ht="12.75">
      <c r="B17" s="18" t="s">
        <v>161</v>
      </c>
      <c r="C17" s="18" t="s">
        <v>122</v>
      </c>
      <c r="D17" s="18"/>
      <c r="E17" s="18"/>
      <c r="F17" s="18"/>
      <c r="G17" s="18"/>
      <c r="H17" s="18"/>
      <c r="I17" s="18"/>
      <c r="J17" s="18"/>
      <c r="K17" s="18"/>
      <c r="L17" s="18"/>
    </row>
    <row r="18" spans="2:12" s="1" customFormat="1" ht="12.75">
      <c r="B18" s="18" t="s">
        <v>162</v>
      </c>
      <c r="C18" s="21" t="s">
        <v>123</v>
      </c>
      <c r="D18" s="18"/>
      <c r="E18" s="18"/>
      <c r="F18" s="18"/>
      <c r="G18" s="18"/>
      <c r="H18" s="18"/>
      <c r="I18" s="18"/>
      <c r="J18" s="18"/>
      <c r="K18" s="18"/>
      <c r="L18" s="18"/>
    </row>
    <row r="19" spans="2:12" s="1" customFormat="1" ht="12.75">
      <c r="B19" s="18" t="s">
        <v>176</v>
      </c>
      <c r="C19" s="69">
        <v>33604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2:12" s="1" customFormat="1" ht="12.75">
      <c r="B20" s="18" t="s">
        <v>163</v>
      </c>
      <c r="C20" s="18" t="s">
        <v>126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2:12" s="1" customFormat="1" ht="12.75">
      <c r="B21" s="18" t="s">
        <v>164</v>
      </c>
      <c r="C21" s="56" t="s">
        <v>195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2" s="1" customFormat="1" ht="12.75">
      <c r="B22" s="18"/>
      <c r="C22" s="56"/>
      <c r="D22" s="18"/>
      <c r="E22" s="18"/>
      <c r="F22" s="18"/>
      <c r="G22" s="18"/>
      <c r="H22" s="18"/>
      <c r="I22" s="18"/>
      <c r="J22" s="18"/>
      <c r="K22" s="18"/>
      <c r="L22" s="18"/>
    </row>
    <row r="23" spans="2:12" s="1" customFormat="1" ht="12.75">
      <c r="B23" s="10" t="s">
        <v>128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s="1" customFormat="1" ht="12.75">
      <c r="B24" s="18"/>
      <c r="C24" s="56"/>
      <c r="D24" s="18"/>
      <c r="E24" s="18"/>
      <c r="F24" s="18"/>
      <c r="G24" s="18"/>
      <c r="H24" s="18"/>
      <c r="I24" s="18"/>
      <c r="J24" s="18"/>
      <c r="K24" s="18"/>
      <c r="L24" s="18"/>
    </row>
    <row r="25" spans="2:12" s="1" customFormat="1" ht="12.75">
      <c r="B25" s="18" t="s">
        <v>159</v>
      </c>
      <c r="C25" s="60" t="s">
        <v>148</v>
      </c>
      <c r="D25" s="18"/>
      <c r="E25" s="18"/>
      <c r="F25" s="18"/>
      <c r="G25" s="18"/>
      <c r="H25" s="18"/>
      <c r="I25" s="18"/>
      <c r="J25" s="18"/>
      <c r="K25" s="18"/>
      <c r="L25" s="18"/>
    </row>
    <row r="26" spans="2:12" s="1" customFormat="1" ht="12.75">
      <c r="B26" s="18" t="s">
        <v>160</v>
      </c>
      <c r="C26" s="18" t="s">
        <v>113</v>
      </c>
      <c r="D26" s="18"/>
      <c r="E26" s="18"/>
      <c r="F26" s="18"/>
      <c r="G26" s="18"/>
      <c r="H26" s="18"/>
      <c r="I26" s="18"/>
      <c r="J26" s="18"/>
      <c r="K26" s="18"/>
      <c r="L26" s="18"/>
    </row>
    <row r="27" spans="2:12" s="1" customFormat="1" ht="12.75">
      <c r="B27" s="18" t="s">
        <v>161</v>
      </c>
      <c r="C27" s="18" t="s">
        <v>113</v>
      </c>
      <c r="D27" s="18"/>
      <c r="E27" s="18"/>
      <c r="F27" s="18"/>
      <c r="G27" s="18"/>
      <c r="H27" s="18"/>
      <c r="I27" s="18"/>
      <c r="J27" s="18"/>
      <c r="K27" s="18"/>
      <c r="L27" s="18"/>
    </row>
    <row r="28" spans="2:12" s="1" customFormat="1" ht="12.75">
      <c r="B28" s="18" t="s">
        <v>162</v>
      </c>
      <c r="C28" s="21" t="s">
        <v>149</v>
      </c>
      <c r="D28" s="18"/>
      <c r="E28" s="18"/>
      <c r="F28" s="18"/>
      <c r="G28" s="18"/>
      <c r="H28" s="18"/>
      <c r="I28" s="18"/>
      <c r="J28" s="18"/>
      <c r="K28" s="18"/>
      <c r="L28" s="18"/>
    </row>
    <row r="29" spans="2:12" s="1" customFormat="1" ht="12.75">
      <c r="B29" s="18" t="s">
        <v>176</v>
      </c>
      <c r="C29" s="69">
        <v>34001</v>
      </c>
      <c r="D29" s="18"/>
      <c r="E29" s="18"/>
      <c r="F29" s="18"/>
      <c r="G29" s="18"/>
      <c r="H29" s="18"/>
      <c r="I29" s="18"/>
      <c r="J29" s="18"/>
      <c r="K29" s="18"/>
      <c r="L29" s="18"/>
    </row>
    <row r="30" spans="2:12" s="1" customFormat="1" ht="12.75">
      <c r="B30" s="18" t="s">
        <v>163</v>
      </c>
      <c r="C30" s="18" t="s">
        <v>150</v>
      </c>
      <c r="D30" s="18"/>
      <c r="E30" s="18"/>
      <c r="F30" s="18"/>
      <c r="G30" s="18"/>
      <c r="H30" s="18"/>
      <c r="I30" s="18"/>
      <c r="J30" s="18"/>
      <c r="K30" s="18"/>
      <c r="L30" s="18"/>
    </row>
    <row r="31" spans="2:12" s="1" customFormat="1" ht="12.75">
      <c r="B31" s="18" t="s">
        <v>164</v>
      </c>
      <c r="C31" s="56" t="s">
        <v>151</v>
      </c>
      <c r="D31" s="18"/>
      <c r="E31" s="18"/>
      <c r="F31" s="18"/>
      <c r="G31" s="18"/>
      <c r="H31" s="18"/>
      <c r="I31" s="18"/>
      <c r="J31" s="18"/>
      <c r="K31" s="18"/>
      <c r="L31" s="1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3"/>
  <sheetViews>
    <sheetView tabSelected="1" workbookViewId="0" topLeftCell="B78">
      <selection activeCell="I98" sqref="I98"/>
    </sheetView>
  </sheetViews>
  <sheetFormatPr defaultColWidth="9.140625" defaultRowHeight="12.75"/>
  <cols>
    <col min="1" max="1" width="2.7109375" style="23" hidden="1" customWidth="1"/>
    <col min="2" max="2" width="20.140625" style="23" customWidth="1"/>
    <col min="3" max="3" width="5.8515625" style="23" customWidth="1"/>
    <col min="4" max="4" width="8.8515625" style="12" customWidth="1"/>
    <col min="5" max="6" width="3.8515625" style="12" customWidth="1"/>
    <col min="7" max="7" width="10.00390625" style="23" customWidth="1"/>
    <col min="8" max="8" width="4.140625" style="23" customWidth="1"/>
    <col min="9" max="9" width="9.7109375" style="24" customWidth="1"/>
    <col min="10" max="10" width="3.8515625" style="23" customWidth="1"/>
    <col min="11" max="11" width="11.57421875" style="23" customWidth="1"/>
    <col min="12" max="12" width="3.00390625" style="23" customWidth="1"/>
    <col min="14" max="14" width="3.7109375" style="23" customWidth="1"/>
    <col min="15" max="15" width="9.28125" style="23" customWidth="1"/>
    <col min="16" max="16384" width="8.8515625" style="23" customWidth="1"/>
  </cols>
  <sheetData>
    <row r="1" spans="2:3" ht="12.75">
      <c r="B1" s="22" t="s">
        <v>166</v>
      </c>
      <c r="C1" s="22"/>
    </row>
    <row r="2" spans="2:12" ht="12.75">
      <c r="B2" s="25"/>
      <c r="C2" s="25"/>
      <c r="G2" s="25"/>
      <c r="H2" s="25"/>
      <c r="I2" s="26"/>
      <c r="J2" s="25"/>
      <c r="K2" s="25"/>
      <c r="L2" s="25"/>
    </row>
    <row r="3" spans="2:5" ht="12.75">
      <c r="B3" s="18"/>
      <c r="C3" s="18" t="s">
        <v>86</v>
      </c>
      <c r="D3" s="12" t="s">
        <v>12</v>
      </c>
      <c r="E3" s="12" t="s">
        <v>62</v>
      </c>
    </row>
    <row r="4" spans="2:12" ht="12.75">
      <c r="B4" s="18"/>
      <c r="C4" s="18"/>
      <c r="G4" s="25"/>
      <c r="H4" s="25"/>
      <c r="I4" s="26"/>
      <c r="J4" s="25"/>
      <c r="K4" s="25"/>
      <c r="L4" s="25"/>
    </row>
    <row r="5" spans="1:15" ht="12.75">
      <c r="A5" s="23">
        <v>1</v>
      </c>
      <c r="B5" s="27" t="s">
        <v>114</v>
      </c>
      <c r="C5" s="12" t="s">
        <v>87</v>
      </c>
      <c r="G5" s="25" t="s">
        <v>169</v>
      </c>
      <c r="H5" s="25"/>
      <c r="I5" s="26" t="s">
        <v>170</v>
      </c>
      <c r="J5" s="25"/>
      <c r="K5" s="25" t="s">
        <v>171</v>
      </c>
      <c r="L5" s="25"/>
      <c r="M5" s="65" t="s">
        <v>172</v>
      </c>
      <c r="O5" s="23" t="s">
        <v>47</v>
      </c>
    </row>
    <row r="6" spans="2:12" ht="12.75">
      <c r="B6" s="12"/>
      <c r="C6" s="12"/>
      <c r="D6" s="18"/>
      <c r="E6" s="18"/>
      <c r="F6" s="18"/>
      <c r="G6" s="18"/>
      <c r="H6" s="18"/>
      <c r="I6" s="28"/>
      <c r="J6" s="18"/>
      <c r="K6" s="18"/>
      <c r="L6" s="25"/>
    </row>
    <row r="7" spans="2:15" ht="12.75">
      <c r="B7" s="12" t="s">
        <v>13</v>
      </c>
      <c r="C7" s="12" t="s">
        <v>173</v>
      </c>
      <c r="D7" s="12" t="s">
        <v>14</v>
      </c>
      <c r="E7" s="12" t="s">
        <v>15</v>
      </c>
      <c r="G7" s="31">
        <v>0.00802</v>
      </c>
      <c r="H7" s="18"/>
      <c r="I7" s="28">
        <v>0.01349</v>
      </c>
      <c r="J7" s="18"/>
      <c r="K7" s="18">
        <v>0.0118</v>
      </c>
      <c r="L7" s="25"/>
      <c r="M7">
        <v>0.01315</v>
      </c>
      <c r="O7" s="29">
        <f>AVERAGE(K7,I7,G7,M7)</f>
        <v>0.011615</v>
      </c>
    </row>
    <row r="8" spans="2:15" ht="12.75">
      <c r="B8" s="12" t="s">
        <v>91</v>
      </c>
      <c r="C8" s="12" t="s">
        <v>173</v>
      </c>
      <c r="D8" s="12" t="s">
        <v>16</v>
      </c>
      <c r="E8" s="12" t="s">
        <v>15</v>
      </c>
      <c r="G8" s="31">
        <v>10.19</v>
      </c>
      <c r="H8" s="31"/>
      <c r="I8" s="32">
        <v>3.75</v>
      </c>
      <c r="J8" s="31"/>
      <c r="K8" s="31">
        <v>18.13</v>
      </c>
      <c r="L8" s="25"/>
      <c r="M8">
        <v>18.43</v>
      </c>
      <c r="O8" s="34">
        <f>AVERAGE(K8,I8,G8,M8)</f>
        <v>12.625</v>
      </c>
    </row>
    <row r="9" spans="2:15" ht="12.75">
      <c r="B9" s="12" t="s">
        <v>107</v>
      </c>
      <c r="C9" s="12" t="s">
        <v>173</v>
      </c>
      <c r="D9" s="12" t="s">
        <v>16</v>
      </c>
      <c r="E9" s="12" t="s">
        <v>15</v>
      </c>
      <c r="G9" s="31">
        <v>14.65</v>
      </c>
      <c r="H9" s="31"/>
      <c r="I9" s="32">
        <v>7.25</v>
      </c>
      <c r="J9" s="31"/>
      <c r="K9" s="31">
        <v>21.7</v>
      </c>
      <c r="L9" s="25"/>
      <c r="M9">
        <v>24.08</v>
      </c>
      <c r="O9" s="34">
        <f>AVERAGE(K9,I9,G9,M9)</f>
        <v>16.92</v>
      </c>
    </row>
    <row r="10" spans="2:15" ht="12.75">
      <c r="B10" s="12"/>
      <c r="C10" s="12"/>
      <c r="G10" s="31"/>
      <c r="H10" s="31"/>
      <c r="I10" s="32"/>
      <c r="J10" s="31"/>
      <c r="K10" s="31"/>
      <c r="L10" s="25"/>
      <c r="O10" s="33"/>
    </row>
    <row r="11" spans="2:15" ht="12.75">
      <c r="B11" s="12" t="s">
        <v>49</v>
      </c>
      <c r="C11" s="12"/>
      <c r="D11" s="12" t="s">
        <v>50</v>
      </c>
      <c r="F11" s="12" t="s">
        <v>109</v>
      </c>
      <c r="G11" s="35">
        <v>0.00134</v>
      </c>
      <c r="H11" s="31" t="s">
        <v>109</v>
      </c>
      <c r="I11" s="35">
        <v>0.00139</v>
      </c>
      <c r="J11" s="31" t="s">
        <v>109</v>
      </c>
      <c r="K11" s="35">
        <v>0.00121</v>
      </c>
      <c r="L11" s="25"/>
      <c r="M11" s="62">
        <v>0.0213</v>
      </c>
      <c r="O11" s="33"/>
    </row>
    <row r="12" spans="2:15" ht="12.75">
      <c r="B12" s="12"/>
      <c r="C12" s="12"/>
      <c r="G12" s="31"/>
      <c r="H12" s="31"/>
      <c r="I12" s="32"/>
      <c r="J12" s="31"/>
      <c r="K12" s="31"/>
      <c r="L12" s="25"/>
      <c r="O12" s="33"/>
    </row>
    <row r="13" spans="2:15" ht="12.75">
      <c r="B13" s="12" t="s">
        <v>77</v>
      </c>
      <c r="C13" s="12"/>
      <c r="D13" s="12" t="s">
        <v>50</v>
      </c>
      <c r="F13" s="12" t="s">
        <v>109</v>
      </c>
      <c r="G13" s="35">
        <v>7.42E-06</v>
      </c>
      <c r="H13" s="31" t="s">
        <v>109</v>
      </c>
      <c r="I13" s="35">
        <v>7.79E-06</v>
      </c>
      <c r="J13" s="31" t="s">
        <v>109</v>
      </c>
      <c r="K13" s="35">
        <v>7.81E-06</v>
      </c>
      <c r="L13" s="25" t="s">
        <v>109</v>
      </c>
      <c r="M13" s="62">
        <v>7.7E-06</v>
      </c>
      <c r="O13" s="33"/>
    </row>
    <row r="14" spans="2:15" ht="12.75">
      <c r="B14" s="12" t="s">
        <v>78</v>
      </c>
      <c r="C14" s="12"/>
      <c r="D14" s="12" t="s">
        <v>50</v>
      </c>
      <c r="F14" s="12" t="s">
        <v>109</v>
      </c>
      <c r="G14" s="35">
        <v>7.42E-06</v>
      </c>
      <c r="H14" s="31" t="s">
        <v>109</v>
      </c>
      <c r="I14" s="35">
        <v>7.79E-06</v>
      </c>
      <c r="J14" s="31" t="s">
        <v>109</v>
      </c>
      <c r="K14" s="35">
        <v>7.81E-06</v>
      </c>
      <c r="L14" s="25" t="s">
        <v>109</v>
      </c>
      <c r="M14" s="62">
        <v>7.7E-06</v>
      </c>
      <c r="O14" s="33"/>
    </row>
    <row r="15" spans="2:15" ht="12.75">
      <c r="B15" s="12" t="s">
        <v>79</v>
      </c>
      <c r="C15" s="12"/>
      <c r="D15" s="12" t="s">
        <v>50</v>
      </c>
      <c r="G15" s="35">
        <v>1.48E-05</v>
      </c>
      <c r="H15" s="31"/>
      <c r="I15" s="35">
        <v>3.12E-05</v>
      </c>
      <c r="J15" s="31"/>
      <c r="K15" s="35">
        <v>0.00057</v>
      </c>
      <c r="L15" s="25"/>
      <c r="M15" s="62">
        <v>2.31E-05</v>
      </c>
      <c r="O15" s="33"/>
    </row>
    <row r="16" spans="2:15" ht="12.75">
      <c r="B16" s="12" t="s">
        <v>80</v>
      </c>
      <c r="C16" s="12"/>
      <c r="D16" s="12" t="s">
        <v>50</v>
      </c>
      <c r="F16" s="12" t="s">
        <v>109</v>
      </c>
      <c r="G16" s="35">
        <v>2.97E-06</v>
      </c>
      <c r="H16" s="31" t="s">
        <v>109</v>
      </c>
      <c r="I16" s="35">
        <v>3.12E-06</v>
      </c>
      <c r="J16" s="31" t="s">
        <v>109</v>
      </c>
      <c r="K16" s="35">
        <v>3.12E-06</v>
      </c>
      <c r="L16" s="25" t="s">
        <v>109</v>
      </c>
      <c r="M16" s="62">
        <v>3.08E-06</v>
      </c>
      <c r="O16" s="33"/>
    </row>
    <row r="17" spans="2:15" ht="12.75">
      <c r="B17" s="12" t="s">
        <v>81</v>
      </c>
      <c r="C17" s="12"/>
      <c r="D17" s="12" t="s">
        <v>50</v>
      </c>
      <c r="G17" s="35">
        <v>2.97E-05</v>
      </c>
      <c r="H17" s="31"/>
      <c r="I17" s="35">
        <v>2.96E-05</v>
      </c>
      <c r="J17" s="31"/>
      <c r="K17" s="36">
        <v>4.29E-05</v>
      </c>
      <c r="L17" s="25"/>
      <c r="M17" s="62">
        <v>1.46E-05</v>
      </c>
      <c r="O17" s="33"/>
    </row>
    <row r="18" spans="2:15" ht="12.75">
      <c r="B18" s="67" t="s">
        <v>175</v>
      </c>
      <c r="C18" s="12"/>
      <c r="D18" s="12" t="s">
        <v>50</v>
      </c>
      <c r="F18" s="12" t="s">
        <v>109</v>
      </c>
      <c r="G18" s="35">
        <v>5.64E-06</v>
      </c>
      <c r="H18" s="31" t="s">
        <v>109</v>
      </c>
      <c r="I18" s="35">
        <v>5.8E-06</v>
      </c>
      <c r="J18" s="31" t="s">
        <v>109</v>
      </c>
      <c r="K18" s="35">
        <v>5.74E-06</v>
      </c>
      <c r="L18" s="25" t="s">
        <v>109</v>
      </c>
      <c r="M18" s="62">
        <v>3.23E-06</v>
      </c>
      <c r="O18" s="33"/>
    </row>
    <row r="19" spans="2:15" ht="12.75">
      <c r="B19" s="12" t="s">
        <v>92</v>
      </c>
      <c r="C19" s="12"/>
      <c r="D19" s="12" t="s">
        <v>50</v>
      </c>
      <c r="G19" s="35">
        <v>5.94E-05</v>
      </c>
      <c r="H19" s="31"/>
      <c r="I19" s="35">
        <v>3.9E-05</v>
      </c>
      <c r="J19" s="31"/>
      <c r="K19" s="35">
        <v>6.24E-05</v>
      </c>
      <c r="L19" s="25"/>
      <c r="M19" s="62">
        <v>7.7E-05</v>
      </c>
      <c r="O19" s="33"/>
    </row>
    <row r="20" spans="2:15" ht="12.75">
      <c r="B20" s="12" t="s">
        <v>90</v>
      </c>
      <c r="C20" s="12"/>
      <c r="D20" s="12" t="s">
        <v>50</v>
      </c>
      <c r="F20" s="12" t="s">
        <v>109</v>
      </c>
      <c r="G20" s="35">
        <v>2.97E-05</v>
      </c>
      <c r="H20" s="31"/>
      <c r="I20" s="35">
        <v>9.35E-05</v>
      </c>
      <c r="J20" s="31"/>
      <c r="K20" s="35">
        <v>0.000133</v>
      </c>
      <c r="L20" s="25"/>
      <c r="M20" s="62">
        <v>0.000324</v>
      </c>
      <c r="O20" s="33"/>
    </row>
    <row r="21" spans="2:15" ht="12.75">
      <c r="B21" s="12" t="s">
        <v>76</v>
      </c>
      <c r="C21" s="12"/>
      <c r="D21" s="12" t="s">
        <v>50</v>
      </c>
      <c r="F21" s="12" t="s">
        <v>109</v>
      </c>
      <c r="G21" s="35">
        <v>7.42E-05</v>
      </c>
      <c r="H21" s="31"/>
      <c r="I21" s="35">
        <v>0.000125</v>
      </c>
      <c r="J21" s="31" t="s">
        <v>109</v>
      </c>
      <c r="K21" s="35">
        <v>7.81E-05</v>
      </c>
      <c r="L21" s="25"/>
      <c r="M21" s="62">
        <v>0.000123</v>
      </c>
      <c r="O21" s="33"/>
    </row>
    <row r="22" spans="2:15" ht="12.75">
      <c r="B22" s="12" t="s">
        <v>82</v>
      </c>
      <c r="C22" s="12"/>
      <c r="D22" s="12" t="s">
        <v>50</v>
      </c>
      <c r="F22" s="12" t="s">
        <v>109</v>
      </c>
      <c r="G22" s="35">
        <v>2.23E-05</v>
      </c>
      <c r="H22" s="31"/>
      <c r="I22" s="35">
        <v>0.000132</v>
      </c>
      <c r="J22" s="31" t="s">
        <v>109</v>
      </c>
      <c r="K22" s="35">
        <v>1.56E-05</v>
      </c>
      <c r="L22" s="25" t="s">
        <v>109</v>
      </c>
      <c r="M22" s="62">
        <v>1.54E-05</v>
      </c>
      <c r="O22" s="33"/>
    </row>
    <row r="23" spans="2:15" ht="12.75">
      <c r="B23" s="12" t="s">
        <v>83</v>
      </c>
      <c r="C23" s="12"/>
      <c r="D23" s="12" t="s">
        <v>50</v>
      </c>
      <c r="F23" s="12" t="s">
        <v>109</v>
      </c>
      <c r="G23" s="35">
        <v>7.42E-05</v>
      </c>
      <c r="H23" s="31" t="s">
        <v>109</v>
      </c>
      <c r="I23" s="35">
        <v>7.79E-05</v>
      </c>
      <c r="J23" s="31" t="s">
        <v>109</v>
      </c>
      <c r="K23" s="35">
        <v>7.81E-05</v>
      </c>
      <c r="L23" s="25" t="s">
        <v>109</v>
      </c>
      <c r="M23" s="62">
        <v>7.7E-05</v>
      </c>
      <c r="O23" s="33"/>
    </row>
    <row r="24" spans="2:15" ht="12.75">
      <c r="B24" s="12" t="s">
        <v>116</v>
      </c>
      <c r="C24" s="12"/>
      <c r="D24" s="12" t="s">
        <v>50</v>
      </c>
      <c r="F24" s="12" t="s">
        <v>109</v>
      </c>
      <c r="G24" s="35">
        <v>7.42E-06</v>
      </c>
      <c r="H24" s="31" t="s">
        <v>109</v>
      </c>
      <c r="I24" s="35">
        <v>7.79E-06</v>
      </c>
      <c r="J24" s="31" t="s">
        <v>109</v>
      </c>
      <c r="K24" s="35">
        <v>7.81E-06</v>
      </c>
      <c r="L24" s="25" t="s">
        <v>109</v>
      </c>
      <c r="M24" s="62">
        <v>7.7E-06</v>
      </c>
      <c r="O24" s="33"/>
    </row>
    <row r="25" spans="2:15" ht="12.75">
      <c r="B25" s="12" t="s">
        <v>84</v>
      </c>
      <c r="C25" s="12"/>
      <c r="D25" s="12" t="s">
        <v>50</v>
      </c>
      <c r="F25" s="12" t="s">
        <v>109</v>
      </c>
      <c r="G25" s="35">
        <v>7.42E-06</v>
      </c>
      <c r="H25" s="31" t="s">
        <v>109</v>
      </c>
      <c r="I25" s="35">
        <v>7.79E-06</v>
      </c>
      <c r="J25" s="31" t="s">
        <v>109</v>
      </c>
      <c r="K25" s="35">
        <v>7.81E-06</v>
      </c>
      <c r="L25" s="25" t="s">
        <v>109</v>
      </c>
      <c r="M25" s="62">
        <v>7.7E-06</v>
      </c>
      <c r="O25" s="33"/>
    </row>
    <row r="26" spans="2:15" ht="12.75">
      <c r="B26" s="12" t="s">
        <v>85</v>
      </c>
      <c r="C26" s="12"/>
      <c r="D26" s="12" t="s">
        <v>50</v>
      </c>
      <c r="F26" s="12" t="s">
        <v>109</v>
      </c>
      <c r="G26" s="35">
        <v>7.42E-05</v>
      </c>
      <c r="H26" s="31" t="s">
        <v>109</v>
      </c>
      <c r="I26" s="35">
        <v>7.79E-05</v>
      </c>
      <c r="J26" s="31" t="s">
        <v>109</v>
      </c>
      <c r="K26" s="35">
        <v>7.81E-05</v>
      </c>
      <c r="L26" s="25" t="s">
        <v>109</v>
      </c>
      <c r="M26" s="62">
        <v>7.7E-05</v>
      </c>
      <c r="O26" s="33"/>
    </row>
    <row r="27" spans="2:15" ht="12.75">
      <c r="B27" s="12"/>
      <c r="C27" s="12"/>
      <c r="G27" s="31"/>
      <c r="H27" s="31"/>
      <c r="I27" s="32"/>
      <c r="J27" s="31"/>
      <c r="K27" s="31"/>
      <c r="L27" s="25"/>
      <c r="O27" s="33"/>
    </row>
    <row r="28" spans="2:15" ht="12.75">
      <c r="B28" s="12" t="s">
        <v>93</v>
      </c>
      <c r="C28" s="12" t="s">
        <v>13</v>
      </c>
      <c r="D28" s="12" t="s">
        <v>173</v>
      </c>
      <c r="L28" s="25"/>
      <c r="O28" s="34"/>
    </row>
    <row r="29" spans="2:15" ht="12.75">
      <c r="B29" s="12" t="s">
        <v>75</v>
      </c>
      <c r="C29" s="12"/>
      <c r="D29" s="12" t="s">
        <v>17</v>
      </c>
      <c r="G29" s="31">
        <f>251220/60</f>
        <v>4187</v>
      </c>
      <c r="H29" s="13"/>
      <c r="I29" s="13">
        <f>255660/60</f>
        <v>4261</v>
      </c>
      <c r="J29" s="13"/>
      <c r="K29" s="13">
        <f>238380/60</f>
        <v>3973</v>
      </c>
      <c r="M29">
        <f>240960/60</f>
        <v>4016</v>
      </c>
      <c r="O29" s="30">
        <f>AVERAGE(K29,I29,G29,M29)</f>
        <v>4109.25</v>
      </c>
    </row>
    <row r="30" spans="2:15" ht="12.75">
      <c r="B30" s="12" t="s">
        <v>88</v>
      </c>
      <c r="C30" s="12"/>
      <c r="D30" s="12" t="s">
        <v>18</v>
      </c>
      <c r="G30" s="31">
        <v>11.4</v>
      </c>
      <c r="H30" s="31"/>
      <c r="I30" s="32">
        <v>11.2</v>
      </c>
      <c r="J30" s="31"/>
      <c r="K30" s="31">
        <v>11.3</v>
      </c>
      <c r="M30">
        <v>11.6</v>
      </c>
      <c r="O30" s="30">
        <f>AVERAGE(K30,I30,G30,M30)</f>
        <v>11.375</v>
      </c>
    </row>
    <row r="31" spans="2:15" ht="12.75">
      <c r="B31" s="12" t="s">
        <v>89</v>
      </c>
      <c r="C31" s="12"/>
      <c r="D31" s="12" t="s">
        <v>18</v>
      </c>
      <c r="G31" s="31">
        <v>44.7</v>
      </c>
      <c r="H31" s="31"/>
      <c r="I31" s="32">
        <v>45.1</v>
      </c>
      <c r="J31" s="31"/>
      <c r="K31" s="31">
        <v>45.6</v>
      </c>
      <c r="M31">
        <v>45</v>
      </c>
      <c r="O31" s="30">
        <f>AVERAGE(K31,I31,G31,M31)</f>
        <v>45.1</v>
      </c>
    </row>
    <row r="32" spans="2:15" ht="12.75">
      <c r="B32" s="12" t="s">
        <v>74</v>
      </c>
      <c r="C32" s="12"/>
      <c r="D32" s="12" t="s">
        <v>19</v>
      </c>
      <c r="G32" s="31">
        <v>231</v>
      </c>
      <c r="H32" s="31"/>
      <c r="I32" s="32">
        <v>230</v>
      </c>
      <c r="J32" s="31"/>
      <c r="K32" s="31">
        <v>230</v>
      </c>
      <c r="M32">
        <v>236</v>
      </c>
      <c r="O32" s="30">
        <f>AVERAGE(K32,I32,G32,M32)</f>
        <v>231.75</v>
      </c>
    </row>
    <row r="33" spans="2:15" ht="12.75">
      <c r="B33" s="12"/>
      <c r="C33" s="12"/>
      <c r="G33" s="31"/>
      <c r="H33" s="31"/>
      <c r="I33" s="32"/>
      <c r="J33" s="31"/>
      <c r="K33" s="31"/>
      <c r="O33" s="34"/>
    </row>
    <row r="34" spans="2:15" ht="12.75">
      <c r="B34" s="12" t="s">
        <v>93</v>
      </c>
      <c r="C34" s="12" t="s">
        <v>115</v>
      </c>
      <c r="D34" s="12" t="s">
        <v>174</v>
      </c>
      <c r="G34" s="31"/>
      <c r="H34" s="31"/>
      <c r="I34" s="32"/>
      <c r="J34" s="31"/>
      <c r="K34" s="31"/>
      <c r="O34" s="34"/>
    </row>
    <row r="35" spans="2:15" ht="12.75">
      <c r="B35" s="12" t="s">
        <v>75</v>
      </c>
      <c r="C35" s="12"/>
      <c r="D35" s="12" t="s">
        <v>17</v>
      </c>
      <c r="E35" s="23"/>
      <c r="G35" s="31">
        <f>264240/60</f>
        <v>4404</v>
      </c>
      <c r="H35" s="13"/>
      <c r="I35" s="13">
        <f>266700/60</f>
        <v>4445</v>
      </c>
      <c r="J35" s="13"/>
      <c r="K35" s="13">
        <f>251520/60</f>
        <v>4192</v>
      </c>
      <c r="M35">
        <f>251760/60</f>
        <v>4196</v>
      </c>
      <c r="O35" s="30">
        <f>AVERAGE(K35,I35,G35,M35)</f>
        <v>4309.25</v>
      </c>
    </row>
    <row r="36" spans="2:15" ht="12.75">
      <c r="B36" s="12" t="s">
        <v>88</v>
      </c>
      <c r="C36" s="12"/>
      <c r="D36" s="12" t="s">
        <v>18</v>
      </c>
      <c r="G36" s="31">
        <v>11.37</v>
      </c>
      <c r="H36" s="31"/>
      <c r="I36" s="32">
        <v>11.2</v>
      </c>
      <c r="J36" s="31"/>
      <c r="K36" s="31">
        <v>11.3</v>
      </c>
      <c r="L36" s="31"/>
      <c r="M36">
        <v>11.6</v>
      </c>
      <c r="O36" s="30">
        <f>AVERAGE(K36,I36,G36,M36)</f>
        <v>11.3675</v>
      </c>
    </row>
    <row r="37" spans="2:15" ht="12.75">
      <c r="B37" s="12" t="s">
        <v>89</v>
      </c>
      <c r="C37" s="12"/>
      <c r="D37" s="12" t="s">
        <v>18</v>
      </c>
      <c r="G37" s="31">
        <v>44.6</v>
      </c>
      <c r="H37" s="31"/>
      <c r="I37" s="32">
        <v>44.7</v>
      </c>
      <c r="J37" s="31"/>
      <c r="K37" s="31">
        <v>44.2</v>
      </c>
      <c r="M37">
        <v>44.3</v>
      </c>
      <c r="O37" s="30">
        <f>AVERAGE(K37,I37,G37,M37)</f>
        <v>44.45</v>
      </c>
    </row>
    <row r="38" spans="2:15" ht="12.75">
      <c r="B38" s="12" t="s">
        <v>74</v>
      </c>
      <c r="C38" s="12"/>
      <c r="D38" s="12" t="s">
        <v>19</v>
      </c>
      <c r="G38" s="31">
        <v>229</v>
      </c>
      <c r="H38" s="31"/>
      <c r="I38" s="32">
        <v>230</v>
      </c>
      <c r="J38" s="31"/>
      <c r="K38" s="31">
        <v>230</v>
      </c>
      <c r="M38">
        <v>230</v>
      </c>
      <c r="O38" s="30">
        <f>AVERAGE(K38,I38,G38,M38)</f>
        <v>229.75</v>
      </c>
    </row>
    <row r="39" spans="2:15" ht="12.75">
      <c r="B39" s="12"/>
      <c r="C39" s="12"/>
      <c r="G39" s="31"/>
      <c r="H39" s="31"/>
      <c r="I39" s="32"/>
      <c r="J39" s="31"/>
      <c r="K39" s="31"/>
      <c r="O39" s="30"/>
    </row>
    <row r="40" spans="2:15" ht="12.75">
      <c r="B40" s="12" t="s">
        <v>49</v>
      </c>
      <c r="C40" s="12" t="s">
        <v>173</v>
      </c>
      <c r="D40" s="12" t="s">
        <v>16</v>
      </c>
      <c r="E40" s="12" t="s">
        <v>15</v>
      </c>
      <c r="F40" s="12" t="s">
        <v>109</v>
      </c>
      <c r="G40" s="35">
        <f>G11*454/60/0.0283/G$29*(21-7)/(21-G$30)*667.8</f>
        <v>0.08333419063380597</v>
      </c>
      <c r="H40" s="31" t="s">
        <v>109</v>
      </c>
      <c r="I40" s="35">
        <f>I11*454/60/0.0283/I$29*(21-7)/(21-I$30)*667.8</f>
        <v>0.08320890515755106</v>
      </c>
      <c r="J40" s="31" t="s">
        <v>109</v>
      </c>
      <c r="K40" s="35">
        <f>K11*454/60/0.0283/K$29*(21-7)/(21-K$30)*667.8</f>
        <v>0.07848518536880345</v>
      </c>
      <c r="L40" s="25"/>
      <c r="M40" s="35">
        <f>M11*454/60/0.0283/M$29*(21-7)/(21-M$30)*667.8</f>
        <v>1.4104271621131441</v>
      </c>
      <c r="O40" s="30">
        <f>AVERAGE(K40,I40,G40,M40)</f>
        <v>0.41386386081832616</v>
      </c>
    </row>
    <row r="41" spans="2:15" ht="12.75">
      <c r="B41" s="12" t="s">
        <v>193</v>
      </c>
      <c r="C41" s="12" t="s">
        <v>173</v>
      </c>
      <c r="D41" s="12" t="s">
        <v>16</v>
      </c>
      <c r="E41" s="12" t="s">
        <v>15</v>
      </c>
      <c r="F41" s="12">
        <v>100</v>
      </c>
      <c r="G41" s="35">
        <f>G40</f>
        <v>0.08333419063380597</v>
      </c>
      <c r="H41" s="31">
        <v>100</v>
      </c>
      <c r="I41" s="35">
        <f>I40</f>
        <v>0.08320890515755106</v>
      </c>
      <c r="J41" s="31">
        <v>100</v>
      </c>
      <c r="K41" s="35">
        <f>K40</f>
        <v>0.07848518536880345</v>
      </c>
      <c r="L41" s="25"/>
      <c r="M41" s="35">
        <f>M40</f>
        <v>1.4104271621131441</v>
      </c>
      <c r="N41" s="23">
        <v>14.80126100862988</v>
      </c>
      <c r="O41" s="35">
        <f>O40</f>
        <v>0.41386386081832616</v>
      </c>
    </row>
    <row r="42" spans="2:15" ht="12.75">
      <c r="B42" s="12"/>
      <c r="C42" s="12"/>
      <c r="G42" s="31"/>
      <c r="H42" s="31"/>
      <c r="I42" s="32"/>
      <c r="J42" s="31"/>
      <c r="K42" s="31"/>
      <c r="L42" s="25"/>
      <c r="O42" s="33"/>
    </row>
    <row r="43" spans="2:15" ht="12.75">
      <c r="B43" s="12" t="s">
        <v>77</v>
      </c>
      <c r="C43" s="12" t="s">
        <v>174</v>
      </c>
      <c r="D43" s="12" t="s">
        <v>55</v>
      </c>
      <c r="E43" s="12" t="s">
        <v>15</v>
      </c>
      <c r="F43" s="12" t="s">
        <v>109</v>
      </c>
      <c r="G43" s="14">
        <f aca="true" t="shared" si="0" ref="G43:G56">G13*454/60/0.0283/G$35*(21-7)/(21-G$36)*1000000</f>
        <v>0.6549022921882395</v>
      </c>
      <c r="H43" s="31" t="s">
        <v>109</v>
      </c>
      <c r="I43" s="14">
        <f aca="true" t="shared" si="1" ref="I43:I56">I13*454/60/0.0283/I$35*(21-7)/(21-I$36)*1000000</f>
        <v>0.6694001715207103</v>
      </c>
      <c r="J43" s="31" t="s">
        <v>109</v>
      </c>
      <c r="K43" s="14">
        <f aca="true" t="shared" si="2" ref="K43:K56">K13*454/60/0.0283/K$35*(21-7)/(21-K$36)*1000000</f>
        <v>0.7189591715722385</v>
      </c>
      <c r="L43" s="25" t="s">
        <v>109</v>
      </c>
      <c r="M43" s="14">
        <f aca="true" t="shared" si="3" ref="M43:M56">M13*454/60/0.0283/M$35*(21-7)/(21-M$36)*1000000</f>
        <v>0.7307580272054872</v>
      </c>
      <c r="N43" s="23">
        <v>100</v>
      </c>
      <c r="O43" s="30">
        <f aca="true" t="shared" si="4" ref="O43:O51">AVERAGE(K43,I43,G43,M43)</f>
        <v>0.6935049156216688</v>
      </c>
    </row>
    <row r="44" spans="2:15" ht="12.75">
      <c r="B44" s="12" t="s">
        <v>78</v>
      </c>
      <c r="C44" s="12" t="s">
        <v>174</v>
      </c>
      <c r="D44" s="12" t="s">
        <v>55</v>
      </c>
      <c r="E44" s="12" t="s">
        <v>15</v>
      </c>
      <c r="F44" s="12" t="s">
        <v>109</v>
      </c>
      <c r="G44" s="14">
        <f t="shared" si="0"/>
        <v>0.6549022921882395</v>
      </c>
      <c r="H44" s="31" t="s">
        <v>109</v>
      </c>
      <c r="I44" s="14">
        <f t="shared" si="1"/>
        <v>0.6694001715207103</v>
      </c>
      <c r="J44" s="31" t="s">
        <v>109</v>
      </c>
      <c r="K44" s="14">
        <f t="shared" si="2"/>
        <v>0.7189591715722385</v>
      </c>
      <c r="L44" s="25" t="s">
        <v>109</v>
      </c>
      <c r="M44" s="14">
        <f t="shared" si="3"/>
        <v>0.7307580272054872</v>
      </c>
      <c r="N44" s="23">
        <v>100</v>
      </c>
      <c r="O44" s="30">
        <f t="shared" si="4"/>
        <v>0.6935049156216688</v>
      </c>
    </row>
    <row r="45" spans="2:15" ht="12.75">
      <c r="B45" s="12" t="s">
        <v>79</v>
      </c>
      <c r="C45" s="12" t="s">
        <v>174</v>
      </c>
      <c r="D45" s="12" t="s">
        <v>55</v>
      </c>
      <c r="E45" s="12" t="s">
        <v>15</v>
      </c>
      <c r="G45" s="14">
        <f t="shared" si="0"/>
        <v>1.3062741137986449</v>
      </c>
      <c r="H45" s="31"/>
      <c r="I45" s="14">
        <f t="shared" si="1"/>
        <v>2.6810379141779417</v>
      </c>
      <c r="J45" s="31"/>
      <c r="K45" s="14">
        <f t="shared" si="2"/>
        <v>52.472052214619204</v>
      </c>
      <c r="L45" s="25"/>
      <c r="M45" s="14">
        <f t="shared" si="3"/>
        <v>2.1922740816164614</v>
      </c>
      <c r="O45" s="30">
        <f t="shared" si="4"/>
        <v>14.662909581053063</v>
      </c>
    </row>
    <row r="46" spans="2:15" ht="12.75">
      <c r="B46" s="12" t="s">
        <v>80</v>
      </c>
      <c r="C46" s="12" t="s">
        <v>174</v>
      </c>
      <c r="D46" s="12" t="s">
        <v>55</v>
      </c>
      <c r="E46" s="12" t="s">
        <v>15</v>
      </c>
      <c r="F46" s="12" t="s">
        <v>109</v>
      </c>
      <c r="G46" s="14">
        <f t="shared" si="0"/>
        <v>0.26213744040418746</v>
      </c>
      <c r="H46" s="31" t="s">
        <v>109</v>
      </c>
      <c r="I46" s="14">
        <f t="shared" si="1"/>
        <v>0.26810379141779417</v>
      </c>
      <c r="J46" s="31" t="s">
        <v>109</v>
      </c>
      <c r="K46" s="14">
        <f t="shared" si="2"/>
        <v>0.2872154437010736</v>
      </c>
      <c r="L46" s="25" t="s">
        <v>109</v>
      </c>
      <c r="M46" s="14">
        <f t="shared" si="3"/>
        <v>0.29230321088219485</v>
      </c>
      <c r="N46" s="23">
        <v>100</v>
      </c>
      <c r="O46" s="30">
        <f t="shared" si="4"/>
        <v>0.2774399716013125</v>
      </c>
    </row>
    <row r="47" spans="2:15" ht="12.75">
      <c r="B47" s="12" t="s">
        <v>81</v>
      </c>
      <c r="C47" s="12" t="s">
        <v>174</v>
      </c>
      <c r="D47" s="12" t="s">
        <v>55</v>
      </c>
      <c r="E47" s="12" t="s">
        <v>15</v>
      </c>
      <c r="G47" s="14">
        <f t="shared" si="0"/>
        <v>2.621374404041874</v>
      </c>
      <c r="H47" s="31"/>
      <c r="I47" s="14">
        <f t="shared" si="1"/>
        <v>2.543548790373945</v>
      </c>
      <c r="J47" s="31"/>
      <c r="K47" s="14">
        <f t="shared" si="2"/>
        <v>3.94921235088976</v>
      </c>
      <c r="L47" s="25"/>
      <c r="M47" s="14">
        <f t="shared" si="3"/>
        <v>1.3855931424935213</v>
      </c>
      <c r="O47" s="30">
        <f t="shared" si="4"/>
        <v>2.624932171949775</v>
      </c>
    </row>
    <row r="48" spans="2:15" ht="12.75">
      <c r="B48" s="67" t="s">
        <v>175</v>
      </c>
      <c r="C48" s="12" t="s">
        <v>174</v>
      </c>
      <c r="D48" s="12" t="s">
        <v>55</v>
      </c>
      <c r="E48" s="12" t="s">
        <v>15</v>
      </c>
      <c r="F48" s="12" t="s">
        <v>109</v>
      </c>
      <c r="G48" s="14">
        <f t="shared" si="0"/>
        <v>0.49779635147461865</v>
      </c>
      <c r="H48" s="31" t="s">
        <v>109</v>
      </c>
      <c r="I48" s="14">
        <f t="shared" si="1"/>
        <v>0.4983980737894891</v>
      </c>
      <c r="J48" s="31" t="s">
        <v>109</v>
      </c>
      <c r="K48" s="14">
        <f t="shared" si="2"/>
        <v>0.5284027714244108</v>
      </c>
      <c r="L48" s="25" t="s">
        <v>109</v>
      </c>
      <c r="M48" s="14">
        <f t="shared" si="3"/>
        <v>0.30653875686671733</v>
      </c>
      <c r="N48" s="23">
        <v>100</v>
      </c>
      <c r="O48" s="30">
        <f t="shared" si="4"/>
        <v>0.45778398838880896</v>
      </c>
    </row>
    <row r="49" spans="2:15" ht="12.75">
      <c r="B49" s="12" t="s">
        <v>92</v>
      </c>
      <c r="C49" s="12" t="s">
        <v>174</v>
      </c>
      <c r="D49" s="12" t="s">
        <v>55</v>
      </c>
      <c r="E49" s="12" t="s">
        <v>15</v>
      </c>
      <c r="G49" s="14">
        <f t="shared" si="0"/>
        <v>5.242748808083748</v>
      </c>
      <c r="H49" s="31"/>
      <c r="I49" s="14">
        <f t="shared" si="1"/>
        <v>3.3512973927224268</v>
      </c>
      <c r="J49" s="31"/>
      <c r="K49" s="14">
        <f t="shared" si="2"/>
        <v>5.74430887402147</v>
      </c>
      <c r="L49" s="25"/>
      <c r="M49" s="14">
        <f t="shared" si="3"/>
        <v>7.307580272054873</v>
      </c>
      <c r="O49" s="30">
        <f t="shared" si="4"/>
        <v>5.411483836720629</v>
      </c>
    </row>
    <row r="50" spans="2:15" ht="12.75">
      <c r="B50" s="12" t="s">
        <v>90</v>
      </c>
      <c r="C50" s="12" t="s">
        <v>174</v>
      </c>
      <c r="D50" s="12" t="s">
        <v>55</v>
      </c>
      <c r="E50" s="12" t="s">
        <v>15</v>
      </c>
      <c r="F50" s="12" t="s">
        <v>109</v>
      </c>
      <c r="G50" s="14">
        <f t="shared" si="0"/>
        <v>2.621374404041874</v>
      </c>
      <c r="H50" s="31"/>
      <c r="I50" s="14">
        <f t="shared" si="1"/>
        <v>8.034520672296074</v>
      </c>
      <c r="J50" s="31"/>
      <c r="K50" s="14">
        <f t="shared" si="2"/>
        <v>12.243478850077816</v>
      </c>
      <c r="L50" s="25"/>
      <c r="M50" s="14">
        <f t="shared" si="3"/>
        <v>30.748779326568545</v>
      </c>
      <c r="O50" s="30">
        <f t="shared" si="4"/>
        <v>13.412038313246077</v>
      </c>
    </row>
    <row r="51" spans="2:15" ht="12.75">
      <c r="B51" s="12" t="s">
        <v>76</v>
      </c>
      <c r="C51" s="12" t="s">
        <v>174</v>
      </c>
      <c r="D51" s="12" t="s">
        <v>55</v>
      </c>
      <c r="E51" s="12" t="s">
        <v>15</v>
      </c>
      <c r="F51" s="12" t="s">
        <v>109</v>
      </c>
      <c r="G51" s="14">
        <f t="shared" si="0"/>
        <v>6.549022921882394</v>
      </c>
      <c r="H51" s="31"/>
      <c r="I51" s="14">
        <f t="shared" si="1"/>
        <v>10.741337797187263</v>
      </c>
      <c r="J51" s="31" t="s">
        <v>109</v>
      </c>
      <c r="K51" s="14">
        <f t="shared" si="2"/>
        <v>7.1895917157223845</v>
      </c>
      <c r="L51" s="25"/>
      <c r="M51" s="14">
        <f t="shared" si="3"/>
        <v>11.673147707308432</v>
      </c>
      <c r="O51" s="30">
        <f t="shared" si="4"/>
        <v>9.03827503552512</v>
      </c>
    </row>
    <row r="52" spans="2:15" ht="12.75">
      <c r="B52" s="12" t="s">
        <v>82</v>
      </c>
      <c r="C52" s="12" t="s">
        <v>174</v>
      </c>
      <c r="D52" s="12" t="s">
        <v>55</v>
      </c>
      <c r="E52" s="12" t="s">
        <v>15</v>
      </c>
      <c r="F52" s="12" t="s">
        <v>109</v>
      </c>
      <c r="G52" s="14">
        <f t="shared" si="0"/>
        <v>1.9682373471425523</v>
      </c>
      <c r="H52" s="31"/>
      <c r="I52" s="14">
        <f t="shared" si="1"/>
        <v>11.342852713829751</v>
      </c>
      <c r="J52" s="31" t="s">
        <v>109</v>
      </c>
      <c r="K52" s="14">
        <f t="shared" si="2"/>
        <v>1.4360772185053674</v>
      </c>
      <c r="L52" s="25" t="s">
        <v>109</v>
      </c>
      <c r="M52" s="14">
        <f t="shared" si="3"/>
        <v>1.4615160544109744</v>
      </c>
      <c r="N52" s="23">
        <v>100</v>
      </c>
      <c r="O52" s="30">
        <f>AVERAGE(K52,I52,G52,M52)</f>
        <v>4.052170833472162</v>
      </c>
    </row>
    <row r="53" spans="2:15" ht="12.75">
      <c r="B53" s="12" t="s">
        <v>83</v>
      </c>
      <c r="C53" s="12" t="s">
        <v>174</v>
      </c>
      <c r="D53" s="12" t="s">
        <v>55</v>
      </c>
      <c r="E53" s="12" t="s">
        <v>15</v>
      </c>
      <c r="F53" s="12" t="s">
        <v>109</v>
      </c>
      <c r="G53" s="14">
        <f t="shared" si="0"/>
        <v>6.549022921882394</v>
      </c>
      <c r="H53" s="31" t="s">
        <v>109</v>
      </c>
      <c r="I53" s="14">
        <f t="shared" si="1"/>
        <v>6.694001715207103</v>
      </c>
      <c r="J53" s="31" t="s">
        <v>109</v>
      </c>
      <c r="K53" s="14">
        <f t="shared" si="2"/>
        <v>7.1895917157223845</v>
      </c>
      <c r="L53" s="25" t="s">
        <v>109</v>
      </c>
      <c r="M53" s="14">
        <f t="shared" si="3"/>
        <v>7.307580272054873</v>
      </c>
      <c r="N53" s="23">
        <v>100</v>
      </c>
      <c r="O53" s="30">
        <f>AVERAGE(K53,I53,G53,M53)</f>
        <v>6.935049156216689</v>
      </c>
    </row>
    <row r="54" spans="2:15" ht="12.75">
      <c r="B54" s="12" t="s">
        <v>116</v>
      </c>
      <c r="C54" s="12" t="s">
        <v>174</v>
      </c>
      <c r="D54" s="12" t="s">
        <v>55</v>
      </c>
      <c r="E54" s="12" t="s">
        <v>15</v>
      </c>
      <c r="F54" s="12" t="s">
        <v>109</v>
      </c>
      <c r="G54" s="14">
        <f t="shared" si="0"/>
        <v>0.6549022921882395</v>
      </c>
      <c r="H54" s="31" t="s">
        <v>109</v>
      </c>
      <c r="I54" s="14">
        <f t="shared" si="1"/>
        <v>0.6694001715207103</v>
      </c>
      <c r="J54" s="31" t="s">
        <v>109</v>
      </c>
      <c r="K54" s="14">
        <f t="shared" si="2"/>
        <v>0.7189591715722385</v>
      </c>
      <c r="L54" s="25" t="s">
        <v>109</v>
      </c>
      <c r="M54" s="14">
        <f t="shared" si="3"/>
        <v>0.7307580272054872</v>
      </c>
      <c r="N54" s="23">
        <v>100</v>
      </c>
      <c r="O54" s="30">
        <f>AVERAGE(K54,I54,G54,M54)</f>
        <v>0.6935049156216688</v>
      </c>
    </row>
    <row r="55" spans="2:15" ht="12.75">
      <c r="B55" s="12" t="s">
        <v>84</v>
      </c>
      <c r="C55" s="12" t="s">
        <v>174</v>
      </c>
      <c r="D55" s="12" t="s">
        <v>55</v>
      </c>
      <c r="E55" s="12" t="s">
        <v>15</v>
      </c>
      <c r="F55" s="12" t="s">
        <v>109</v>
      </c>
      <c r="G55" s="14">
        <f t="shared" si="0"/>
        <v>0.6549022921882395</v>
      </c>
      <c r="H55" s="31" t="s">
        <v>109</v>
      </c>
      <c r="I55" s="14">
        <f t="shared" si="1"/>
        <v>0.6694001715207103</v>
      </c>
      <c r="J55" s="31" t="s">
        <v>109</v>
      </c>
      <c r="K55" s="14">
        <f t="shared" si="2"/>
        <v>0.7189591715722385</v>
      </c>
      <c r="L55" s="25" t="s">
        <v>109</v>
      </c>
      <c r="M55" s="14">
        <f t="shared" si="3"/>
        <v>0.7307580272054872</v>
      </c>
      <c r="N55" s="23">
        <v>100</v>
      </c>
      <c r="O55" s="30">
        <f>AVERAGE(K55,I55,G55,M55)</f>
        <v>0.6935049156216688</v>
      </c>
    </row>
    <row r="56" spans="2:15" ht="12.75">
      <c r="B56" s="12" t="s">
        <v>85</v>
      </c>
      <c r="C56" s="12" t="s">
        <v>174</v>
      </c>
      <c r="D56" s="12" t="s">
        <v>55</v>
      </c>
      <c r="E56" s="12" t="s">
        <v>15</v>
      </c>
      <c r="F56" s="12" t="s">
        <v>109</v>
      </c>
      <c r="G56" s="14">
        <f t="shared" si="0"/>
        <v>6.549022921882394</v>
      </c>
      <c r="H56" s="31" t="s">
        <v>109</v>
      </c>
      <c r="I56" s="14">
        <f t="shared" si="1"/>
        <v>6.694001715207103</v>
      </c>
      <c r="J56" s="31" t="s">
        <v>109</v>
      </c>
      <c r="K56" s="14">
        <f t="shared" si="2"/>
        <v>7.1895917157223845</v>
      </c>
      <c r="L56" s="25" t="s">
        <v>109</v>
      </c>
      <c r="M56" s="14">
        <f t="shared" si="3"/>
        <v>7.307580272054873</v>
      </c>
      <c r="N56" s="23">
        <v>100</v>
      </c>
      <c r="O56" s="30">
        <f>AVERAGE(K56,I56,G56,M56)</f>
        <v>6.935049156216689</v>
      </c>
    </row>
    <row r="57" spans="2:15" ht="12.75">
      <c r="B57" s="12"/>
      <c r="C57" s="12"/>
      <c r="G57" s="31"/>
      <c r="H57" s="31"/>
      <c r="I57" s="32"/>
      <c r="J57" s="31"/>
      <c r="K57" s="31"/>
      <c r="O57" s="30"/>
    </row>
    <row r="58" spans="2:15" ht="12.75">
      <c r="B58" s="12" t="s">
        <v>56</v>
      </c>
      <c r="C58" s="12" t="s">
        <v>174</v>
      </c>
      <c r="D58" s="12" t="s">
        <v>55</v>
      </c>
      <c r="E58" s="12" t="s">
        <v>15</v>
      </c>
      <c r="F58" s="12">
        <f>G51/G58*100</f>
        <v>71.41482194417709</v>
      </c>
      <c r="G58" s="14">
        <f>G51+G47</f>
        <v>9.170397325924268</v>
      </c>
      <c r="H58" s="31"/>
      <c r="I58" s="14">
        <f>I51+I47</f>
        <v>13.284886587561209</v>
      </c>
      <c r="J58" s="12">
        <f>K51/K58*100</f>
        <v>64.54545454545453</v>
      </c>
      <c r="K58" s="14">
        <f>K51+K47</f>
        <v>11.138804066612146</v>
      </c>
      <c r="M58" s="14">
        <f>M51+M47</f>
        <v>13.058740849801953</v>
      </c>
      <c r="N58" s="23">
        <v>29.4</v>
      </c>
      <c r="O58" s="30">
        <f>AVERAGE(K58,I58,G58,M58)</f>
        <v>11.663207207474894</v>
      </c>
    </row>
    <row r="59" spans="2:15" ht="12.75">
      <c r="B59" s="12" t="s">
        <v>57</v>
      </c>
      <c r="C59" s="12" t="s">
        <v>174</v>
      </c>
      <c r="D59" s="12" t="s">
        <v>55</v>
      </c>
      <c r="E59" s="12" t="s">
        <v>15</v>
      </c>
      <c r="F59" s="12">
        <f>(G44+G46)/G59*100</f>
        <v>14.887519701963035</v>
      </c>
      <c r="G59" s="14">
        <f>G49+G46+G44</f>
        <v>6.159788540676176</v>
      </c>
      <c r="H59" s="12">
        <f>(I44+I46)/I59*100</f>
        <v>21.85934682428371</v>
      </c>
      <c r="I59" s="14">
        <f>I49+I46+I44</f>
        <v>4.288801355660931</v>
      </c>
      <c r="J59" s="12">
        <f>(K44+K46)/K59*100</f>
        <v>14.905222964680217</v>
      </c>
      <c r="K59" s="14">
        <f>K49+K46+K44</f>
        <v>6.750483489294782</v>
      </c>
      <c r="L59" s="12">
        <f>(M44+M46)/M59*100</f>
        <v>12.280701754385964</v>
      </c>
      <c r="M59" s="14">
        <f>M49+M46+M44</f>
        <v>8.330641510142554</v>
      </c>
      <c r="N59" s="12">
        <f>(O44+O46)/O59*100</f>
        <v>15.212780733147751</v>
      </c>
      <c r="O59" s="30">
        <f>AVERAGE(K59,I59,G59,M59)</f>
        <v>6.38242872394361</v>
      </c>
    </row>
    <row r="60" spans="2:15" ht="12.75">
      <c r="B60" s="12"/>
      <c r="C60" s="12"/>
      <c r="G60" s="31"/>
      <c r="H60" s="31"/>
      <c r="I60" s="32"/>
      <c r="J60" s="31"/>
      <c r="K60" s="31"/>
      <c r="O60" s="30"/>
    </row>
    <row r="61" spans="2:15" ht="13.5" customHeight="1">
      <c r="B61" s="12"/>
      <c r="C61" s="12"/>
      <c r="G61" s="31"/>
      <c r="H61" s="31"/>
      <c r="I61" s="32"/>
      <c r="J61" s="31"/>
      <c r="K61" s="31"/>
      <c r="O61" s="34"/>
    </row>
    <row r="62" spans="1:15" ht="12.75">
      <c r="A62" s="23">
        <v>1</v>
      </c>
      <c r="B62" s="27" t="s">
        <v>125</v>
      </c>
      <c r="C62" s="12" t="s">
        <v>87</v>
      </c>
      <c r="G62" s="25" t="s">
        <v>169</v>
      </c>
      <c r="H62" s="25"/>
      <c r="I62" s="26" t="s">
        <v>170</v>
      </c>
      <c r="J62" s="25"/>
      <c r="K62" s="25" t="s">
        <v>171</v>
      </c>
      <c r="L62" s="25"/>
      <c r="M62" s="65" t="s">
        <v>172</v>
      </c>
      <c r="O62" s="23" t="s">
        <v>47</v>
      </c>
    </row>
    <row r="63" spans="2:12" ht="12.75">
      <c r="B63" s="12"/>
      <c r="C63" s="12"/>
      <c r="D63" s="18"/>
      <c r="E63" s="18"/>
      <c r="F63" s="18"/>
      <c r="G63" s="18"/>
      <c r="H63" s="18"/>
      <c r="I63" s="28"/>
      <c r="J63" s="18"/>
      <c r="K63" s="18"/>
      <c r="L63" s="25"/>
    </row>
    <row r="64" spans="2:15" ht="12.75">
      <c r="B64" s="12" t="s">
        <v>13</v>
      </c>
      <c r="C64" s="12" t="s">
        <v>173</v>
      </c>
      <c r="D64" s="12" t="s">
        <v>14</v>
      </c>
      <c r="E64" s="12" t="s">
        <v>15</v>
      </c>
      <c r="G64" s="28">
        <v>0.01518</v>
      </c>
      <c r="H64" s="18"/>
      <c r="I64" s="18">
        <v>0.01435</v>
      </c>
      <c r="J64" s="18"/>
      <c r="K64" s="18">
        <v>0.00436</v>
      </c>
      <c r="L64" s="25"/>
      <c r="M64">
        <v>0.01006</v>
      </c>
      <c r="O64" s="29">
        <f>AVERAGE(K64,I64,G64,M64)</f>
        <v>0.0109875</v>
      </c>
    </row>
    <row r="65" spans="2:15" ht="12.75">
      <c r="B65" s="12" t="s">
        <v>91</v>
      </c>
      <c r="C65" s="12" t="s">
        <v>173</v>
      </c>
      <c r="D65" s="12" t="s">
        <v>16</v>
      </c>
      <c r="E65" s="12" t="s">
        <v>15</v>
      </c>
      <c r="G65" s="31">
        <v>19.54</v>
      </c>
      <c r="H65" s="31"/>
      <c r="I65" s="32">
        <v>24.25</v>
      </c>
      <c r="J65" s="31"/>
      <c r="K65" s="31">
        <v>12.22</v>
      </c>
      <c r="L65" s="25"/>
      <c r="M65">
        <v>12.51</v>
      </c>
      <c r="O65" s="34">
        <f>AVERAGE(K65,I65,G65,M65)</f>
        <v>17.13</v>
      </c>
    </row>
    <row r="66" spans="2:15" ht="12.75">
      <c r="B66" s="12" t="s">
        <v>107</v>
      </c>
      <c r="C66" s="12" t="s">
        <v>173</v>
      </c>
      <c r="D66" s="12" t="s">
        <v>16</v>
      </c>
      <c r="E66" s="12" t="s">
        <v>15</v>
      </c>
      <c r="G66" s="31">
        <v>22.98</v>
      </c>
      <c r="H66" s="31"/>
      <c r="I66" s="32">
        <v>88.7</v>
      </c>
      <c r="J66" s="31"/>
      <c r="K66" s="31">
        <v>13.97</v>
      </c>
      <c r="L66" s="25"/>
      <c r="M66">
        <v>14.52</v>
      </c>
      <c r="O66" s="34">
        <f>AVERAGE(K66,I66,G66,M66)</f>
        <v>35.042500000000004</v>
      </c>
    </row>
    <row r="67" spans="2:15" ht="12.75">
      <c r="B67" s="12"/>
      <c r="C67" s="12"/>
      <c r="G67" s="31"/>
      <c r="H67" s="31"/>
      <c r="I67" s="32"/>
      <c r="J67" s="31"/>
      <c r="K67" s="31"/>
      <c r="L67" s="25"/>
      <c r="O67" s="33"/>
    </row>
    <row r="68" spans="2:15" ht="12.75">
      <c r="B68" s="12" t="s">
        <v>49</v>
      </c>
      <c r="C68" s="12"/>
      <c r="D68" s="12" t="s">
        <v>50</v>
      </c>
      <c r="F68" s="12" t="s">
        <v>109</v>
      </c>
      <c r="G68" s="35">
        <v>0.466</v>
      </c>
      <c r="H68" s="31" t="s">
        <v>109</v>
      </c>
      <c r="I68" s="35">
        <v>0.44</v>
      </c>
      <c r="J68" s="31"/>
      <c r="K68" s="35">
        <v>0.132</v>
      </c>
      <c r="L68" s="25"/>
      <c r="M68" s="62">
        <v>0.295</v>
      </c>
      <c r="O68" s="33"/>
    </row>
    <row r="69" spans="2:15" ht="12.75">
      <c r="B69" s="12"/>
      <c r="C69" s="12"/>
      <c r="G69" s="31"/>
      <c r="H69" s="31"/>
      <c r="I69" s="32"/>
      <c r="J69" s="31"/>
      <c r="K69" s="31"/>
      <c r="L69" s="25"/>
      <c r="O69" s="33"/>
    </row>
    <row r="70" spans="2:15" ht="12.75">
      <c r="B70" s="12" t="s">
        <v>77</v>
      </c>
      <c r="C70" s="12"/>
      <c r="D70" s="12" t="s">
        <v>50</v>
      </c>
      <c r="F70" s="12" t="s">
        <v>109</v>
      </c>
      <c r="G70" s="35">
        <v>1E-05</v>
      </c>
      <c r="H70" s="31" t="s">
        <v>109</v>
      </c>
      <c r="I70" s="35">
        <v>9.92E-06</v>
      </c>
      <c r="J70" s="31" t="s">
        <v>109</v>
      </c>
      <c r="K70" s="35">
        <v>9.06E-06</v>
      </c>
      <c r="L70" s="31" t="s">
        <v>109</v>
      </c>
      <c r="M70" s="62">
        <v>1.02E-05</v>
      </c>
      <c r="O70" s="33"/>
    </row>
    <row r="71" spans="2:15" ht="12.75">
      <c r="B71" s="12" t="s">
        <v>78</v>
      </c>
      <c r="C71" s="12"/>
      <c r="D71" s="12" t="s">
        <v>50</v>
      </c>
      <c r="G71" s="35">
        <v>2.01E-05</v>
      </c>
      <c r="H71" s="31"/>
      <c r="I71" s="35">
        <v>2.97E-05</v>
      </c>
      <c r="J71" s="31"/>
      <c r="K71" s="35">
        <v>1.81E-05</v>
      </c>
      <c r="L71" s="31"/>
      <c r="M71" s="62">
        <v>3.05E-05</v>
      </c>
      <c r="O71" s="33"/>
    </row>
    <row r="72" spans="2:15" ht="12.75">
      <c r="B72" s="12" t="s">
        <v>79</v>
      </c>
      <c r="C72" s="12"/>
      <c r="D72" s="12" t="s">
        <v>50</v>
      </c>
      <c r="G72" s="35">
        <v>0.000372</v>
      </c>
      <c r="H72" s="31"/>
      <c r="I72" s="35">
        <v>0.000377</v>
      </c>
      <c r="J72" s="31"/>
      <c r="K72" s="35">
        <v>0.000281</v>
      </c>
      <c r="L72" s="31"/>
      <c r="M72" s="62">
        <v>0.000285</v>
      </c>
      <c r="O72" s="33"/>
    </row>
    <row r="73" spans="2:15" ht="12.75">
      <c r="B73" s="12" t="s">
        <v>80</v>
      </c>
      <c r="C73" s="12"/>
      <c r="D73" s="12" t="s">
        <v>50</v>
      </c>
      <c r="F73" s="12" t="s">
        <v>109</v>
      </c>
      <c r="G73" s="35">
        <v>2.01E-05</v>
      </c>
      <c r="H73" s="31" t="s">
        <v>109</v>
      </c>
      <c r="I73" s="35">
        <v>1.98E-05</v>
      </c>
      <c r="J73" s="31" t="s">
        <v>109</v>
      </c>
      <c r="K73" s="35">
        <v>1.81E-05</v>
      </c>
      <c r="L73" s="31" t="s">
        <v>109</v>
      </c>
      <c r="M73" s="62">
        <v>2.03E-05</v>
      </c>
      <c r="O73" s="33"/>
    </row>
    <row r="74" spans="2:15" ht="12.75">
      <c r="B74" s="12" t="s">
        <v>81</v>
      </c>
      <c r="C74" s="12"/>
      <c r="D74" s="12" t="s">
        <v>50</v>
      </c>
      <c r="G74" s="35">
        <v>4.02E-05</v>
      </c>
      <c r="H74" s="31"/>
      <c r="I74" s="35">
        <v>5.95E-05</v>
      </c>
      <c r="J74" s="31"/>
      <c r="K74" s="36">
        <v>4.53E-05</v>
      </c>
      <c r="L74" s="31"/>
      <c r="M74" s="62">
        <v>6.2E-05</v>
      </c>
      <c r="O74" s="33"/>
    </row>
    <row r="75" spans="2:15" ht="12.75">
      <c r="B75" s="12" t="s">
        <v>92</v>
      </c>
      <c r="C75" s="12"/>
      <c r="D75" s="12" t="s">
        <v>50</v>
      </c>
      <c r="G75" s="35">
        <v>0.000432</v>
      </c>
      <c r="H75" s="31"/>
      <c r="I75" s="35">
        <v>0.000734</v>
      </c>
      <c r="J75" s="31"/>
      <c r="K75" s="35">
        <v>0.000227</v>
      </c>
      <c r="L75" s="31"/>
      <c r="M75" s="62">
        <v>9.15E-05</v>
      </c>
      <c r="O75" s="33"/>
    </row>
    <row r="76" spans="2:15" ht="12.75">
      <c r="B76" s="12" t="s">
        <v>90</v>
      </c>
      <c r="C76" s="12"/>
      <c r="D76" s="12" t="s">
        <v>50</v>
      </c>
      <c r="G76" s="35">
        <v>0.000346</v>
      </c>
      <c r="H76" s="31"/>
      <c r="I76" s="35">
        <v>0.000447</v>
      </c>
      <c r="J76" s="31"/>
      <c r="K76" s="35">
        <v>0.000252</v>
      </c>
      <c r="L76" s="31"/>
      <c r="M76" s="62">
        <v>0.00019</v>
      </c>
      <c r="O76" s="33"/>
    </row>
    <row r="77" spans="2:15" ht="12.75">
      <c r="B77" s="12" t="s">
        <v>76</v>
      </c>
      <c r="C77" s="12"/>
      <c r="D77" s="12" t="s">
        <v>50</v>
      </c>
      <c r="G77" s="35">
        <v>0.000151</v>
      </c>
      <c r="H77" s="31"/>
      <c r="I77" s="35">
        <v>0.000198</v>
      </c>
      <c r="J77" s="31"/>
      <c r="K77" s="35">
        <v>9.06E-05</v>
      </c>
      <c r="L77" s="31" t="s">
        <v>109</v>
      </c>
      <c r="M77" s="62">
        <v>4.07E-05</v>
      </c>
      <c r="O77" s="33"/>
    </row>
    <row r="78" spans="2:15" ht="12.75">
      <c r="B78" s="12" t="s">
        <v>82</v>
      </c>
      <c r="C78" s="12"/>
      <c r="D78" s="12" t="s">
        <v>50</v>
      </c>
      <c r="G78" s="35">
        <v>0.000241</v>
      </c>
      <c r="H78" s="31"/>
      <c r="I78" s="35">
        <v>0.000178</v>
      </c>
      <c r="J78" s="31"/>
      <c r="K78" s="35">
        <v>0.000154</v>
      </c>
      <c r="L78" s="31"/>
      <c r="M78" s="62">
        <v>0.000305</v>
      </c>
      <c r="O78" s="33"/>
    </row>
    <row r="79" spans="2:15" ht="12.75">
      <c r="B79" s="12" t="s">
        <v>83</v>
      </c>
      <c r="C79" s="12"/>
      <c r="D79" s="12" t="s">
        <v>50</v>
      </c>
      <c r="G79" s="35">
        <v>0.000221</v>
      </c>
      <c r="H79" s="31"/>
      <c r="I79" s="35">
        <v>0.000297</v>
      </c>
      <c r="J79" s="31"/>
      <c r="K79" s="35">
        <v>0.000136</v>
      </c>
      <c r="L79" s="31"/>
      <c r="M79" s="62">
        <v>0.000274</v>
      </c>
      <c r="O79" s="33"/>
    </row>
    <row r="80" spans="2:15" ht="12.75">
      <c r="B80" s="12" t="s">
        <v>116</v>
      </c>
      <c r="C80" s="12"/>
      <c r="D80" s="12" t="s">
        <v>50</v>
      </c>
      <c r="F80" s="12" t="s">
        <v>109</v>
      </c>
      <c r="G80" s="35">
        <v>1E-05</v>
      </c>
      <c r="H80" s="31" t="s">
        <v>109</v>
      </c>
      <c r="I80" s="35">
        <v>9.92E-06</v>
      </c>
      <c r="J80" s="31" t="s">
        <v>109</v>
      </c>
      <c r="K80" s="35">
        <v>9.06E-06</v>
      </c>
      <c r="L80" s="31" t="s">
        <v>109</v>
      </c>
      <c r="M80" s="62">
        <v>4.07E-05</v>
      </c>
      <c r="O80" s="33"/>
    </row>
    <row r="81" spans="2:15" ht="12.75">
      <c r="B81" s="12" t="s">
        <v>84</v>
      </c>
      <c r="C81" s="12"/>
      <c r="D81" s="12" t="s">
        <v>50</v>
      </c>
      <c r="G81" s="35">
        <v>1E-05</v>
      </c>
      <c r="H81" s="31"/>
      <c r="I81" s="35">
        <v>9.92E-06</v>
      </c>
      <c r="J81" s="31" t="s">
        <v>109</v>
      </c>
      <c r="K81" s="35">
        <v>9.06E-06</v>
      </c>
      <c r="L81" s="31"/>
      <c r="M81" s="62">
        <v>4.07E-05</v>
      </c>
      <c r="O81" s="33"/>
    </row>
    <row r="82" spans="2:15" ht="12.75">
      <c r="B82" s="12" t="s">
        <v>85</v>
      </c>
      <c r="C82" s="12"/>
      <c r="D82" s="12" t="s">
        <v>50</v>
      </c>
      <c r="F82" s="12" t="s">
        <v>109</v>
      </c>
      <c r="G82" s="35">
        <v>0.0001</v>
      </c>
      <c r="H82" s="31" t="s">
        <v>109</v>
      </c>
      <c r="I82" s="35">
        <v>9.92E-05</v>
      </c>
      <c r="J82" s="31" t="s">
        <v>109</v>
      </c>
      <c r="K82" s="35">
        <v>9.06E-05</v>
      </c>
      <c r="L82" s="31" t="s">
        <v>109</v>
      </c>
      <c r="M82" s="62">
        <v>0.000102</v>
      </c>
      <c r="O82" s="33"/>
    </row>
    <row r="83" spans="2:15" ht="12.75">
      <c r="B83" s="12"/>
      <c r="C83" s="12"/>
      <c r="G83" s="31"/>
      <c r="H83" s="31"/>
      <c r="I83" s="32"/>
      <c r="J83" s="31"/>
      <c r="K83" s="31"/>
      <c r="L83" s="25"/>
      <c r="O83" s="33"/>
    </row>
    <row r="84" spans="2:15" ht="12.75">
      <c r="B84" s="12" t="s">
        <v>93</v>
      </c>
      <c r="C84" s="12" t="s">
        <v>13</v>
      </c>
      <c r="D84" s="12" t="s">
        <v>173</v>
      </c>
      <c r="L84" s="25"/>
      <c r="O84" s="34"/>
    </row>
    <row r="85" spans="2:15" ht="12.75">
      <c r="B85" s="12" t="s">
        <v>75</v>
      </c>
      <c r="C85" s="12"/>
      <c r="D85" s="12" t="s">
        <v>17</v>
      </c>
      <c r="G85" s="31">
        <f>307080/60</f>
        <v>5118</v>
      </c>
      <c r="H85" s="13"/>
      <c r="I85" s="13">
        <f>312780/60</f>
        <v>5213</v>
      </c>
      <c r="J85" s="13"/>
      <c r="K85" s="13">
        <f>312360/60</f>
        <v>5206</v>
      </c>
      <c r="M85">
        <f>296160/60</f>
        <v>4936</v>
      </c>
      <c r="O85" s="30">
        <f>AVERAGE(K85,I85,G85,M85)</f>
        <v>5118.25</v>
      </c>
    </row>
    <row r="86" spans="2:15" ht="12.75">
      <c r="B86" s="12" t="s">
        <v>88</v>
      </c>
      <c r="C86" s="12"/>
      <c r="D86" s="12" t="s">
        <v>18</v>
      </c>
      <c r="G86" s="31">
        <v>11.2</v>
      </c>
      <c r="H86" s="31"/>
      <c r="I86" s="32">
        <v>11.4</v>
      </c>
      <c r="J86" s="31"/>
      <c r="K86" s="31">
        <v>11.5</v>
      </c>
      <c r="M86">
        <v>11.3</v>
      </c>
      <c r="O86" s="30">
        <f>AVERAGE(K86,I86,G86,M86)</f>
        <v>11.349999999999998</v>
      </c>
    </row>
    <row r="87" spans="2:15" ht="12.75">
      <c r="B87" s="12" t="s">
        <v>89</v>
      </c>
      <c r="C87" s="12"/>
      <c r="D87" s="12" t="s">
        <v>18</v>
      </c>
      <c r="G87" s="31">
        <v>43.8</v>
      </c>
      <c r="H87" s="31"/>
      <c r="I87" s="32">
        <v>41.5</v>
      </c>
      <c r="J87" s="31"/>
      <c r="K87" s="31">
        <v>43.8</v>
      </c>
      <c r="M87">
        <v>45.5</v>
      </c>
      <c r="O87" s="30">
        <f>AVERAGE(K87,I87,G87,M87)</f>
        <v>43.65</v>
      </c>
    </row>
    <row r="88" spans="2:15" ht="12.75">
      <c r="B88" s="12" t="s">
        <v>74</v>
      </c>
      <c r="C88" s="12"/>
      <c r="D88" s="12" t="s">
        <v>19</v>
      </c>
      <c r="G88" s="31">
        <v>220.8</v>
      </c>
      <c r="H88" s="31"/>
      <c r="I88" s="32">
        <v>216.8</v>
      </c>
      <c r="J88" s="31"/>
      <c r="K88" s="31">
        <v>210.6</v>
      </c>
      <c r="M88">
        <v>213.5</v>
      </c>
      <c r="O88" s="30">
        <f>AVERAGE(K88,I88,G88,M88)</f>
        <v>215.425</v>
      </c>
    </row>
    <row r="89" spans="2:15" ht="12.75">
      <c r="B89" s="12"/>
      <c r="C89" s="12"/>
      <c r="G89" s="31"/>
      <c r="H89" s="31"/>
      <c r="I89" s="32"/>
      <c r="J89" s="31"/>
      <c r="K89" s="31"/>
      <c r="O89" s="34"/>
    </row>
    <row r="90" spans="2:15" ht="12.75">
      <c r="B90" s="12" t="s">
        <v>93</v>
      </c>
      <c r="C90" s="12" t="s">
        <v>115</v>
      </c>
      <c r="D90" s="12" t="s">
        <v>174</v>
      </c>
      <c r="G90" s="31"/>
      <c r="H90" s="31"/>
      <c r="I90" s="32"/>
      <c r="J90" s="31"/>
      <c r="K90" s="31"/>
      <c r="O90" s="34"/>
    </row>
    <row r="91" spans="2:15" ht="12.75">
      <c r="B91" s="12" t="s">
        <v>75</v>
      </c>
      <c r="C91" s="12"/>
      <c r="D91" s="12" t="s">
        <v>17</v>
      </c>
      <c r="E91" s="23"/>
      <c r="G91" s="31">
        <f>329640/60</f>
        <v>5494</v>
      </c>
      <c r="H91" s="13"/>
      <c r="I91" s="13">
        <f>307080/60</f>
        <v>5118</v>
      </c>
      <c r="J91" s="13"/>
      <c r="K91" s="13">
        <f>300180/60</f>
        <v>5003</v>
      </c>
      <c r="M91">
        <f>313560/60</f>
        <v>5226</v>
      </c>
      <c r="O91" s="30">
        <f>AVERAGE(K91,I91,G91,M91)</f>
        <v>5210.25</v>
      </c>
    </row>
    <row r="92" spans="2:15" ht="12.75">
      <c r="B92" s="12" t="s">
        <v>88</v>
      </c>
      <c r="C92" s="12"/>
      <c r="D92" s="12" t="s">
        <v>18</v>
      </c>
      <c r="G92" s="31">
        <v>11.2</v>
      </c>
      <c r="H92" s="31"/>
      <c r="I92" s="32">
        <v>11.44</v>
      </c>
      <c r="J92" s="31"/>
      <c r="K92" s="31">
        <v>11.5</v>
      </c>
      <c r="L92" s="31"/>
      <c r="M92">
        <v>11.3</v>
      </c>
      <c r="O92" s="30">
        <f>AVERAGE(K92,I92,G92,M92)</f>
        <v>11.36</v>
      </c>
    </row>
    <row r="93" spans="2:15" ht="12.75">
      <c r="B93" s="12" t="s">
        <v>89</v>
      </c>
      <c r="C93" s="12"/>
      <c r="D93" s="12" t="s">
        <v>18</v>
      </c>
      <c r="G93" s="31">
        <v>42.7</v>
      </c>
      <c r="H93" s="31"/>
      <c r="I93" s="32">
        <v>42.9</v>
      </c>
      <c r="J93" s="31"/>
      <c r="K93" s="31">
        <v>44.4</v>
      </c>
      <c r="M93">
        <v>43.8</v>
      </c>
      <c r="O93" s="30">
        <f>AVERAGE(K93,I93,G93,M93)</f>
        <v>43.45</v>
      </c>
    </row>
    <row r="94" spans="2:15" ht="12.75">
      <c r="B94" s="12" t="s">
        <v>74</v>
      </c>
      <c r="C94" s="12"/>
      <c r="D94" s="12" t="s">
        <v>19</v>
      </c>
      <c r="G94" s="31">
        <v>221.4</v>
      </c>
      <c r="H94" s="31"/>
      <c r="I94" s="32">
        <v>209.4</v>
      </c>
      <c r="J94" s="31"/>
      <c r="K94" s="31">
        <v>211.9</v>
      </c>
      <c r="M94">
        <v>214.1</v>
      </c>
      <c r="O94" s="30">
        <f>AVERAGE(K94,I94,G94,M94)</f>
        <v>214.20000000000002</v>
      </c>
    </row>
    <row r="95" spans="2:15" ht="12.75">
      <c r="B95" s="12"/>
      <c r="C95" s="12"/>
      <c r="G95" s="31"/>
      <c r="H95" s="31"/>
      <c r="I95" s="32"/>
      <c r="J95" s="31"/>
      <c r="K95" s="31"/>
      <c r="O95" s="30"/>
    </row>
    <row r="96" spans="2:15" ht="12.75">
      <c r="B96" s="12" t="s">
        <v>49</v>
      </c>
      <c r="C96" s="12" t="s">
        <v>173</v>
      </c>
      <c r="D96" s="12" t="s">
        <v>16</v>
      </c>
      <c r="E96" s="12" t="s">
        <v>15</v>
      </c>
      <c r="F96" s="12" t="s">
        <v>109</v>
      </c>
      <c r="G96" s="35">
        <f>G68*454/60/0.0283/G$29*(21-7)/(21-G$30)*667.8</f>
        <v>28.98039763832357</v>
      </c>
      <c r="H96" s="31" t="s">
        <v>109</v>
      </c>
      <c r="I96" s="35">
        <f>I68*454/60/0.0283/I$29*(21-7)/(21-I$30)*667.8</f>
        <v>26.339509546275153</v>
      </c>
      <c r="J96" s="31"/>
      <c r="K96" s="35">
        <f>K68*454/60/0.0283/K$29*(21-7)/(21-K$30)*667.8</f>
        <v>8.562020222051286</v>
      </c>
      <c r="L96" s="25"/>
      <c r="M96" s="35">
        <f>M68*454/60/0.0283/M$29*(21-7)/(21-M$30)*667.8</f>
        <v>19.534085109078756</v>
      </c>
      <c r="O96" s="30">
        <f>AVERAGE(K96,I96,G96,M96)</f>
        <v>20.85400312893219</v>
      </c>
    </row>
    <row r="97" spans="2:15" ht="12.75">
      <c r="B97" s="12" t="s">
        <v>193</v>
      </c>
      <c r="C97" s="12" t="s">
        <v>173</v>
      </c>
      <c r="D97" s="12" t="s">
        <v>16</v>
      </c>
      <c r="E97" s="12" t="s">
        <v>15</v>
      </c>
      <c r="F97" s="12">
        <v>100</v>
      </c>
      <c r="G97" s="35">
        <f>G96</f>
        <v>28.98039763832357</v>
      </c>
      <c r="H97" s="31">
        <v>100</v>
      </c>
      <c r="I97" s="35">
        <f>I96</f>
        <v>26.339509546275153</v>
      </c>
      <c r="J97" s="31"/>
      <c r="K97" s="35">
        <f>K96</f>
        <v>8.562020222051286</v>
      </c>
      <c r="L97" s="25"/>
      <c r="M97" s="35">
        <f>M96</f>
        <v>19.534085109078756</v>
      </c>
      <c r="N97" s="23">
        <v>66.3</v>
      </c>
      <c r="O97" s="35">
        <f>O96</f>
        <v>20.85400312893219</v>
      </c>
    </row>
    <row r="98" spans="2:15" ht="12.75">
      <c r="B98" s="12"/>
      <c r="C98" s="12"/>
      <c r="G98" s="31"/>
      <c r="H98" s="31"/>
      <c r="I98" s="32"/>
      <c r="J98" s="31"/>
      <c r="K98" s="31"/>
      <c r="L98" s="25"/>
      <c r="O98" s="33"/>
    </row>
    <row r="99" spans="2:15" ht="12.75">
      <c r="B99" s="12" t="s">
        <v>77</v>
      </c>
      <c r="C99" s="12" t="s">
        <v>174</v>
      </c>
      <c r="D99" s="12" t="s">
        <v>55</v>
      </c>
      <c r="E99" s="12" t="s">
        <v>15</v>
      </c>
      <c r="F99" s="12" t="s">
        <v>109</v>
      </c>
      <c r="G99" s="14">
        <f aca="true" t="shared" si="5" ref="G99:G111">G70*454/60/0.0283/G$35*(21-7)/(21-G$36)*1000000</f>
        <v>0.8826176444585438</v>
      </c>
      <c r="H99" s="12" t="s">
        <v>109</v>
      </c>
      <c r="I99" s="14">
        <f aca="true" t="shared" si="6" ref="I99:I111">I70*454/60/0.0283/I$35*(21-7)/(21-I$36)*1000000</f>
        <v>0.8524325675847813</v>
      </c>
      <c r="J99" s="12" t="s">
        <v>109</v>
      </c>
      <c r="K99" s="14">
        <f aca="true" t="shared" si="7" ref="K99:K111">K70*454/60/0.0283/K$35*(21-7)/(21-K$36)*1000000</f>
        <v>0.8340294615165788</v>
      </c>
      <c r="L99" s="12" t="s">
        <v>109</v>
      </c>
      <c r="M99" s="14">
        <f aca="true" t="shared" si="8" ref="M99:M111">M70*454/60/0.0283/M$35*(21-7)/(21-M$36)*1000000</f>
        <v>0.9680171269475285</v>
      </c>
      <c r="N99" s="23">
        <v>100</v>
      </c>
      <c r="O99" s="30">
        <f aca="true" t="shared" si="9" ref="O99:O106">AVERAGE(K99,I99,G99,M99)</f>
        <v>0.8842742001268582</v>
      </c>
    </row>
    <row r="100" spans="2:15" ht="12.75">
      <c r="B100" s="12" t="s">
        <v>78</v>
      </c>
      <c r="C100" s="12" t="s">
        <v>174</v>
      </c>
      <c r="D100" s="12" t="s">
        <v>55</v>
      </c>
      <c r="E100" s="12" t="s">
        <v>15</v>
      </c>
      <c r="G100" s="14">
        <f>G71*454/60/0.0283/G$35*(21-7)/(21-G$36)*1000000</f>
        <v>1.7740614653616729</v>
      </c>
      <c r="H100" s="12"/>
      <c r="I100" s="14">
        <f t="shared" si="6"/>
        <v>2.552141860611694</v>
      </c>
      <c r="J100" s="12"/>
      <c r="K100" s="14">
        <f t="shared" si="7"/>
        <v>1.666217798394048</v>
      </c>
      <c r="L100" s="12"/>
      <c r="M100" s="14">
        <f t="shared" si="8"/>
        <v>2.8945610168529026</v>
      </c>
      <c r="O100" s="30">
        <f t="shared" si="9"/>
        <v>2.2217455353050792</v>
      </c>
    </row>
    <row r="101" spans="2:15" ht="12.75">
      <c r="B101" s="12" t="s">
        <v>79</v>
      </c>
      <c r="C101" s="12" t="s">
        <v>174</v>
      </c>
      <c r="D101" s="12" t="s">
        <v>55</v>
      </c>
      <c r="E101" s="12" t="s">
        <v>15</v>
      </c>
      <c r="G101" s="14">
        <f t="shared" si="5"/>
        <v>32.83337637385782</v>
      </c>
      <c r="H101" s="12"/>
      <c r="I101" s="14">
        <f t="shared" si="6"/>
        <v>32.39587479631679</v>
      </c>
      <c r="J101" s="12"/>
      <c r="K101" s="14">
        <f t="shared" si="7"/>
        <v>25.867801179487707</v>
      </c>
      <c r="L101" s="12"/>
      <c r="M101" s="14">
        <f t="shared" si="8"/>
        <v>27.04753737059271</v>
      </c>
      <c r="O101" s="30">
        <f t="shared" si="9"/>
        <v>29.536147430063753</v>
      </c>
    </row>
    <row r="102" spans="2:15" ht="12.75">
      <c r="B102" s="12" t="s">
        <v>80</v>
      </c>
      <c r="C102" s="12" t="s">
        <v>174</v>
      </c>
      <c r="D102" s="12" t="s">
        <v>55</v>
      </c>
      <c r="E102" s="12" t="s">
        <v>15</v>
      </c>
      <c r="F102" s="12" t="s">
        <v>109</v>
      </c>
      <c r="G102" s="14">
        <f>G73*454/60/0.0283/G$91*(21-7)/(21-G$92)*1000000</f>
        <v>1.397421849029192</v>
      </c>
      <c r="H102" s="12" t="s">
        <v>109</v>
      </c>
      <c r="I102" s="14">
        <f t="shared" si="6"/>
        <v>1.7014279070744627</v>
      </c>
      <c r="J102" s="12" t="s">
        <v>109</v>
      </c>
      <c r="K102" s="14">
        <f t="shared" si="7"/>
        <v>1.666217798394048</v>
      </c>
      <c r="L102" s="12" t="s">
        <v>109</v>
      </c>
      <c r="M102" s="14">
        <f t="shared" si="8"/>
        <v>1.9265438899053748</v>
      </c>
      <c r="N102" s="23">
        <v>100</v>
      </c>
      <c r="O102" s="30">
        <f t="shared" si="9"/>
        <v>1.6729028611007695</v>
      </c>
    </row>
    <row r="103" spans="2:15" ht="12.75">
      <c r="B103" s="12" t="s">
        <v>81</v>
      </c>
      <c r="C103" s="12" t="s">
        <v>174</v>
      </c>
      <c r="D103" s="12" t="s">
        <v>55</v>
      </c>
      <c r="E103" s="12" t="s">
        <v>15</v>
      </c>
      <c r="G103" s="14">
        <f t="shared" si="5"/>
        <v>3.5481229307233457</v>
      </c>
      <c r="H103" s="12"/>
      <c r="I103" s="14">
        <f t="shared" si="6"/>
        <v>5.112876791461139</v>
      </c>
      <c r="J103" s="12"/>
      <c r="K103" s="14">
        <f t="shared" si="7"/>
        <v>4.170147307582895</v>
      </c>
      <c r="L103" s="12"/>
      <c r="M103" s="14">
        <f t="shared" si="8"/>
        <v>5.884025673602625</v>
      </c>
      <c r="O103" s="30">
        <f t="shared" si="9"/>
        <v>4.678793175842501</v>
      </c>
    </row>
    <row r="104" spans="2:15" ht="12.75">
      <c r="B104" s="12" t="s">
        <v>92</v>
      </c>
      <c r="C104" s="12" t="s">
        <v>174</v>
      </c>
      <c r="D104" s="12" t="s">
        <v>55</v>
      </c>
      <c r="E104" s="12" t="s">
        <v>15</v>
      </c>
      <c r="G104" s="14">
        <f t="shared" si="5"/>
        <v>38.129082240609094</v>
      </c>
      <c r="H104" s="12"/>
      <c r="I104" s="14">
        <f t="shared" si="6"/>
        <v>63.073135545083616</v>
      </c>
      <c r="J104" s="12"/>
      <c r="K104" s="14">
        <f t="shared" si="7"/>
        <v>20.896764653892205</v>
      </c>
      <c r="L104" s="12"/>
      <c r="M104" s="14">
        <f t="shared" si="8"/>
        <v>8.68368305055871</v>
      </c>
      <c r="O104" s="30">
        <f t="shared" si="9"/>
        <v>32.695666372535904</v>
      </c>
    </row>
    <row r="105" spans="2:15" ht="12.75">
      <c r="B105" s="12" t="s">
        <v>90</v>
      </c>
      <c r="C105" s="12" t="s">
        <v>174</v>
      </c>
      <c r="D105" s="12" t="s">
        <v>55</v>
      </c>
      <c r="E105" s="12" t="s">
        <v>15</v>
      </c>
      <c r="G105" s="14">
        <f>G76*454/60/0.0283/G$91*(21-7)/(21-G$92)*1000000</f>
        <v>24.055122376323403</v>
      </c>
      <c r="H105" s="12"/>
      <c r="I105" s="14">
        <f t="shared" si="6"/>
        <v>38.411023962741666</v>
      </c>
      <c r="J105" s="12"/>
      <c r="K105" s="14">
        <f t="shared" si="7"/>
        <v>23.198170452779014</v>
      </c>
      <c r="L105" s="12"/>
      <c r="M105" s="14">
        <f t="shared" si="8"/>
        <v>18.031691580395137</v>
      </c>
      <c r="O105" s="30">
        <f t="shared" si="9"/>
        <v>25.9240020930598</v>
      </c>
    </row>
    <row r="106" spans="2:15" ht="12.75">
      <c r="B106" s="12" t="s">
        <v>76</v>
      </c>
      <c r="C106" s="12" t="s">
        <v>174</v>
      </c>
      <c r="D106" s="12" t="s">
        <v>55</v>
      </c>
      <c r="E106" s="12" t="s">
        <v>15</v>
      </c>
      <c r="G106" s="14">
        <f t="shared" si="5"/>
        <v>13.327526431324012</v>
      </c>
      <c r="H106" s="12"/>
      <c r="I106" s="14">
        <f t="shared" si="6"/>
        <v>17.014279070744625</v>
      </c>
      <c r="J106" s="12"/>
      <c r="K106" s="14">
        <f t="shared" si="7"/>
        <v>8.34029461516579</v>
      </c>
      <c r="L106" s="12" t="s">
        <v>109</v>
      </c>
      <c r="M106" s="14">
        <f t="shared" si="8"/>
        <v>3.8625781438004316</v>
      </c>
      <c r="O106" s="30">
        <f t="shared" si="9"/>
        <v>10.636169565258715</v>
      </c>
    </row>
    <row r="107" spans="2:15" ht="12.75">
      <c r="B107" s="12" t="s">
        <v>82</v>
      </c>
      <c r="C107" s="12" t="s">
        <v>174</v>
      </c>
      <c r="D107" s="12" t="s">
        <v>55</v>
      </c>
      <c r="E107" s="12" t="s">
        <v>15</v>
      </c>
      <c r="G107" s="14">
        <f t="shared" si="5"/>
        <v>21.2710852314509</v>
      </c>
      <c r="H107" s="12"/>
      <c r="I107" s="14">
        <f t="shared" si="6"/>
        <v>15.295665023194664</v>
      </c>
      <c r="J107" s="12"/>
      <c r="K107" s="14">
        <f t="shared" si="7"/>
        <v>14.176659721142734</v>
      </c>
      <c r="L107" s="12"/>
      <c r="M107" s="14">
        <f t="shared" si="8"/>
        <v>28.94561016852904</v>
      </c>
      <c r="O107" s="30">
        <f>AVERAGE(K107,I107,G107,M107)</f>
        <v>19.922255036079335</v>
      </c>
    </row>
    <row r="108" spans="2:15" ht="12.75">
      <c r="B108" s="12" t="s">
        <v>83</v>
      </c>
      <c r="C108" s="12" t="s">
        <v>174</v>
      </c>
      <c r="D108" s="12" t="s">
        <v>55</v>
      </c>
      <c r="E108" s="12" t="s">
        <v>15</v>
      </c>
      <c r="G108" s="14">
        <f t="shared" si="5"/>
        <v>19.505849942533814</v>
      </c>
      <c r="H108" s="12"/>
      <c r="I108" s="14">
        <f t="shared" si="6"/>
        <v>25.52141860611694</v>
      </c>
      <c r="J108" s="12"/>
      <c r="K108" s="14">
        <f t="shared" si="7"/>
        <v>12.519647545944231</v>
      </c>
      <c r="L108" s="12"/>
      <c r="M108" s="14">
        <f t="shared" si="8"/>
        <v>26.003597331727722</v>
      </c>
      <c r="O108" s="30">
        <f>AVERAGE(K108,I108,G108,M108)</f>
        <v>20.887628356580677</v>
      </c>
    </row>
    <row r="109" spans="2:15" ht="12.75">
      <c r="B109" s="12" t="s">
        <v>116</v>
      </c>
      <c r="C109" s="12" t="s">
        <v>174</v>
      </c>
      <c r="D109" s="12" t="s">
        <v>55</v>
      </c>
      <c r="E109" s="12" t="s">
        <v>15</v>
      </c>
      <c r="F109" s="12" t="s">
        <v>109</v>
      </c>
      <c r="G109" s="14">
        <f t="shared" si="5"/>
        <v>0.8826176444585438</v>
      </c>
      <c r="H109" s="12" t="s">
        <v>109</v>
      </c>
      <c r="I109" s="14">
        <f t="shared" si="6"/>
        <v>0.8524325675847813</v>
      </c>
      <c r="J109" s="12" t="s">
        <v>109</v>
      </c>
      <c r="K109" s="14">
        <f t="shared" si="7"/>
        <v>0.8340294615165788</v>
      </c>
      <c r="L109" s="12" t="s">
        <v>109</v>
      </c>
      <c r="M109" s="14">
        <f t="shared" si="8"/>
        <v>3.8625781438004316</v>
      </c>
      <c r="N109" s="23">
        <v>100</v>
      </c>
      <c r="O109" s="30">
        <f>AVERAGE(K109,I109,G109,M109)</f>
        <v>1.6079144543400838</v>
      </c>
    </row>
    <row r="110" spans="2:15" ht="12.75">
      <c r="B110" s="12" t="s">
        <v>84</v>
      </c>
      <c r="C110" s="12" t="s">
        <v>174</v>
      </c>
      <c r="D110" s="12" t="s">
        <v>55</v>
      </c>
      <c r="E110" s="12" t="s">
        <v>15</v>
      </c>
      <c r="G110" s="14">
        <f t="shared" si="5"/>
        <v>0.8826176444585438</v>
      </c>
      <c r="H110" s="12"/>
      <c r="I110" s="14">
        <f t="shared" si="6"/>
        <v>0.8524325675847813</v>
      </c>
      <c r="J110" s="12" t="s">
        <v>109</v>
      </c>
      <c r="K110" s="14">
        <f t="shared" si="7"/>
        <v>0.8340294615165788</v>
      </c>
      <c r="L110" s="12"/>
      <c r="M110" s="14">
        <f t="shared" si="8"/>
        <v>3.8625781438004316</v>
      </c>
      <c r="O110" s="30">
        <f>AVERAGE(K110,I110,G110,M110)</f>
        <v>1.6079144543400838</v>
      </c>
    </row>
    <row r="111" spans="2:15" ht="12.75">
      <c r="B111" s="12" t="s">
        <v>85</v>
      </c>
      <c r="C111" s="12" t="s">
        <v>174</v>
      </c>
      <c r="D111" s="12" t="s">
        <v>55</v>
      </c>
      <c r="E111" s="12" t="s">
        <v>15</v>
      </c>
      <c r="F111" s="12" t="s">
        <v>109</v>
      </c>
      <c r="G111" s="14">
        <f t="shared" si="5"/>
        <v>8.826176444585435</v>
      </c>
      <c r="H111" s="12" t="s">
        <v>109</v>
      </c>
      <c r="I111" s="14">
        <f t="shared" si="6"/>
        <v>8.524325675847814</v>
      </c>
      <c r="J111" s="12" t="s">
        <v>109</v>
      </c>
      <c r="K111" s="14">
        <f t="shared" si="7"/>
        <v>8.34029461516579</v>
      </c>
      <c r="L111" s="12" t="s">
        <v>109</v>
      </c>
      <c r="M111" s="14">
        <f t="shared" si="8"/>
        <v>9.680171269475284</v>
      </c>
      <c r="N111" s="23">
        <v>100</v>
      </c>
      <c r="O111" s="30">
        <f>AVERAGE(K111,I111,G111,M111)</f>
        <v>8.842742001268581</v>
      </c>
    </row>
    <row r="112" spans="2:15" ht="12.75">
      <c r="B112" s="12"/>
      <c r="C112" s="12"/>
      <c r="G112" s="31"/>
      <c r="H112" s="31"/>
      <c r="I112" s="32"/>
      <c r="J112" s="31"/>
      <c r="K112" s="31"/>
      <c r="O112" s="30"/>
    </row>
    <row r="113" spans="2:15" ht="12.75">
      <c r="B113" s="12" t="s">
        <v>56</v>
      </c>
      <c r="C113" s="12" t="s">
        <v>174</v>
      </c>
      <c r="D113" s="12" t="s">
        <v>55</v>
      </c>
      <c r="E113" s="12" t="s">
        <v>15</v>
      </c>
      <c r="G113" s="14">
        <f>G106+G103</f>
        <v>16.87564936204736</v>
      </c>
      <c r="H113" s="31"/>
      <c r="I113" s="14">
        <f>I106+I103</f>
        <v>22.127155862205765</v>
      </c>
      <c r="J113" s="31"/>
      <c r="K113" s="14">
        <f>K106+K103</f>
        <v>12.510441922748686</v>
      </c>
      <c r="L113" s="23">
        <v>39.6</v>
      </c>
      <c r="M113" s="14">
        <f>M106+M103</f>
        <v>9.746603817403056</v>
      </c>
      <c r="N113" s="23">
        <v>6.3</v>
      </c>
      <c r="O113" s="30">
        <f>AVERAGE(K113,I113,G113,M113)</f>
        <v>15.314962741101215</v>
      </c>
    </row>
    <row r="114" spans="2:15" ht="12.75">
      <c r="B114" s="12" t="s">
        <v>57</v>
      </c>
      <c r="C114" s="12" t="s">
        <v>174</v>
      </c>
      <c r="D114" s="12" t="s">
        <v>55</v>
      </c>
      <c r="E114" s="12" t="s">
        <v>15</v>
      </c>
      <c r="F114" s="12">
        <v>4.3</v>
      </c>
      <c r="G114" s="14">
        <f>G100+G102+G104</f>
        <v>41.300565554999956</v>
      </c>
      <c r="H114" s="31">
        <v>2.5</v>
      </c>
      <c r="I114" s="14">
        <f>I100+I102+I104</f>
        <v>67.32670531276977</v>
      </c>
      <c r="J114" s="31">
        <v>6.9</v>
      </c>
      <c r="K114" s="14">
        <f>K100+K102+K104</f>
        <v>24.2292002506803</v>
      </c>
      <c r="L114" s="23">
        <v>14.3</v>
      </c>
      <c r="M114" s="14">
        <f>M100+M102+M104</f>
        <v>13.504787957316987</v>
      </c>
      <c r="N114" s="23">
        <v>4.8</v>
      </c>
      <c r="O114" s="30">
        <f>AVERAGE(K114,I114,G114,M114)</f>
        <v>36.59031476894175</v>
      </c>
    </row>
    <row r="115" spans="2:15" ht="12.75">
      <c r="B115" s="12"/>
      <c r="C115" s="12"/>
      <c r="G115" s="35"/>
      <c r="H115" s="31"/>
      <c r="I115" s="35"/>
      <c r="J115" s="31"/>
      <c r="K115" s="35"/>
      <c r="L115" s="31"/>
      <c r="O115" s="14"/>
    </row>
    <row r="116" spans="1:15" ht="12.75">
      <c r="A116" s="23">
        <v>3</v>
      </c>
      <c r="B116" s="27" t="s">
        <v>128</v>
      </c>
      <c r="C116" s="12" t="s">
        <v>87</v>
      </c>
      <c r="G116" s="25" t="s">
        <v>169</v>
      </c>
      <c r="H116" s="25"/>
      <c r="I116" s="26" t="s">
        <v>170</v>
      </c>
      <c r="J116" s="25"/>
      <c r="K116" s="25" t="s">
        <v>171</v>
      </c>
      <c r="L116" s="25"/>
      <c r="M116" s="65" t="s">
        <v>172</v>
      </c>
      <c r="O116" s="23" t="s">
        <v>47</v>
      </c>
    </row>
    <row r="117" spans="2:15" ht="12.75">
      <c r="B117" s="12"/>
      <c r="C117" s="12"/>
      <c r="G117" s="35"/>
      <c r="H117" s="31"/>
      <c r="I117" s="35"/>
      <c r="J117" s="31"/>
      <c r="K117" s="35"/>
      <c r="L117" s="31"/>
      <c r="O117" s="14"/>
    </row>
    <row r="118" spans="2:15" ht="12.75">
      <c r="B118" s="12" t="s">
        <v>91</v>
      </c>
      <c r="C118" s="12" t="s">
        <v>173</v>
      </c>
      <c r="D118" s="12" t="s">
        <v>16</v>
      </c>
      <c r="E118" s="12" t="s">
        <v>15</v>
      </c>
      <c r="G118" s="14">
        <v>0</v>
      </c>
      <c r="H118" s="14"/>
      <c r="I118" s="14">
        <v>0</v>
      </c>
      <c r="J118" s="14"/>
      <c r="K118" s="14">
        <v>14.38</v>
      </c>
      <c r="L118" s="31"/>
      <c r="O118" s="30">
        <f>AVERAGE(K118,I118,G118,M118)</f>
        <v>4.793333333333334</v>
      </c>
    </row>
    <row r="119" spans="2:15" ht="12.75">
      <c r="B119" s="12" t="s">
        <v>107</v>
      </c>
      <c r="C119" s="12" t="s">
        <v>173</v>
      </c>
      <c r="D119" s="12" t="s">
        <v>16</v>
      </c>
      <c r="E119" s="12" t="s">
        <v>15</v>
      </c>
      <c r="G119" s="14">
        <v>0</v>
      </c>
      <c r="H119" s="14"/>
      <c r="I119" s="14">
        <v>0</v>
      </c>
      <c r="J119" s="14"/>
      <c r="K119" s="14">
        <v>18.38</v>
      </c>
      <c r="L119" s="31"/>
      <c r="O119" s="30">
        <f>AVERAGE(K119,I119,G119,M119)</f>
        <v>6.126666666666666</v>
      </c>
    </row>
    <row r="120" spans="2:15" ht="12.75">
      <c r="B120" s="12"/>
      <c r="C120" s="12"/>
      <c r="G120" s="35"/>
      <c r="H120" s="31"/>
      <c r="I120" s="35"/>
      <c r="J120" s="31"/>
      <c r="K120" s="35"/>
      <c r="L120" s="31"/>
      <c r="O120" s="14"/>
    </row>
    <row r="121" spans="2:15" ht="12.75">
      <c r="B121" s="12" t="s">
        <v>92</v>
      </c>
      <c r="C121" s="12"/>
      <c r="D121" s="12" t="s">
        <v>50</v>
      </c>
      <c r="G121" s="35">
        <v>8.5E-05</v>
      </c>
      <c r="H121" s="31"/>
      <c r="I121" s="35">
        <v>0.000152</v>
      </c>
      <c r="J121" s="31"/>
      <c r="K121" s="35">
        <v>7.6E-05</v>
      </c>
      <c r="L121" s="31"/>
      <c r="M121" s="62"/>
      <c r="O121" s="33"/>
    </row>
    <row r="122" spans="2:15" ht="12.75">
      <c r="B122" s="67" t="s">
        <v>175</v>
      </c>
      <c r="C122" s="12"/>
      <c r="D122" s="12" t="s">
        <v>50</v>
      </c>
      <c r="G122" s="31">
        <v>1.7E-05</v>
      </c>
      <c r="H122" s="31"/>
      <c r="I122" s="32">
        <v>1.8E-05</v>
      </c>
      <c r="J122" s="31"/>
      <c r="K122" s="31">
        <v>1.8E-05</v>
      </c>
      <c r="L122" s="25"/>
      <c r="O122" s="33"/>
    </row>
    <row r="123" spans="2:15" ht="12.75">
      <c r="B123" s="12"/>
      <c r="C123" s="12"/>
      <c r="G123" s="31"/>
      <c r="H123" s="31"/>
      <c r="I123" s="32"/>
      <c r="J123" s="31"/>
      <c r="K123" s="31"/>
      <c r="L123" s="25"/>
      <c r="O123" s="33"/>
    </row>
    <row r="124" spans="2:15" ht="12.75">
      <c r="B124" s="12" t="s">
        <v>93</v>
      </c>
      <c r="C124" s="12" t="s">
        <v>129</v>
      </c>
      <c r="D124" s="12" t="s">
        <v>173</v>
      </c>
      <c r="L124" s="25"/>
      <c r="O124" s="34"/>
    </row>
    <row r="125" spans="2:15" ht="12.75">
      <c r="B125" s="12" t="s">
        <v>75</v>
      </c>
      <c r="C125" s="12"/>
      <c r="D125" s="12" t="s">
        <v>17</v>
      </c>
      <c r="G125" s="31">
        <v>4022</v>
      </c>
      <c r="H125" s="13"/>
      <c r="I125" s="13">
        <v>4358</v>
      </c>
      <c r="J125" s="13"/>
      <c r="K125" s="13">
        <v>4026</v>
      </c>
      <c r="O125" s="30">
        <f>AVERAGE(K125,I125,G125,M125)</f>
        <v>4135.333333333333</v>
      </c>
    </row>
    <row r="126" spans="2:15" ht="12.75">
      <c r="B126" s="12" t="s">
        <v>88</v>
      </c>
      <c r="C126" s="12"/>
      <c r="D126" s="12" t="s">
        <v>18</v>
      </c>
      <c r="G126" s="31">
        <v>12.9</v>
      </c>
      <c r="H126" s="31"/>
      <c r="I126" s="32">
        <v>10</v>
      </c>
      <c r="J126" s="31"/>
      <c r="K126" s="31">
        <v>10.83</v>
      </c>
      <c r="O126" s="30">
        <f>AVERAGE(K126,I126,G126,M126)</f>
        <v>11.243333333333332</v>
      </c>
    </row>
    <row r="127" spans="2:15" ht="12.75">
      <c r="B127" s="12" t="s">
        <v>89</v>
      </c>
      <c r="C127" s="12"/>
      <c r="D127" s="12" t="s">
        <v>18</v>
      </c>
      <c r="G127" s="31">
        <v>44</v>
      </c>
      <c r="H127" s="31"/>
      <c r="I127" s="32">
        <v>44.7</v>
      </c>
      <c r="J127" s="31"/>
      <c r="K127" s="31">
        <v>43.7</v>
      </c>
      <c r="O127" s="30">
        <f>AVERAGE(K127,I127,G127,M127)</f>
        <v>44.13333333333333</v>
      </c>
    </row>
    <row r="128" spans="2:15" ht="12.75">
      <c r="B128" s="12" t="s">
        <v>74</v>
      </c>
      <c r="C128" s="12"/>
      <c r="D128" s="12" t="s">
        <v>19</v>
      </c>
      <c r="G128" s="31">
        <v>223</v>
      </c>
      <c r="H128" s="31"/>
      <c r="I128" s="32">
        <v>220</v>
      </c>
      <c r="J128" s="31"/>
      <c r="K128" s="31">
        <v>225</v>
      </c>
      <c r="O128" s="30">
        <f>AVERAGE(K128,I128,G128,M128)</f>
        <v>222.66666666666666</v>
      </c>
    </row>
    <row r="129" spans="2:15" ht="12.75">
      <c r="B129" s="12"/>
      <c r="C129" s="12"/>
      <c r="E129" s="18"/>
      <c r="F129" s="18"/>
      <c r="G129" s="31"/>
      <c r="H129" s="18"/>
      <c r="I129" s="32"/>
      <c r="J129" s="18"/>
      <c r="K129" s="31"/>
      <c r="L129" s="25"/>
      <c r="O129" s="14"/>
    </row>
    <row r="130" spans="2:15" ht="12.75">
      <c r="B130" s="12" t="s">
        <v>93</v>
      </c>
      <c r="C130" s="12" t="s">
        <v>127</v>
      </c>
      <c r="D130" s="12" t="s">
        <v>174</v>
      </c>
      <c r="L130" s="25"/>
      <c r="O130" s="34"/>
    </row>
    <row r="131" spans="2:15" ht="12.75">
      <c r="B131" s="12" t="s">
        <v>75</v>
      </c>
      <c r="C131" s="12"/>
      <c r="D131" s="12" t="s">
        <v>17</v>
      </c>
      <c r="G131" s="31">
        <v>4271</v>
      </c>
      <c r="H131" s="13"/>
      <c r="I131" s="13">
        <v>4321</v>
      </c>
      <c r="J131" s="13"/>
      <c r="K131" s="13">
        <v>4042</v>
      </c>
      <c r="O131" s="30">
        <f>AVERAGE(K131,I131,G131,M131)</f>
        <v>4211.333333333333</v>
      </c>
    </row>
    <row r="132" spans="2:15" ht="12.75">
      <c r="B132" s="12" t="s">
        <v>88</v>
      </c>
      <c r="C132" s="12"/>
      <c r="D132" s="12" t="s">
        <v>18</v>
      </c>
      <c r="G132" s="31">
        <v>12.9</v>
      </c>
      <c r="H132" s="31"/>
      <c r="I132" s="32">
        <v>10</v>
      </c>
      <c r="J132" s="31"/>
      <c r="K132" s="31">
        <v>10.83</v>
      </c>
      <c r="O132" s="30">
        <f>AVERAGE(K132,I132,G132,M132)</f>
        <v>11.243333333333332</v>
      </c>
    </row>
    <row r="133" spans="2:15" ht="12.75">
      <c r="B133" s="12" t="s">
        <v>89</v>
      </c>
      <c r="C133" s="12"/>
      <c r="D133" s="12" t="s">
        <v>18</v>
      </c>
      <c r="G133" s="31">
        <v>40.2</v>
      </c>
      <c r="H133" s="31"/>
      <c r="I133" s="32">
        <v>44.7</v>
      </c>
      <c r="J133" s="31"/>
      <c r="K133" s="31">
        <v>44.1</v>
      </c>
      <c r="O133" s="30">
        <f>AVERAGE(K133,I133,G133,M133)</f>
        <v>43</v>
      </c>
    </row>
    <row r="134" spans="2:15" ht="12.75">
      <c r="B134" s="12" t="s">
        <v>74</v>
      </c>
      <c r="C134" s="12"/>
      <c r="D134" s="12" t="s">
        <v>19</v>
      </c>
      <c r="G134" s="31">
        <v>223</v>
      </c>
      <c r="H134" s="31"/>
      <c r="I134" s="32">
        <v>220</v>
      </c>
      <c r="J134" s="31"/>
      <c r="K134" s="31">
        <v>226</v>
      </c>
      <c r="O134" s="30">
        <f>AVERAGE(K134,I134,G134,M134)</f>
        <v>223</v>
      </c>
    </row>
    <row r="135" spans="2:15" ht="12.75">
      <c r="B135" s="12"/>
      <c r="C135" s="12"/>
      <c r="E135" s="18"/>
      <c r="F135" s="18"/>
      <c r="G135" s="31"/>
      <c r="H135" s="18"/>
      <c r="I135" s="32"/>
      <c r="J135" s="18"/>
      <c r="K135" s="31"/>
      <c r="L135" s="25"/>
      <c r="O135" s="13"/>
    </row>
    <row r="136" spans="2:15" ht="12.75">
      <c r="B136" s="12" t="s">
        <v>92</v>
      </c>
      <c r="C136" s="12" t="s">
        <v>173</v>
      </c>
      <c r="D136" s="12" t="s">
        <v>55</v>
      </c>
      <c r="E136" s="12" t="s">
        <v>15</v>
      </c>
      <c r="G136" s="14">
        <f>G121*454/60/0.0283/G$125*(21-7)/(21-G$126)*1000000</f>
        <v>9.766479508770486</v>
      </c>
      <c r="H136" s="14"/>
      <c r="I136" s="14">
        <f>I121*454/60/0.0283/I$125*(21-7)/(21-I$126)*1000000</f>
        <v>11.86888384147152</v>
      </c>
      <c r="J136" s="14"/>
      <c r="K136" s="14">
        <f>K121*454/60/0.0283/K$125*(21-7)/(21-K$126)*1000000</f>
        <v>6.94808417841139</v>
      </c>
      <c r="L136" s="31"/>
      <c r="O136" s="30">
        <f>AVERAGE(K136,I136,G136,M136)</f>
        <v>9.527815842884465</v>
      </c>
    </row>
    <row r="137" spans="2:15" ht="12.75">
      <c r="B137" s="67" t="s">
        <v>175</v>
      </c>
      <c r="C137" s="12" t="s">
        <v>174</v>
      </c>
      <c r="D137" s="12" t="s">
        <v>55</v>
      </c>
      <c r="E137" s="12" t="s">
        <v>15</v>
      </c>
      <c r="G137" s="14">
        <f>G122*454/60/0.0283/G$131*(21-7)/(21-G$132)*1000000</f>
        <v>1.8394184305443644</v>
      </c>
      <c r="H137" s="31"/>
      <c r="I137" s="14">
        <f>I122*454/60/0.0283/I$131*(21-7)/(21-I$132)*1000000</f>
        <v>1.4175609996169136</v>
      </c>
      <c r="J137" s="31"/>
      <c r="K137" s="14">
        <f>K122*454/60/0.0283/K$131*(21-7)/(21-K$132)*1000000</f>
        <v>1.6390848858079525</v>
      </c>
      <c r="L137" s="31"/>
      <c r="O137" s="30">
        <f>AVERAGE(K137,I137,G137,M137)</f>
        <v>1.63202143865641</v>
      </c>
    </row>
    <row r="138" spans="2:15" ht="12.75">
      <c r="B138" s="12" t="s">
        <v>57</v>
      </c>
      <c r="C138" s="12" t="s">
        <v>173</v>
      </c>
      <c r="D138" s="12" t="s">
        <v>55</v>
      </c>
      <c r="E138" s="12" t="s">
        <v>15</v>
      </c>
      <c r="G138" s="13">
        <f>G136</f>
        <v>9.766479508770486</v>
      </c>
      <c r="H138" s="13"/>
      <c r="I138" s="13">
        <f>I136</f>
        <v>11.86888384147152</v>
      </c>
      <c r="J138" s="13"/>
      <c r="K138" s="13">
        <f>K136</f>
        <v>6.94808417841139</v>
      </c>
      <c r="L138" s="31"/>
      <c r="O138" s="13">
        <f>O136</f>
        <v>9.527815842884465</v>
      </c>
    </row>
    <row r="139" spans="2:15" ht="12.75">
      <c r="B139" s="12"/>
      <c r="C139" s="12"/>
      <c r="G139" s="31"/>
      <c r="H139" s="31"/>
      <c r="I139" s="32"/>
      <c r="J139" s="31"/>
      <c r="K139" s="31"/>
      <c r="L139" s="31"/>
      <c r="O139" s="13"/>
    </row>
    <row r="140" spans="2:15" ht="12.75">
      <c r="B140" s="12"/>
      <c r="C140" s="12"/>
      <c r="G140" s="31"/>
      <c r="H140" s="31"/>
      <c r="I140" s="32"/>
      <c r="J140" s="31"/>
      <c r="K140" s="31"/>
      <c r="L140" s="31"/>
      <c r="O140" s="13"/>
    </row>
    <row r="141" spans="2:15" ht="12.75">
      <c r="B141" s="12"/>
      <c r="C141" s="12"/>
      <c r="E141" s="18"/>
      <c r="F141" s="18"/>
      <c r="G141" s="31"/>
      <c r="H141" s="18"/>
      <c r="I141" s="32"/>
      <c r="J141" s="18"/>
      <c r="K141" s="31"/>
      <c r="L141" s="25"/>
      <c r="O141" s="13"/>
    </row>
    <row r="142" spans="2:15" ht="12.75">
      <c r="B142" s="12"/>
      <c r="C142" s="12"/>
      <c r="G142" s="31"/>
      <c r="H142" s="31"/>
      <c r="I142" s="32"/>
      <c r="J142" s="31"/>
      <c r="K142" s="31"/>
      <c r="L142" s="31"/>
      <c r="O142" s="14"/>
    </row>
    <row r="143" spans="2:15" ht="12.75">
      <c r="B143" s="12"/>
      <c r="C143" s="12"/>
      <c r="G143" s="13"/>
      <c r="H143" s="31"/>
      <c r="I143" s="13"/>
      <c r="J143" s="31"/>
      <c r="K143" s="13"/>
      <c r="L143" s="31"/>
      <c r="O143" s="13"/>
    </row>
    <row r="144" spans="2:15" ht="12.75">
      <c r="B144" s="12"/>
      <c r="C144" s="12"/>
      <c r="G144" s="13"/>
      <c r="H144" s="31"/>
      <c r="I144" s="13"/>
      <c r="J144" s="31"/>
      <c r="K144" s="13"/>
      <c r="L144" s="31"/>
      <c r="O144" s="13"/>
    </row>
    <row r="145" spans="2:15" ht="12.75">
      <c r="B145" s="12"/>
      <c r="C145" s="12"/>
      <c r="G145" s="14"/>
      <c r="H145" s="31"/>
      <c r="I145" s="14"/>
      <c r="J145" s="31"/>
      <c r="K145" s="14"/>
      <c r="L145" s="31"/>
      <c r="O145" s="14"/>
    </row>
    <row r="146" spans="2:11" ht="12.75">
      <c r="B146" s="12"/>
      <c r="C146" s="12"/>
      <c r="G146" s="31"/>
      <c r="H146" s="31"/>
      <c r="I146" s="32"/>
      <c r="J146" s="31"/>
      <c r="K146" s="31"/>
    </row>
    <row r="147" spans="2:11" ht="12.75">
      <c r="B147" s="12"/>
      <c r="C147" s="12"/>
      <c r="G147" s="13"/>
      <c r="H147" s="31"/>
      <c r="I147" s="13"/>
      <c r="J147" s="31"/>
      <c r="K147" s="13"/>
    </row>
    <row r="148" spans="2:11" ht="12.75">
      <c r="B148" s="12"/>
      <c r="C148" s="12"/>
      <c r="G148" s="13"/>
      <c r="H148" s="31"/>
      <c r="I148" s="13"/>
      <c r="J148" s="31"/>
      <c r="K148" s="13"/>
    </row>
    <row r="149" spans="2:11" ht="12.75">
      <c r="B149" s="12"/>
      <c r="C149" s="12"/>
      <c r="G149" s="13"/>
      <c r="H149" s="31"/>
      <c r="I149" s="13"/>
      <c r="J149" s="31"/>
      <c r="K149" s="13"/>
    </row>
    <row r="150" spans="2:11" ht="12.75">
      <c r="B150" s="12"/>
      <c r="C150" s="12"/>
      <c r="G150" s="13"/>
      <c r="H150" s="31"/>
      <c r="I150" s="13"/>
      <c r="J150" s="31"/>
      <c r="K150" s="13"/>
    </row>
    <row r="151" spans="2:11" ht="12.75">
      <c r="B151" s="12"/>
      <c r="C151" s="12"/>
      <c r="G151" s="13"/>
      <c r="H151" s="31"/>
      <c r="I151" s="13"/>
      <c r="J151" s="31"/>
      <c r="K151" s="13"/>
    </row>
    <row r="152" spans="2:11" ht="12.75">
      <c r="B152" s="12"/>
      <c r="C152" s="12"/>
      <c r="G152" s="13"/>
      <c r="H152" s="31"/>
      <c r="I152" s="13"/>
      <c r="J152" s="31"/>
      <c r="K152" s="13"/>
    </row>
    <row r="153" spans="2:11" ht="12.75">
      <c r="B153" s="12"/>
      <c r="C153" s="12"/>
      <c r="G153" s="13"/>
      <c r="H153" s="31"/>
      <c r="I153" s="13"/>
      <c r="J153" s="31"/>
      <c r="K153" s="13"/>
    </row>
    <row r="154" spans="2:11" ht="12.75">
      <c r="B154" s="12"/>
      <c r="C154" s="12"/>
      <c r="G154" s="13"/>
      <c r="H154" s="31"/>
      <c r="I154" s="13"/>
      <c r="J154" s="31"/>
      <c r="K154" s="13"/>
    </row>
    <row r="155" spans="2:11" ht="12.75">
      <c r="B155" s="12"/>
      <c r="C155" s="12"/>
      <c r="G155" s="13"/>
      <c r="H155" s="31"/>
      <c r="I155" s="13"/>
      <c r="J155" s="31"/>
      <c r="K155" s="13"/>
    </row>
    <row r="156" spans="2:15" ht="12.75">
      <c r="B156" s="12"/>
      <c r="C156" s="12"/>
      <c r="G156" s="13"/>
      <c r="H156" s="31"/>
      <c r="I156" s="13"/>
      <c r="J156" s="31"/>
      <c r="K156" s="13"/>
      <c r="O156" s="14"/>
    </row>
    <row r="157" spans="2:11" ht="12.75">
      <c r="B157" s="12"/>
      <c r="C157" s="12"/>
      <c r="G157" s="13"/>
      <c r="H157" s="31"/>
      <c r="I157" s="13"/>
      <c r="J157" s="31"/>
      <c r="K157" s="13"/>
    </row>
    <row r="158" spans="2:11" ht="12.75">
      <c r="B158" s="12"/>
      <c r="C158" s="12"/>
      <c r="G158" s="13"/>
      <c r="H158" s="31"/>
      <c r="I158" s="13"/>
      <c r="J158" s="31"/>
      <c r="K158" s="13"/>
    </row>
    <row r="159" spans="2:11" ht="12.75">
      <c r="B159" s="12"/>
      <c r="C159" s="12"/>
      <c r="G159" s="13"/>
      <c r="H159" s="31"/>
      <c r="I159" s="13"/>
      <c r="J159" s="31"/>
      <c r="K159" s="13"/>
    </row>
    <row r="160" spans="2:11" ht="12.75">
      <c r="B160" s="12"/>
      <c r="C160" s="12"/>
      <c r="G160" s="13"/>
      <c r="H160" s="31"/>
      <c r="I160" s="13"/>
      <c r="J160" s="31"/>
      <c r="K160" s="13"/>
    </row>
    <row r="161" spans="2:11" ht="12.75">
      <c r="B161" s="12"/>
      <c r="C161" s="12"/>
      <c r="G161" s="13"/>
      <c r="H161" s="31"/>
      <c r="I161" s="13"/>
      <c r="J161" s="31"/>
      <c r="K161" s="13"/>
    </row>
    <row r="162" spans="2:11" ht="12.75">
      <c r="B162" s="12"/>
      <c r="C162" s="12"/>
      <c r="G162" s="31"/>
      <c r="H162" s="31"/>
      <c r="I162" s="32"/>
      <c r="J162" s="31"/>
      <c r="K162" s="31"/>
    </row>
    <row r="163" spans="2:15" ht="12.75">
      <c r="B163" s="12"/>
      <c r="C163" s="12"/>
      <c r="G163" s="13"/>
      <c r="H163" s="31"/>
      <c r="I163" s="13"/>
      <c r="J163" s="31"/>
      <c r="K163" s="13"/>
      <c r="O163" s="14"/>
    </row>
    <row r="164" spans="2:15" ht="12.75">
      <c r="B164" s="12"/>
      <c r="C164" s="12"/>
      <c r="G164" s="13"/>
      <c r="H164" s="31"/>
      <c r="I164" s="13"/>
      <c r="J164" s="31"/>
      <c r="K164" s="13"/>
      <c r="O164" s="14"/>
    </row>
    <row r="165" spans="2:11" ht="12.75">
      <c r="B165" s="12"/>
      <c r="C165" s="12"/>
      <c r="G165" s="31"/>
      <c r="H165" s="31"/>
      <c r="I165" s="32"/>
      <c r="J165" s="31"/>
      <c r="K165" s="31"/>
    </row>
    <row r="166" spans="2:15" ht="12.75">
      <c r="B166" s="27"/>
      <c r="C166" s="27"/>
      <c r="G166" s="25"/>
      <c r="H166" s="25"/>
      <c r="I166" s="26"/>
      <c r="J166" s="25"/>
      <c r="K166" s="25"/>
      <c r="L166" s="25"/>
      <c r="O166" s="34"/>
    </row>
    <row r="167" spans="2:15" ht="12.75">
      <c r="B167" s="27"/>
      <c r="C167" s="27"/>
      <c r="G167" s="25"/>
      <c r="H167" s="25"/>
      <c r="I167" s="26"/>
      <c r="J167" s="25"/>
      <c r="K167" s="25"/>
      <c r="L167" s="25"/>
      <c r="O167" s="34"/>
    </row>
    <row r="168" spans="2:15" ht="12.75">
      <c r="B168" s="12"/>
      <c r="C168" s="12"/>
      <c r="G168" s="31"/>
      <c r="H168" s="31"/>
      <c r="I168" s="32"/>
      <c r="J168" s="31"/>
      <c r="K168" s="31"/>
      <c r="L168" s="31"/>
      <c r="O168" s="61"/>
    </row>
    <row r="169" spans="2:15" ht="12.75">
      <c r="B169" s="12"/>
      <c r="C169" s="12"/>
      <c r="G169" s="31"/>
      <c r="H169" s="31"/>
      <c r="I169" s="32"/>
      <c r="J169" s="31"/>
      <c r="K169" s="31"/>
      <c r="L169" s="31"/>
      <c r="O169" s="14"/>
    </row>
    <row r="170" spans="2:15" ht="12.75">
      <c r="B170" s="12"/>
      <c r="C170" s="12"/>
      <c r="G170" s="31"/>
      <c r="H170" s="31"/>
      <c r="I170" s="32"/>
      <c r="J170" s="31"/>
      <c r="K170" s="31"/>
      <c r="L170" s="31"/>
      <c r="O170" s="14"/>
    </row>
    <row r="171" spans="2:15" ht="12.75">
      <c r="B171" s="12"/>
      <c r="C171" s="12"/>
      <c r="G171" s="31"/>
      <c r="H171" s="31"/>
      <c r="I171" s="32"/>
      <c r="J171" s="31"/>
      <c r="K171" s="31"/>
      <c r="L171" s="31"/>
      <c r="O171" s="14"/>
    </row>
    <row r="172" spans="2:15" ht="12.75">
      <c r="B172" s="12"/>
      <c r="C172" s="12"/>
      <c r="G172" s="31"/>
      <c r="H172" s="31"/>
      <c r="I172" s="32"/>
      <c r="J172" s="31"/>
      <c r="K172" s="31"/>
      <c r="L172" s="31"/>
      <c r="O172" s="14"/>
    </row>
    <row r="173" spans="2:15" ht="12.75">
      <c r="B173" s="12"/>
      <c r="C173" s="12"/>
      <c r="G173" s="35"/>
      <c r="H173" s="31"/>
      <c r="I173" s="35"/>
      <c r="J173" s="31"/>
      <c r="K173" s="35"/>
      <c r="L173" s="31"/>
      <c r="O173" s="14"/>
    </row>
    <row r="174" spans="2:15" ht="12.75">
      <c r="B174" s="12"/>
      <c r="C174" s="12"/>
      <c r="G174" s="35"/>
      <c r="H174" s="31"/>
      <c r="I174" s="35"/>
      <c r="J174" s="31"/>
      <c r="K174" s="35"/>
      <c r="L174" s="31"/>
      <c r="O174" s="14"/>
    </row>
    <row r="175" spans="2:15" ht="12.75">
      <c r="B175" s="12"/>
      <c r="C175" s="12"/>
      <c r="G175" s="35"/>
      <c r="H175" s="31"/>
      <c r="I175" s="35"/>
      <c r="J175" s="31"/>
      <c r="K175" s="35"/>
      <c r="L175" s="31"/>
      <c r="O175" s="14"/>
    </row>
    <row r="176" spans="2:15" ht="12.75">
      <c r="B176" s="12"/>
      <c r="C176" s="12"/>
      <c r="G176" s="35"/>
      <c r="H176" s="31"/>
      <c r="I176" s="35"/>
      <c r="J176" s="31"/>
      <c r="K176" s="35"/>
      <c r="L176" s="31"/>
      <c r="O176" s="14"/>
    </row>
    <row r="177" spans="2:15" ht="12.75">
      <c r="B177" s="12"/>
      <c r="C177" s="12"/>
      <c r="G177" s="35"/>
      <c r="H177" s="31"/>
      <c r="I177" s="35"/>
      <c r="J177" s="31"/>
      <c r="K177" s="35"/>
      <c r="L177" s="31"/>
      <c r="O177" s="14"/>
    </row>
    <row r="178" spans="2:15" ht="12.75">
      <c r="B178" s="12"/>
      <c r="C178" s="12"/>
      <c r="G178" s="35"/>
      <c r="H178" s="31"/>
      <c r="I178" s="35"/>
      <c r="J178" s="31"/>
      <c r="K178" s="35"/>
      <c r="L178" s="31"/>
      <c r="O178" s="14"/>
    </row>
    <row r="179" spans="2:15" ht="12.75">
      <c r="B179" s="12"/>
      <c r="C179" s="12"/>
      <c r="G179" s="35"/>
      <c r="H179" s="31"/>
      <c r="I179" s="35"/>
      <c r="J179" s="31"/>
      <c r="K179" s="35"/>
      <c r="L179" s="31"/>
      <c r="O179" s="14"/>
    </row>
    <row r="180" spans="2:15" ht="12.75">
      <c r="B180" s="12"/>
      <c r="C180" s="12"/>
      <c r="G180" s="35"/>
      <c r="H180" s="31"/>
      <c r="I180" s="35"/>
      <c r="J180" s="31"/>
      <c r="K180" s="35"/>
      <c r="L180" s="31"/>
      <c r="O180" s="14"/>
    </row>
    <row r="181" spans="2:15" ht="12.75">
      <c r="B181" s="12"/>
      <c r="C181" s="12"/>
      <c r="G181" s="35"/>
      <c r="H181" s="31"/>
      <c r="I181" s="35"/>
      <c r="J181" s="31"/>
      <c r="K181" s="35"/>
      <c r="L181" s="31"/>
      <c r="O181" s="14"/>
    </row>
    <row r="182" spans="2:15" ht="12.75">
      <c r="B182" s="12"/>
      <c r="C182" s="12"/>
      <c r="G182" s="35"/>
      <c r="H182" s="31"/>
      <c r="I182" s="35"/>
      <c r="J182" s="31"/>
      <c r="K182" s="35"/>
      <c r="L182" s="31"/>
      <c r="O182" s="14"/>
    </row>
    <row r="183" spans="2:15" ht="12.75">
      <c r="B183" s="12"/>
      <c r="C183" s="12"/>
      <c r="G183" s="35"/>
      <c r="H183" s="31"/>
      <c r="I183" s="35"/>
      <c r="J183" s="31"/>
      <c r="K183" s="35"/>
      <c r="L183" s="31"/>
      <c r="O183" s="14"/>
    </row>
    <row r="184" spans="2:15" ht="12.75">
      <c r="B184" s="12"/>
      <c r="C184" s="12"/>
      <c r="G184" s="35"/>
      <c r="H184" s="31"/>
      <c r="I184" s="35"/>
      <c r="J184" s="31"/>
      <c r="K184" s="35"/>
      <c r="L184" s="31"/>
      <c r="O184" s="14"/>
    </row>
    <row r="185" spans="2:15" ht="12.75">
      <c r="B185" s="12"/>
      <c r="C185" s="12"/>
      <c r="G185" s="35"/>
      <c r="H185" s="31"/>
      <c r="I185" s="35"/>
      <c r="J185" s="31"/>
      <c r="K185" s="35"/>
      <c r="L185" s="31"/>
      <c r="O185" s="14"/>
    </row>
    <row r="186" spans="2:15" ht="12.75">
      <c r="B186" s="12"/>
      <c r="C186" s="12"/>
      <c r="G186" s="35"/>
      <c r="H186" s="31"/>
      <c r="I186" s="35"/>
      <c r="J186" s="31"/>
      <c r="K186" s="35"/>
      <c r="L186" s="31"/>
      <c r="O186" s="14"/>
    </row>
    <row r="187" spans="2:15" ht="12.75">
      <c r="B187" s="12"/>
      <c r="C187" s="12"/>
      <c r="G187" s="31"/>
      <c r="H187" s="31"/>
      <c r="I187" s="32"/>
      <c r="J187" s="31"/>
      <c r="K187" s="31"/>
      <c r="L187" s="31"/>
      <c r="O187" s="14"/>
    </row>
    <row r="188" spans="2:15" ht="12.75">
      <c r="B188" s="12"/>
      <c r="C188" s="12"/>
      <c r="G188" s="31"/>
      <c r="H188" s="31"/>
      <c r="I188" s="32"/>
      <c r="J188" s="31"/>
      <c r="K188" s="31"/>
      <c r="L188" s="31"/>
      <c r="O188" s="14"/>
    </row>
    <row r="189" spans="2:15" ht="12.75">
      <c r="B189" s="12"/>
      <c r="C189" s="12"/>
      <c r="G189" s="13"/>
      <c r="H189" s="13"/>
      <c r="I189" s="13"/>
      <c r="J189" s="13"/>
      <c r="K189" s="13"/>
      <c r="L189" s="31"/>
      <c r="O189" s="14"/>
    </row>
    <row r="190" spans="2:15" ht="12.75">
      <c r="B190" s="12"/>
      <c r="C190" s="12"/>
      <c r="G190" s="31"/>
      <c r="H190" s="31"/>
      <c r="I190" s="32"/>
      <c r="J190" s="31"/>
      <c r="K190" s="31"/>
      <c r="L190" s="31"/>
      <c r="O190" s="14"/>
    </row>
    <row r="191" spans="2:15" ht="12.75">
      <c r="B191" s="12"/>
      <c r="C191" s="12"/>
      <c r="G191" s="31"/>
      <c r="H191" s="31"/>
      <c r="I191" s="32"/>
      <c r="J191" s="31"/>
      <c r="K191" s="31"/>
      <c r="L191" s="31"/>
      <c r="O191" s="14"/>
    </row>
    <row r="192" spans="2:15" ht="12.75">
      <c r="B192" s="12"/>
      <c r="C192" s="12"/>
      <c r="E192" s="18"/>
      <c r="F192" s="18"/>
      <c r="G192" s="31"/>
      <c r="H192" s="18"/>
      <c r="I192" s="32"/>
      <c r="J192" s="18"/>
      <c r="K192" s="31"/>
      <c r="L192" s="25"/>
      <c r="O192" s="14"/>
    </row>
    <row r="193" spans="2:15" ht="12.75">
      <c r="B193" s="12"/>
      <c r="C193" s="12"/>
      <c r="G193" s="31"/>
      <c r="H193" s="31"/>
      <c r="I193" s="32"/>
      <c r="J193" s="31"/>
      <c r="K193" s="31"/>
      <c r="L193" s="31"/>
      <c r="O193" s="14"/>
    </row>
    <row r="194" spans="2:15" ht="12.75">
      <c r="B194" s="12"/>
      <c r="C194" s="12"/>
      <c r="G194" s="31"/>
      <c r="H194" s="31"/>
      <c r="I194" s="32"/>
      <c r="J194" s="31"/>
      <c r="K194" s="31"/>
      <c r="L194" s="31"/>
      <c r="O194" s="14"/>
    </row>
    <row r="195" spans="2:15" ht="12.75">
      <c r="B195" s="12"/>
      <c r="C195" s="12"/>
      <c r="G195" s="13"/>
      <c r="H195" s="13"/>
      <c r="I195" s="13"/>
      <c r="J195" s="13"/>
      <c r="K195" s="13"/>
      <c r="L195" s="31"/>
      <c r="O195" s="13"/>
    </row>
    <row r="196" spans="2:15" ht="12.75">
      <c r="B196" s="12"/>
      <c r="C196" s="12"/>
      <c r="G196" s="31"/>
      <c r="H196" s="31"/>
      <c r="I196" s="32"/>
      <c r="J196" s="31"/>
      <c r="K196" s="31"/>
      <c r="L196" s="31"/>
      <c r="O196" s="13"/>
    </row>
    <row r="197" spans="2:15" ht="12.75">
      <c r="B197" s="12"/>
      <c r="C197" s="12"/>
      <c r="G197" s="31"/>
      <c r="H197" s="31"/>
      <c r="I197" s="32"/>
      <c r="J197" s="31"/>
      <c r="K197" s="31"/>
      <c r="L197" s="31"/>
      <c r="O197" s="13"/>
    </row>
    <row r="198" spans="2:15" ht="12.75">
      <c r="B198" s="12"/>
      <c r="C198" s="12"/>
      <c r="E198" s="18"/>
      <c r="F198" s="18"/>
      <c r="G198" s="31"/>
      <c r="H198" s="18"/>
      <c r="I198" s="32"/>
      <c r="J198" s="18"/>
      <c r="K198" s="31"/>
      <c r="L198" s="25"/>
      <c r="O198" s="13"/>
    </row>
    <row r="199" spans="2:15" ht="12.75">
      <c r="B199" s="12"/>
      <c r="C199" s="12"/>
      <c r="G199" s="31"/>
      <c r="H199" s="31"/>
      <c r="I199" s="32"/>
      <c r="J199" s="31"/>
      <c r="K199" s="31"/>
      <c r="L199" s="31"/>
      <c r="O199" s="14"/>
    </row>
    <row r="200" spans="2:15" ht="12.75">
      <c r="B200" s="12"/>
      <c r="C200" s="12"/>
      <c r="G200" s="31"/>
      <c r="H200" s="31"/>
      <c r="I200" s="32"/>
      <c r="J200" s="31"/>
      <c r="K200" s="31"/>
      <c r="L200" s="31"/>
      <c r="O200" s="14"/>
    </row>
    <row r="201" spans="2:15" ht="12.75">
      <c r="B201" s="12"/>
      <c r="C201" s="12"/>
      <c r="G201" s="13"/>
      <c r="H201" s="13"/>
      <c r="I201" s="13"/>
      <c r="J201" s="13"/>
      <c r="K201" s="13"/>
      <c r="L201" s="31"/>
      <c r="O201" s="13"/>
    </row>
    <row r="202" spans="2:15" ht="12.75">
      <c r="B202" s="12"/>
      <c r="C202" s="12"/>
      <c r="G202" s="31"/>
      <c r="H202" s="31"/>
      <c r="I202" s="32"/>
      <c r="J202" s="31"/>
      <c r="K202" s="31"/>
      <c r="L202" s="31"/>
      <c r="O202" s="13"/>
    </row>
    <row r="203" spans="2:15" ht="12.75">
      <c r="B203" s="12"/>
      <c r="C203" s="12"/>
      <c r="G203" s="31"/>
      <c r="H203" s="31"/>
      <c r="I203" s="32"/>
      <c r="J203" s="31"/>
      <c r="K203" s="31"/>
      <c r="L203" s="31"/>
      <c r="O203" s="13"/>
    </row>
    <row r="204" spans="2:15" ht="12.75">
      <c r="B204" s="12"/>
      <c r="C204" s="12"/>
      <c r="E204" s="18"/>
      <c r="F204" s="18"/>
      <c r="G204" s="31"/>
      <c r="H204" s="18"/>
      <c r="I204" s="32"/>
      <c r="J204" s="18"/>
      <c r="K204" s="31"/>
      <c r="L204" s="25"/>
      <c r="O204" s="13"/>
    </row>
    <row r="205" spans="2:11" ht="12.75">
      <c r="B205" s="12"/>
      <c r="C205" s="12"/>
      <c r="G205" s="31"/>
      <c r="H205" s="31"/>
      <c r="I205" s="32"/>
      <c r="J205" s="31"/>
      <c r="K205" s="31"/>
    </row>
    <row r="206" spans="2:11" ht="12.75">
      <c r="B206" s="12"/>
      <c r="C206" s="12"/>
      <c r="G206" s="13"/>
      <c r="H206" s="31"/>
      <c r="I206" s="13"/>
      <c r="J206" s="31"/>
      <c r="K206" s="13"/>
    </row>
    <row r="207" spans="2:11" ht="12.75">
      <c r="B207" s="12"/>
      <c r="C207" s="12"/>
      <c r="G207" s="13"/>
      <c r="H207" s="31"/>
      <c r="I207" s="13"/>
      <c r="J207" s="31"/>
      <c r="K207" s="13"/>
    </row>
    <row r="208" spans="2:11" ht="12.75">
      <c r="B208" s="12"/>
      <c r="C208" s="12"/>
      <c r="G208" s="13"/>
      <c r="H208" s="31"/>
      <c r="I208" s="13"/>
      <c r="J208" s="31"/>
      <c r="K208" s="13"/>
    </row>
    <row r="209" spans="2:11" ht="12.75">
      <c r="B209" s="12"/>
      <c r="C209" s="12"/>
      <c r="G209" s="13"/>
      <c r="H209" s="31"/>
      <c r="I209" s="13"/>
      <c r="J209" s="31"/>
      <c r="K209" s="13"/>
    </row>
    <row r="210" spans="2:11" ht="12.75">
      <c r="B210" s="12"/>
      <c r="C210" s="12"/>
      <c r="G210" s="13"/>
      <c r="H210" s="31"/>
      <c r="I210" s="13"/>
      <c r="J210" s="31"/>
      <c r="K210" s="13"/>
    </row>
    <row r="211" spans="2:11" ht="12.75">
      <c r="B211" s="12"/>
      <c r="C211" s="12"/>
      <c r="G211" s="13"/>
      <c r="H211" s="31"/>
      <c r="I211" s="13"/>
      <c r="J211" s="31"/>
      <c r="K211" s="13"/>
    </row>
    <row r="212" spans="2:11" ht="12.75">
      <c r="B212" s="12"/>
      <c r="C212" s="12"/>
      <c r="G212" s="13"/>
      <c r="H212" s="31"/>
      <c r="I212" s="13"/>
      <c r="J212" s="31"/>
      <c r="K212" s="13"/>
    </row>
    <row r="213" spans="2:11" ht="12.75">
      <c r="B213" s="12"/>
      <c r="C213" s="12"/>
      <c r="G213" s="13"/>
      <c r="H213" s="31"/>
      <c r="I213" s="13"/>
      <c r="J213" s="31"/>
      <c r="K213" s="13"/>
    </row>
    <row r="214" spans="2:11" ht="12.75">
      <c r="B214" s="12"/>
      <c r="C214" s="12"/>
      <c r="G214" s="13"/>
      <c r="H214" s="31"/>
      <c r="I214" s="13"/>
      <c r="J214" s="31"/>
      <c r="K214" s="13"/>
    </row>
    <row r="215" spans="2:11" ht="12.75">
      <c r="B215" s="12"/>
      <c r="C215" s="12"/>
      <c r="G215" s="13"/>
      <c r="H215" s="31"/>
      <c r="I215" s="13"/>
      <c r="J215" s="31"/>
      <c r="K215" s="13"/>
    </row>
    <row r="216" spans="2:11" ht="12.75">
      <c r="B216" s="12"/>
      <c r="C216" s="12"/>
      <c r="G216" s="13"/>
      <c r="H216" s="31"/>
      <c r="I216" s="13"/>
      <c r="J216" s="31"/>
      <c r="K216" s="13"/>
    </row>
    <row r="217" spans="2:11" ht="12.75">
      <c r="B217" s="12"/>
      <c r="C217" s="12"/>
      <c r="G217" s="13"/>
      <c r="H217" s="31"/>
      <c r="I217" s="13"/>
      <c r="J217" s="31"/>
      <c r="K217" s="13"/>
    </row>
    <row r="218" spans="2:11" ht="12.75">
      <c r="B218" s="12"/>
      <c r="C218" s="12"/>
      <c r="G218" s="13"/>
      <c r="H218" s="31"/>
      <c r="I218" s="13"/>
      <c r="J218" s="31"/>
      <c r="K218" s="13"/>
    </row>
    <row r="219" spans="2:11" ht="12.75">
      <c r="B219" s="12"/>
      <c r="C219" s="12"/>
      <c r="G219" s="13"/>
      <c r="H219" s="31"/>
      <c r="I219" s="13"/>
      <c r="J219" s="31"/>
      <c r="K219" s="13"/>
    </row>
    <row r="220" spans="2:11" ht="12.75">
      <c r="B220" s="12"/>
      <c r="C220" s="12"/>
      <c r="G220" s="31"/>
      <c r="H220" s="31"/>
      <c r="I220" s="32"/>
      <c r="J220" s="31"/>
      <c r="K220" s="31"/>
    </row>
    <row r="221" spans="2:15" ht="12.75">
      <c r="B221" s="12"/>
      <c r="C221" s="12"/>
      <c r="G221" s="13"/>
      <c r="H221" s="31"/>
      <c r="I221" s="13"/>
      <c r="J221" s="31"/>
      <c r="K221" s="13"/>
      <c r="O221" s="14"/>
    </row>
    <row r="222" spans="2:15" ht="12.75">
      <c r="B222" s="12"/>
      <c r="C222" s="12"/>
      <c r="G222" s="13"/>
      <c r="H222" s="31"/>
      <c r="I222" s="13"/>
      <c r="J222" s="31"/>
      <c r="K222" s="13"/>
      <c r="O222" s="14"/>
    </row>
    <row r="223" spans="2:11" ht="12.75">
      <c r="B223" s="12"/>
      <c r="C223" s="12"/>
      <c r="G223" s="31"/>
      <c r="H223" s="31"/>
      <c r="I223" s="32"/>
      <c r="J223" s="31"/>
      <c r="K223" s="3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B1">
      <selection activeCell="A12" sqref="A12"/>
    </sheetView>
  </sheetViews>
  <sheetFormatPr defaultColWidth="9.140625" defaultRowHeight="12.75"/>
  <cols>
    <col min="1" max="1" width="9.140625" style="3" customWidth="1"/>
    <col min="2" max="2" width="18.00390625" style="2" customWidth="1"/>
    <col min="3" max="3" width="3.7109375" style="2" customWidth="1"/>
    <col min="4" max="4" width="9.28125" style="2" customWidth="1"/>
    <col min="5" max="5" width="2.8515625" style="3" customWidth="1"/>
    <col min="6" max="6" width="9.8515625" style="4" customWidth="1"/>
    <col min="7" max="7" width="2.00390625" style="4" customWidth="1"/>
    <col min="8" max="8" width="9.00390625" style="3" customWidth="1"/>
    <col min="9" max="9" width="2.7109375" style="3" customWidth="1"/>
    <col min="10" max="10" width="9.00390625" style="3" customWidth="1"/>
    <col min="11" max="11" width="2.28125" style="3" customWidth="1"/>
    <col min="12" max="12" width="8.7109375" style="3" customWidth="1"/>
    <col min="13" max="13" width="2.421875" style="3" customWidth="1"/>
    <col min="14" max="14" width="9.57421875" style="3" bestFit="1" customWidth="1"/>
    <col min="15" max="15" width="7.57421875" style="3" customWidth="1"/>
    <col min="16" max="16384" width="8.8515625" style="3" customWidth="1"/>
  </cols>
  <sheetData>
    <row r="1" spans="2:15" ht="12.75">
      <c r="B1" s="37" t="s">
        <v>165</v>
      </c>
      <c r="C1" s="37"/>
      <c r="D1" s="15"/>
      <c r="E1" s="38"/>
      <c r="F1" s="39"/>
      <c r="G1" s="39"/>
      <c r="H1" s="38"/>
      <c r="I1" s="38"/>
      <c r="J1" s="38"/>
      <c r="K1" s="38"/>
      <c r="L1" s="38"/>
      <c r="M1" s="38"/>
      <c r="N1" s="38"/>
      <c r="O1" s="38"/>
    </row>
    <row r="2" spans="2:15" ht="12.75">
      <c r="B2" s="15"/>
      <c r="C2" s="15"/>
      <c r="D2" s="15"/>
      <c r="E2" s="38"/>
      <c r="F2" s="40"/>
      <c r="G2" s="40"/>
      <c r="H2" s="40"/>
      <c r="I2" s="40"/>
      <c r="J2" s="40"/>
      <c r="K2" s="40"/>
      <c r="L2" s="66"/>
      <c r="M2" s="66"/>
      <c r="O2" s="38"/>
    </row>
    <row r="3" spans="2:15" ht="12.75">
      <c r="B3" s="15"/>
      <c r="C3" s="15"/>
      <c r="D3" s="15"/>
      <c r="E3" s="38"/>
      <c r="F3" s="39"/>
      <c r="G3" s="39"/>
      <c r="H3" s="38"/>
      <c r="I3" s="38"/>
      <c r="J3" s="38"/>
      <c r="K3" s="38"/>
      <c r="L3" s="38"/>
      <c r="M3" s="38"/>
      <c r="N3" s="38"/>
      <c r="O3" s="38"/>
    </row>
    <row r="4" spans="1:15" ht="12.75">
      <c r="A4" s="3" t="s">
        <v>95</v>
      </c>
      <c r="B4" s="37" t="s">
        <v>114</v>
      </c>
      <c r="C4" s="37" t="s">
        <v>94</v>
      </c>
      <c r="D4" s="15"/>
      <c r="E4" s="38"/>
      <c r="F4" s="66" t="s">
        <v>169</v>
      </c>
      <c r="G4" s="66"/>
      <c r="H4" s="40" t="s">
        <v>170</v>
      </c>
      <c r="I4" s="40"/>
      <c r="J4" s="40" t="s">
        <v>171</v>
      </c>
      <c r="K4" s="40"/>
      <c r="L4" s="40" t="s">
        <v>172</v>
      </c>
      <c r="M4" s="40"/>
      <c r="N4" s="25" t="s">
        <v>47</v>
      </c>
      <c r="O4" s="38"/>
    </row>
    <row r="5" spans="2:15" ht="12.75">
      <c r="B5" s="37"/>
      <c r="C5" s="37"/>
      <c r="D5" s="15"/>
      <c r="E5" s="38"/>
      <c r="H5" s="38"/>
      <c r="I5" s="38"/>
      <c r="J5" s="38"/>
      <c r="K5" s="38"/>
      <c r="L5" s="38"/>
      <c r="M5" s="38"/>
      <c r="N5" s="38"/>
      <c r="O5" s="38"/>
    </row>
    <row r="6" spans="2:15" ht="12.75">
      <c r="B6" s="15" t="s">
        <v>189</v>
      </c>
      <c r="C6" s="37"/>
      <c r="D6" s="15"/>
      <c r="E6" s="38"/>
      <c r="F6" s="4" t="s">
        <v>192</v>
      </c>
      <c r="H6" s="38" t="s">
        <v>192</v>
      </c>
      <c r="I6" s="38"/>
      <c r="J6" s="38" t="s">
        <v>192</v>
      </c>
      <c r="K6" s="38"/>
      <c r="L6" s="38" t="s">
        <v>192</v>
      </c>
      <c r="M6" s="38"/>
      <c r="N6" s="38" t="s">
        <v>192</v>
      </c>
      <c r="O6" s="38"/>
    </row>
    <row r="7" spans="2:17" ht="12.75">
      <c r="B7" s="15" t="s">
        <v>190</v>
      </c>
      <c r="C7" s="15"/>
      <c r="D7" s="15"/>
      <c r="E7" s="38"/>
      <c r="F7" s="4" t="s">
        <v>191</v>
      </c>
      <c r="H7" s="4" t="s">
        <v>191</v>
      </c>
      <c r="J7" s="4" t="s">
        <v>191</v>
      </c>
      <c r="L7" s="4" t="s">
        <v>191</v>
      </c>
      <c r="N7" s="4" t="s">
        <v>191</v>
      </c>
      <c r="O7" s="38"/>
      <c r="P7" s="38"/>
      <c r="Q7" s="23"/>
    </row>
    <row r="8" spans="2:17" ht="12.75">
      <c r="B8" s="15" t="s">
        <v>48</v>
      </c>
      <c r="C8" s="15"/>
      <c r="D8" s="15"/>
      <c r="E8" s="38"/>
      <c r="F8" s="39" t="s">
        <v>130</v>
      </c>
      <c r="G8" s="39"/>
      <c r="H8" s="39" t="s">
        <v>130</v>
      </c>
      <c r="I8" s="39"/>
      <c r="J8" s="39" t="s">
        <v>130</v>
      </c>
      <c r="K8" s="39"/>
      <c r="L8" s="39" t="s">
        <v>130</v>
      </c>
      <c r="M8" s="39"/>
      <c r="N8" s="39" t="s">
        <v>130</v>
      </c>
      <c r="O8" s="39"/>
      <c r="P8" s="39"/>
      <c r="Q8" s="39"/>
    </row>
    <row r="9" spans="2:18" ht="12.75">
      <c r="B9" s="15" t="s">
        <v>96</v>
      </c>
      <c r="C9" s="15"/>
      <c r="D9" s="15" t="s">
        <v>50</v>
      </c>
      <c r="E9" s="38"/>
      <c r="F9" s="41">
        <v>282.29</v>
      </c>
      <c r="G9" s="41"/>
      <c r="H9" s="3">
        <v>277.68</v>
      </c>
      <c r="J9" s="38">
        <v>260.22</v>
      </c>
      <c r="K9" s="38"/>
      <c r="L9" s="42">
        <v>287.14</v>
      </c>
      <c r="M9" s="42"/>
      <c r="O9" s="38"/>
      <c r="Q9" s="42"/>
      <c r="R9" s="6"/>
    </row>
    <row r="10" spans="2:15" ht="12.75">
      <c r="B10" s="15"/>
      <c r="C10" s="15"/>
      <c r="D10" s="15"/>
      <c r="E10" s="38"/>
      <c r="F10" s="41"/>
      <c r="G10" s="41"/>
      <c r="H10" s="42"/>
      <c r="I10" s="42"/>
      <c r="J10" s="38"/>
      <c r="K10" s="38"/>
      <c r="L10" s="42"/>
      <c r="M10" s="42"/>
      <c r="N10" s="38"/>
      <c r="O10" s="38"/>
    </row>
    <row r="11" spans="2:15" ht="12.75">
      <c r="B11" s="15"/>
      <c r="C11" s="15"/>
      <c r="D11" s="15"/>
      <c r="E11" s="38"/>
      <c r="F11" s="16"/>
      <c r="G11" s="16"/>
      <c r="H11" s="38"/>
      <c r="I11" s="38"/>
      <c r="J11" s="38"/>
      <c r="K11" s="38"/>
      <c r="L11" s="38"/>
      <c r="M11" s="38"/>
      <c r="N11" s="38"/>
      <c r="O11" s="38"/>
    </row>
    <row r="12" spans="1:15" ht="12.75">
      <c r="A12" s="3" t="s">
        <v>95</v>
      </c>
      <c r="B12" s="37" t="s">
        <v>125</v>
      </c>
      <c r="C12" s="37" t="s">
        <v>94</v>
      </c>
      <c r="D12" s="15"/>
      <c r="E12" s="38"/>
      <c r="F12" s="66" t="s">
        <v>169</v>
      </c>
      <c r="G12" s="66"/>
      <c r="H12" s="40" t="s">
        <v>170</v>
      </c>
      <c r="I12" s="40"/>
      <c r="J12" s="40" t="s">
        <v>171</v>
      </c>
      <c r="K12" s="40"/>
      <c r="L12" s="40" t="s">
        <v>172</v>
      </c>
      <c r="M12" s="40"/>
      <c r="N12" s="25" t="s">
        <v>47</v>
      </c>
      <c r="O12" s="38"/>
    </row>
    <row r="13" spans="2:15" ht="12.75">
      <c r="B13" s="37"/>
      <c r="C13" s="37"/>
      <c r="D13" s="15"/>
      <c r="E13" s="38"/>
      <c r="H13" s="38"/>
      <c r="I13" s="38"/>
      <c r="J13" s="38"/>
      <c r="K13" s="38"/>
      <c r="L13" s="38"/>
      <c r="M13" s="38"/>
      <c r="N13" s="38"/>
      <c r="O13" s="38"/>
    </row>
    <row r="14" spans="2:15" ht="12.75">
      <c r="B14" s="15" t="s">
        <v>189</v>
      </c>
      <c r="C14" s="37"/>
      <c r="D14" s="15"/>
      <c r="E14" s="38"/>
      <c r="F14" s="4" t="s">
        <v>192</v>
      </c>
      <c r="H14" s="38" t="s">
        <v>192</v>
      </c>
      <c r="I14" s="38"/>
      <c r="J14" s="38" t="s">
        <v>192</v>
      </c>
      <c r="K14" s="38"/>
      <c r="L14" s="38" t="s">
        <v>192</v>
      </c>
      <c r="M14" s="38"/>
      <c r="N14" s="38" t="s">
        <v>192</v>
      </c>
      <c r="O14" s="38"/>
    </row>
    <row r="15" spans="2:17" ht="12.75">
      <c r="B15" s="15" t="s">
        <v>190</v>
      </c>
      <c r="C15" s="15"/>
      <c r="D15" s="15"/>
      <c r="E15" s="38"/>
      <c r="F15" s="4" t="s">
        <v>191</v>
      </c>
      <c r="H15" s="4" t="s">
        <v>191</v>
      </c>
      <c r="J15" s="4" t="s">
        <v>191</v>
      </c>
      <c r="L15" s="4" t="s">
        <v>191</v>
      </c>
      <c r="N15" s="4" t="s">
        <v>191</v>
      </c>
      <c r="O15" s="38"/>
      <c r="P15" s="38"/>
      <c r="Q15" s="23"/>
    </row>
    <row r="16" spans="2:17" ht="12.75">
      <c r="B16" s="15" t="s">
        <v>48</v>
      </c>
      <c r="C16" s="15"/>
      <c r="D16" s="15"/>
      <c r="E16" s="38"/>
      <c r="F16" s="39" t="s">
        <v>130</v>
      </c>
      <c r="G16" s="39"/>
      <c r="H16" s="39" t="s">
        <v>130</v>
      </c>
      <c r="I16" s="39"/>
      <c r="J16" s="39" t="s">
        <v>130</v>
      </c>
      <c r="K16" s="39"/>
      <c r="L16" s="39" t="s">
        <v>130</v>
      </c>
      <c r="M16" s="39"/>
      <c r="N16" s="39" t="s">
        <v>130</v>
      </c>
      <c r="O16" s="39"/>
      <c r="P16" s="39"/>
      <c r="Q16" s="39"/>
    </row>
    <row r="17" spans="2:18" ht="12.75">
      <c r="B17" s="15" t="s">
        <v>96</v>
      </c>
      <c r="C17" s="15"/>
      <c r="D17" s="15" t="s">
        <v>50</v>
      </c>
      <c r="E17" s="38"/>
      <c r="F17" s="41">
        <v>74.95</v>
      </c>
      <c r="G17" s="41"/>
      <c r="H17" s="3">
        <v>76.23</v>
      </c>
      <c r="J17" s="38">
        <v>68.46</v>
      </c>
      <c r="K17" s="38"/>
      <c r="L17" s="42">
        <v>70.14</v>
      </c>
      <c r="M17" s="42"/>
      <c r="O17" s="38"/>
      <c r="Q17" s="42"/>
      <c r="R17" s="6"/>
    </row>
    <row r="18" spans="2:15" ht="12.75">
      <c r="B18" s="15"/>
      <c r="C18" s="15"/>
      <c r="D18" s="15"/>
      <c r="E18" s="38"/>
      <c r="F18" s="41"/>
      <c r="G18" s="41"/>
      <c r="H18" s="42"/>
      <c r="I18" s="42"/>
      <c r="J18" s="38"/>
      <c r="K18" s="38"/>
      <c r="L18" s="42"/>
      <c r="M18" s="42"/>
      <c r="N18" s="38"/>
      <c r="O18" s="3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B15">
      <selection activeCell="A12" sqref="A12"/>
    </sheetView>
  </sheetViews>
  <sheetFormatPr defaultColWidth="9.140625" defaultRowHeight="12.75"/>
  <cols>
    <col min="1" max="1" width="3.421875" style="0" hidden="1" customWidth="1"/>
    <col min="2" max="2" width="25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10" t="s">
        <v>63</v>
      </c>
      <c r="C1" s="18"/>
      <c r="D1" s="18"/>
      <c r="E1" s="18"/>
      <c r="F1" s="18"/>
    </row>
    <row r="2" spans="2:6" ht="12.75">
      <c r="B2" s="18"/>
      <c r="C2" s="18"/>
      <c r="D2" s="18"/>
      <c r="E2" s="18"/>
      <c r="F2" s="18"/>
    </row>
    <row r="3" spans="1:8" ht="12.75">
      <c r="A3" t="s">
        <v>95</v>
      </c>
      <c r="B3" s="10" t="s">
        <v>114</v>
      </c>
      <c r="C3" s="18"/>
      <c r="D3" s="18"/>
      <c r="E3" s="71" t="s">
        <v>169</v>
      </c>
      <c r="F3" s="71" t="s">
        <v>170</v>
      </c>
      <c r="G3" s="71" t="s">
        <v>171</v>
      </c>
      <c r="H3" s="71" t="s">
        <v>172</v>
      </c>
    </row>
    <row r="4" spans="2:6" ht="12.75">
      <c r="B4" s="18"/>
      <c r="C4" s="18"/>
      <c r="D4" s="18"/>
      <c r="E4" s="18"/>
      <c r="F4" s="18"/>
    </row>
    <row r="5" spans="2:8" ht="12.75">
      <c r="B5" s="18" t="s">
        <v>131</v>
      </c>
      <c r="C5" s="18" t="s">
        <v>108</v>
      </c>
      <c r="D5" s="18"/>
      <c r="E5">
        <v>28.79</v>
      </c>
      <c r="F5">
        <v>30.1</v>
      </c>
      <c r="G5">
        <v>26.05</v>
      </c>
      <c r="H5">
        <v>28.08</v>
      </c>
    </row>
    <row r="6" spans="2:8" ht="14.25">
      <c r="B6" s="18" t="s">
        <v>132</v>
      </c>
      <c r="C6" s="18" t="s">
        <v>108</v>
      </c>
      <c r="D6" s="11"/>
      <c r="E6" s="18">
        <v>-0.65</v>
      </c>
      <c r="F6">
        <v>-0.65</v>
      </c>
      <c r="G6">
        <v>-0.6</v>
      </c>
      <c r="H6">
        <v>-0.65</v>
      </c>
    </row>
    <row r="7" spans="2:8" ht="12.75">
      <c r="B7" s="18" t="s">
        <v>133</v>
      </c>
      <c r="C7" s="18" t="s">
        <v>108</v>
      </c>
      <c r="D7" s="18"/>
      <c r="E7" s="18">
        <v>9.99</v>
      </c>
      <c r="F7">
        <v>10.6</v>
      </c>
      <c r="G7">
        <v>9.42</v>
      </c>
      <c r="H7">
        <v>9.83</v>
      </c>
    </row>
    <row r="8" spans="2:8" ht="12.75">
      <c r="B8" s="18" t="s">
        <v>134</v>
      </c>
      <c r="C8" s="18" t="s">
        <v>138</v>
      </c>
      <c r="D8" s="18"/>
      <c r="E8" s="18">
        <v>111.97</v>
      </c>
      <c r="F8">
        <v>113.66</v>
      </c>
      <c r="G8">
        <v>114.85</v>
      </c>
      <c r="H8">
        <v>131.05</v>
      </c>
    </row>
    <row r="9" spans="2:8" ht="12.75">
      <c r="B9" s="18" t="s">
        <v>135</v>
      </c>
      <c r="C9" s="18" t="s">
        <v>138</v>
      </c>
      <c r="D9" s="18"/>
      <c r="E9" s="18">
        <v>219.8</v>
      </c>
      <c r="F9">
        <v>219.78</v>
      </c>
      <c r="G9">
        <v>219.8</v>
      </c>
      <c r="H9">
        <v>219.78</v>
      </c>
    </row>
    <row r="10" spans="2:8" ht="14.25">
      <c r="B10" s="18" t="s">
        <v>136</v>
      </c>
      <c r="C10" s="11" t="s">
        <v>54</v>
      </c>
      <c r="D10" s="18"/>
      <c r="E10" s="18">
        <v>1314.5</v>
      </c>
      <c r="F10">
        <v>1350.35</v>
      </c>
      <c r="G10">
        <v>1331.26</v>
      </c>
      <c r="H10">
        <v>1368.75</v>
      </c>
    </row>
    <row r="11" spans="2:8" ht="14.25">
      <c r="B11" s="18" t="s">
        <v>141</v>
      </c>
      <c r="C11" s="11" t="s">
        <v>54</v>
      </c>
      <c r="D11" s="18"/>
      <c r="E11" s="18">
        <v>1424.39</v>
      </c>
      <c r="F11">
        <v>1428.16</v>
      </c>
      <c r="G11">
        <v>1388.42</v>
      </c>
      <c r="H11">
        <v>1407.78</v>
      </c>
    </row>
    <row r="12" spans="2:8" ht="14.25">
      <c r="B12" s="18" t="s">
        <v>140</v>
      </c>
      <c r="C12" s="11" t="s">
        <v>54</v>
      </c>
      <c r="D12" s="18"/>
      <c r="E12" s="18">
        <v>1096.13</v>
      </c>
      <c r="F12">
        <v>1095.72</v>
      </c>
      <c r="G12">
        <v>1095.62</v>
      </c>
      <c r="H12">
        <v>1080.23</v>
      </c>
    </row>
    <row r="13" spans="2:8" ht="14.25">
      <c r="B13" s="18" t="s">
        <v>139</v>
      </c>
      <c r="C13" s="11" t="s">
        <v>54</v>
      </c>
      <c r="D13" s="18"/>
      <c r="E13" s="18">
        <v>1986.3</v>
      </c>
      <c r="F13">
        <v>1966.74</v>
      </c>
      <c r="G13">
        <v>1960.88</v>
      </c>
      <c r="H13">
        <v>1955.67</v>
      </c>
    </row>
    <row r="14" spans="2:8" ht="14.25">
      <c r="B14" s="18" t="s">
        <v>137</v>
      </c>
      <c r="C14" s="11" t="s">
        <v>54</v>
      </c>
      <c r="D14" s="18"/>
      <c r="E14" s="18">
        <v>163.77</v>
      </c>
      <c r="F14">
        <v>164.26</v>
      </c>
      <c r="G14">
        <v>164</v>
      </c>
      <c r="H14">
        <v>162.45</v>
      </c>
    </row>
    <row r="15" spans="2:6" ht="12.75">
      <c r="B15" s="18"/>
      <c r="C15" s="18"/>
      <c r="D15" s="18"/>
      <c r="E15" s="18"/>
      <c r="F15" s="18"/>
    </row>
    <row r="16" spans="1:8" ht="12.75">
      <c r="A16" t="s">
        <v>95</v>
      </c>
      <c r="B16" s="10" t="s">
        <v>125</v>
      </c>
      <c r="C16" s="18"/>
      <c r="D16" s="18"/>
      <c r="E16" s="71" t="s">
        <v>169</v>
      </c>
      <c r="F16" s="71" t="s">
        <v>170</v>
      </c>
      <c r="G16" s="71" t="s">
        <v>171</v>
      </c>
      <c r="H16" s="71" t="s">
        <v>172</v>
      </c>
    </row>
    <row r="17" spans="2:6" ht="12.75">
      <c r="B17" s="18"/>
      <c r="C17" s="18"/>
      <c r="D17" s="18"/>
      <c r="E17" s="18"/>
      <c r="F17" s="18"/>
    </row>
    <row r="18" spans="2:8" ht="12.75">
      <c r="B18" s="18" t="s">
        <v>131</v>
      </c>
      <c r="C18" s="18" t="s">
        <v>108</v>
      </c>
      <c r="D18" s="18"/>
      <c r="E18">
        <v>25.32</v>
      </c>
      <c r="F18">
        <v>25.28</v>
      </c>
      <c r="G18">
        <v>25.13</v>
      </c>
      <c r="H18">
        <v>22.22</v>
      </c>
    </row>
    <row r="19" spans="2:8" ht="12.75">
      <c r="B19" s="18" t="s">
        <v>133</v>
      </c>
      <c r="C19" s="18" t="s">
        <v>108</v>
      </c>
      <c r="D19" s="18"/>
      <c r="E19" s="18">
        <v>31.63</v>
      </c>
      <c r="F19">
        <v>30.11</v>
      </c>
      <c r="G19">
        <v>34.32</v>
      </c>
      <c r="H19">
        <v>36.46</v>
      </c>
    </row>
    <row r="20" spans="2:8" ht="12.75">
      <c r="B20" s="18" t="s">
        <v>134</v>
      </c>
      <c r="C20" s="18" t="s">
        <v>138</v>
      </c>
      <c r="D20" s="18"/>
      <c r="E20" s="18">
        <v>121.64</v>
      </c>
      <c r="F20">
        <v>125.08</v>
      </c>
      <c r="G20">
        <v>125.68</v>
      </c>
      <c r="H20">
        <v>126.55</v>
      </c>
    </row>
    <row r="21" spans="2:8" ht="12.75">
      <c r="B21" s="18" t="s">
        <v>135</v>
      </c>
      <c r="C21" s="18" t="s">
        <v>138</v>
      </c>
      <c r="D21" s="18"/>
      <c r="E21" s="18">
        <v>205.6</v>
      </c>
      <c r="F21">
        <v>205.61</v>
      </c>
      <c r="G21">
        <v>205.61</v>
      </c>
      <c r="H21">
        <v>205.6</v>
      </c>
    </row>
    <row r="22" spans="2:8" ht="14.25">
      <c r="B22" s="18" t="s">
        <v>136</v>
      </c>
      <c r="C22" s="11" t="s">
        <v>54</v>
      </c>
      <c r="D22" s="18"/>
      <c r="E22" s="18">
        <v>1287.85</v>
      </c>
      <c r="F22">
        <v>1320.64</v>
      </c>
      <c r="G22">
        <v>1317.18</v>
      </c>
      <c r="H22">
        <v>1267.59</v>
      </c>
    </row>
    <row r="23" spans="2:8" ht="14.25">
      <c r="B23" s="18" t="s">
        <v>140</v>
      </c>
      <c r="C23" s="11" t="s">
        <v>54</v>
      </c>
      <c r="D23" s="18"/>
      <c r="E23" s="18">
        <v>1061.56</v>
      </c>
      <c r="F23">
        <v>1112.14</v>
      </c>
      <c r="G23">
        <v>1104.8</v>
      </c>
      <c r="H23">
        <v>1107.59</v>
      </c>
    </row>
    <row r="24" spans="2:8" ht="14.25">
      <c r="B24" s="18" t="s">
        <v>139</v>
      </c>
      <c r="C24" s="11" t="s">
        <v>54</v>
      </c>
      <c r="D24" s="18"/>
      <c r="E24" s="18">
        <v>1962.54</v>
      </c>
      <c r="F24">
        <v>1974.78</v>
      </c>
      <c r="G24">
        <v>1953.37</v>
      </c>
      <c r="H24">
        <v>1954.33</v>
      </c>
    </row>
    <row r="25" spans="2:8" ht="14.25">
      <c r="B25" s="18" t="s">
        <v>137</v>
      </c>
      <c r="C25" s="11" t="s">
        <v>54</v>
      </c>
      <c r="D25" s="18"/>
      <c r="E25" s="18">
        <v>163.58</v>
      </c>
      <c r="F25">
        <v>164.4</v>
      </c>
      <c r="G25">
        <v>164.12</v>
      </c>
      <c r="H25">
        <v>164.62</v>
      </c>
    </row>
    <row r="26" spans="2:6" ht="12.75">
      <c r="B26" s="18"/>
      <c r="C26" s="18"/>
      <c r="D26" s="18"/>
      <c r="E26" s="18"/>
      <c r="F26" s="18"/>
    </row>
    <row r="27" spans="1:8" ht="12.75">
      <c r="A27" t="s">
        <v>95</v>
      </c>
      <c r="B27" s="10" t="s">
        <v>142</v>
      </c>
      <c r="C27" s="18"/>
      <c r="D27" s="18"/>
      <c r="E27" s="71" t="s">
        <v>169</v>
      </c>
      <c r="F27" s="71" t="s">
        <v>170</v>
      </c>
      <c r="G27" s="71" t="s">
        <v>171</v>
      </c>
      <c r="H27" s="71"/>
    </row>
    <row r="28" spans="2:6" ht="12.75">
      <c r="B28" s="18"/>
      <c r="C28" s="18"/>
      <c r="D28" s="18"/>
      <c r="E28" s="18"/>
      <c r="F28" s="18"/>
    </row>
    <row r="29" spans="2:7" ht="12.75">
      <c r="B29" s="18" t="s">
        <v>131</v>
      </c>
      <c r="C29" s="18" t="s">
        <v>108</v>
      </c>
      <c r="D29" s="18"/>
      <c r="E29">
        <v>29.09</v>
      </c>
      <c r="F29">
        <v>34.2</v>
      </c>
      <c r="G29">
        <v>29.48</v>
      </c>
    </row>
    <row r="30" spans="2:7" ht="14.25">
      <c r="B30" s="18" t="s">
        <v>132</v>
      </c>
      <c r="C30" s="18" t="s">
        <v>108</v>
      </c>
      <c r="D30" s="11"/>
      <c r="E30" s="18">
        <v>0.45</v>
      </c>
      <c r="F30">
        <v>0.7</v>
      </c>
      <c r="G30">
        <v>0.7</v>
      </c>
    </row>
    <row r="31" spans="2:7" ht="12.75">
      <c r="B31" s="18" t="s">
        <v>133</v>
      </c>
      <c r="C31" s="18" t="s">
        <v>108</v>
      </c>
      <c r="D31" s="18"/>
      <c r="E31" s="18">
        <v>16.82</v>
      </c>
      <c r="F31">
        <v>18.49</v>
      </c>
      <c r="G31">
        <v>29.93</v>
      </c>
    </row>
    <row r="32" spans="2:7" ht="12.75">
      <c r="B32" s="18" t="s">
        <v>134</v>
      </c>
      <c r="C32" s="18" t="s">
        <v>138</v>
      </c>
      <c r="D32" s="18"/>
      <c r="E32" s="18">
        <v>125.48</v>
      </c>
      <c r="F32">
        <v>126.61</v>
      </c>
      <c r="G32">
        <v>127.61</v>
      </c>
    </row>
    <row r="33" spans="2:7" ht="12.75">
      <c r="B33" s="18" t="s">
        <v>135</v>
      </c>
      <c r="C33" s="18" t="s">
        <v>138</v>
      </c>
      <c r="D33" s="18"/>
      <c r="E33" s="18">
        <v>199.76</v>
      </c>
      <c r="F33">
        <v>199.77</v>
      </c>
      <c r="G33">
        <v>199.79</v>
      </c>
    </row>
    <row r="34" spans="2:7" ht="14.25">
      <c r="B34" s="18" t="s">
        <v>136</v>
      </c>
      <c r="C34" s="11" t="s">
        <v>54</v>
      </c>
      <c r="D34" s="18"/>
      <c r="E34" s="18">
        <v>1222.93</v>
      </c>
      <c r="F34">
        <v>1420.74</v>
      </c>
      <c r="G34">
        <v>1219.81</v>
      </c>
    </row>
    <row r="35" spans="2:7" ht="14.25">
      <c r="B35" s="18" t="s">
        <v>141</v>
      </c>
      <c r="C35" s="11" t="s">
        <v>54</v>
      </c>
      <c r="D35" s="18"/>
      <c r="E35" s="18">
        <v>1210.41</v>
      </c>
      <c r="F35">
        <v>1326.1</v>
      </c>
      <c r="G35">
        <v>1616.51</v>
      </c>
    </row>
    <row r="36" spans="2:7" ht="14.25">
      <c r="B36" s="18" t="s">
        <v>140</v>
      </c>
      <c r="C36" s="11" t="s">
        <v>54</v>
      </c>
      <c r="D36" s="18"/>
      <c r="E36" s="18">
        <v>1047.19</v>
      </c>
      <c r="F36">
        <v>1087.55</v>
      </c>
      <c r="G36">
        <v>1078.58</v>
      </c>
    </row>
    <row r="37" spans="2:7" ht="14.25">
      <c r="B37" s="18" t="s">
        <v>139</v>
      </c>
      <c r="C37" s="11" t="s">
        <v>54</v>
      </c>
      <c r="D37" s="18"/>
      <c r="E37" s="18">
        <v>2027.02</v>
      </c>
      <c r="F37">
        <v>2026.76</v>
      </c>
      <c r="G37">
        <v>2030.14</v>
      </c>
    </row>
    <row r="38" spans="2:7" ht="14.25">
      <c r="B38" s="18" t="s">
        <v>137</v>
      </c>
      <c r="C38" s="11" t="s">
        <v>54</v>
      </c>
      <c r="D38" s="18"/>
      <c r="E38" s="18">
        <v>163.24</v>
      </c>
      <c r="F38">
        <v>163.93</v>
      </c>
      <c r="G38">
        <v>164.6</v>
      </c>
    </row>
    <row r="39" spans="2:6" ht="12.75">
      <c r="B39" s="18"/>
      <c r="C39" s="18"/>
      <c r="D39" s="18"/>
      <c r="E39" s="46"/>
      <c r="F39" s="18"/>
    </row>
    <row r="40" spans="2:6" ht="14.25">
      <c r="B40" s="18"/>
      <c r="C40" s="11"/>
      <c r="E40" s="18"/>
      <c r="F40" s="18"/>
    </row>
    <row r="41" spans="2:6" ht="12.75">
      <c r="B41" s="18"/>
      <c r="C41" s="18"/>
      <c r="E41" s="18"/>
      <c r="F41" s="18"/>
    </row>
    <row r="42" spans="2:6" ht="14.25">
      <c r="B42" s="18"/>
      <c r="C42" s="11"/>
      <c r="D42" s="18"/>
      <c r="E42" s="45"/>
      <c r="F42" s="18"/>
    </row>
    <row r="43" spans="2:6" ht="14.25">
      <c r="B43" s="18"/>
      <c r="C43" s="11"/>
      <c r="D43" s="18"/>
      <c r="E43" s="18"/>
      <c r="F43" s="1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87"/>
  <sheetViews>
    <sheetView workbookViewId="0" topLeftCell="C1">
      <selection activeCell="A12" sqref="A1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28125" style="0" customWidth="1"/>
    <col min="4" max="4" width="4.57421875" style="0" customWidth="1"/>
    <col min="5" max="6" width="7.140625" style="0" bestFit="1" customWidth="1"/>
    <col min="7" max="8" width="6.7109375" style="0" bestFit="1" customWidth="1"/>
    <col min="9" max="9" width="3.421875" style="0" customWidth="1"/>
    <col min="10" max="11" width="7.140625" style="0" bestFit="1" customWidth="1"/>
    <col min="12" max="13" width="6.7109375" style="0" bestFit="1" customWidth="1"/>
    <col min="14" max="14" width="4.421875" style="0" customWidth="1"/>
    <col min="15" max="16" width="7.140625" style="0" bestFit="1" customWidth="1"/>
    <col min="17" max="18" width="6.7109375" style="0" bestFit="1" customWidth="1"/>
    <col min="19" max="19" width="3.7109375" style="0" customWidth="1"/>
    <col min="20" max="21" width="7.140625" style="0" bestFit="1" customWidth="1"/>
    <col min="22" max="23" width="6.7109375" style="0" bestFit="1" customWidth="1"/>
  </cols>
  <sheetData>
    <row r="1" spans="1:19" ht="12.75">
      <c r="A1" s="55" t="s">
        <v>65</v>
      </c>
      <c r="B1" s="38"/>
      <c r="C1" s="38"/>
      <c r="D1" s="38"/>
      <c r="E1" s="47"/>
      <c r="F1" s="47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2.75">
      <c r="A2" s="38" t="s">
        <v>196</v>
      </c>
      <c r="B2" s="38"/>
      <c r="C2" s="38"/>
      <c r="D2" s="38"/>
      <c r="E2" s="47"/>
      <c r="F2" s="47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38" t="s">
        <v>20</v>
      </c>
      <c r="B3" s="38"/>
      <c r="C3" s="15" t="str">
        <f>source!C5</f>
        <v>CAMDS Tooele Army Depot South (TOCDF)</v>
      </c>
      <c r="D3" s="15"/>
      <c r="E3" s="47"/>
      <c r="F3" s="47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.75">
      <c r="A4" s="38" t="s">
        <v>21</v>
      </c>
      <c r="B4" s="38"/>
      <c r="C4" s="15" t="s">
        <v>114</v>
      </c>
      <c r="D4" s="15"/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38" t="s">
        <v>22</v>
      </c>
      <c r="B5" s="38"/>
      <c r="C5" s="18" t="str">
        <f>cond!C10</f>
        <v>Trial burn, mixed agent VX/munitions feed</v>
      </c>
      <c r="D5" s="18"/>
      <c r="E5" s="18"/>
      <c r="F5" s="18"/>
      <c r="G5" s="18"/>
      <c r="H5" s="18"/>
      <c r="I5" s="18"/>
      <c r="J5" s="18"/>
      <c r="K5" s="18"/>
      <c r="L5" s="18"/>
      <c r="M5" s="47"/>
      <c r="N5" s="47"/>
      <c r="O5" s="47"/>
      <c r="P5" s="47"/>
      <c r="Q5" s="47"/>
      <c r="R5" s="47"/>
      <c r="S5" s="47"/>
    </row>
    <row r="6" spans="1:19" ht="12.75">
      <c r="A6" s="38"/>
      <c r="B6" s="38"/>
      <c r="C6" s="40"/>
      <c r="D6" s="40"/>
      <c r="E6" s="51"/>
      <c r="F6" s="51"/>
      <c r="G6" s="51"/>
      <c r="H6" s="48"/>
      <c r="I6" s="47"/>
      <c r="J6" s="51"/>
      <c r="K6" s="51"/>
      <c r="L6" s="51"/>
      <c r="M6" s="47"/>
      <c r="N6" s="47"/>
      <c r="O6" s="51"/>
      <c r="P6" s="51"/>
      <c r="Q6" s="51"/>
      <c r="R6" s="47"/>
      <c r="S6" s="47"/>
    </row>
    <row r="7" spans="1:23" s="70" customFormat="1" ht="12.75">
      <c r="A7" s="38"/>
      <c r="B7" s="38"/>
      <c r="C7" s="40" t="s">
        <v>23</v>
      </c>
      <c r="D7" s="40"/>
      <c r="E7" s="52" t="s">
        <v>51</v>
      </c>
      <c r="F7" s="52"/>
      <c r="G7" s="52"/>
      <c r="H7" s="52"/>
      <c r="I7" s="17"/>
      <c r="J7" s="52" t="s">
        <v>52</v>
      </c>
      <c r="K7" s="52"/>
      <c r="L7" s="52"/>
      <c r="M7" s="52"/>
      <c r="N7" s="17"/>
      <c r="O7" s="52" t="s">
        <v>53</v>
      </c>
      <c r="P7" s="52"/>
      <c r="Q7" s="52"/>
      <c r="R7" s="52"/>
      <c r="S7" s="52"/>
      <c r="T7" s="52" t="s">
        <v>118</v>
      </c>
      <c r="U7" s="52"/>
      <c r="V7" s="52"/>
      <c r="W7" s="52"/>
    </row>
    <row r="8" spans="1:23" s="70" customFormat="1" ht="12.75">
      <c r="A8" s="38"/>
      <c r="B8" s="38"/>
      <c r="C8" s="40" t="s">
        <v>24</v>
      </c>
      <c r="D8" s="38"/>
      <c r="E8" s="51" t="s">
        <v>25</v>
      </c>
      <c r="F8" s="51" t="s">
        <v>27</v>
      </c>
      <c r="G8" s="51" t="s">
        <v>25</v>
      </c>
      <c r="H8" s="50" t="s">
        <v>26</v>
      </c>
      <c r="I8" s="47"/>
      <c r="J8" s="51" t="s">
        <v>25</v>
      </c>
      <c r="K8" s="51" t="s">
        <v>27</v>
      </c>
      <c r="L8" s="51" t="s">
        <v>25</v>
      </c>
      <c r="M8" s="51" t="s">
        <v>27</v>
      </c>
      <c r="N8" s="47"/>
      <c r="O8" s="51" t="s">
        <v>25</v>
      </c>
      <c r="P8" s="51" t="s">
        <v>27</v>
      </c>
      <c r="Q8" s="51" t="s">
        <v>25</v>
      </c>
      <c r="R8" s="51" t="s">
        <v>27</v>
      </c>
      <c r="S8" s="51"/>
      <c r="T8" s="51" t="s">
        <v>25</v>
      </c>
      <c r="U8" s="51" t="s">
        <v>27</v>
      </c>
      <c r="V8" s="51" t="s">
        <v>25</v>
      </c>
      <c r="W8" s="51" t="s">
        <v>27</v>
      </c>
    </row>
    <row r="9" spans="1:23" s="70" customFormat="1" ht="12.75">
      <c r="A9" s="38"/>
      <c r="B9" s="38"/>
      <c r="C9" s="40"/>
      <c r="D9" s="38"/>
      <c r="E9" s="51" t="s">
        <v>194</v>
      </c>
      <c r="F9" s="51" t="s">
        <v>194</v>
      </c>
      <c r="G9" s="51" t="s">
        <v>64</v>
      </c>
      <c r="H9" s="50" t="s">
        <v>64</v>
      </c>
      <c r="I9" s="47"/>
      <c r="J9" s="51" t="s">
        <v>194</v>
      </c>
      <c r="K9" s="51" t="s">
        <v>194</v>
      </c>
      <c r="L9" s="51" t="s">
        <v>64</v>
      </c>
      <c r="M9" s="50" t="s">
        <v>64</v>
      </c>
      <c r="N9" s="47"/>
      <c r="O9" s="51" t="s">
        <v>194</v>
      </c>
      <c r="P9" s="51" t="s">
        <v>194</v>
      </c>
      <c r="Q9" s="51" t="s">
        <v>64</v>
      </c>
      <c r="R9" s="50" t="s">
        <v>64</v>
      </c>
      <c r="S9" s="50"/>
      <c r="T9" s="51" t="s">
        <v>194</v>
      </c>
      <c r="U9" s="51" t="s">
        <v>194</v>
      </c>
      <c r="V9" s="51" t="s">
        <v>64</v>
      </c>
      <c r="W9" s="50" t="s">
        <v>64</v>
      </c>
    </row>
    <row r="10" spans="1:23" ht="12.75">
      <c r="A10" s="38" t="s">
        <v>117</v>
      </c>
      <c r="B10" s="38"/>
      <c r="C10" s="38"/>
      <c r="D10" s="38"/>
      <c r="E10" s="47"/>
      <c r="F10" s="48"/>
      <c r="G10" s="47"/>
      <c r="H10" s="48"/>
      <c r="I10" s="47"/>
      <c r="J10" s="47"/>
      <c r="K10" s="47"/>
      <c r="L10" s="47"/>
      <c r="M10" s="47"/>
      <c r="N10" s="47"/>
      <c r="O10" s="42"/>
      <c r="P10" s="47"/>
      <c r="Q10" s="47"/>
      <c r="R10" s="47"/>
      <c r="S10" s="47"/>
      <c r="T10" s="42"/>
      <c r="U10" s="47"/>
      <c r="V10" s="47"/>
      <c r="W10" s="47"/>
    </row>
    <row r="11" spans="1:23" ht="12.75">
      <c r="A11" s="38"/>
      <c r="B11" s="38" t="s">
        <v>28</v>
      </c>
      <c r="C11" s="40">
        <v>1</v>
      </c>
      <c r="D11" s="40"/>
      <c r="E11" s="44"/>
      <c r="F11" s="44">
        <f aca="true" t="shared" si="0" ref="F11:H27">IF(E11="","",E11*$C11)</f>
      </c>
      <c r="G11" s="44">
        <f aca="true" t="shared" si="1" ref="G11:G27">IF(E11=0,"",IF(D11="nd",E11/2,E11))</f>
      </c>
      <c r="H11" s="44">
        <f t="shared" si="0"/>
      </c>
      <c r="I11" s="48"/>
      <c r="J11" s="18"/>
      <c r="K11" s="44">
        <f aca="true" t="shared" si="2" ref="K11:M27">IF(J11="","",J11*$C11)</f>
      </c>
      <c r="L11" s="44">
        <f>IF(J11=0,"",IF(I11="nd",J11/2,J11))</f>
      </c>
      <c r="M11" s="44">
        <f t="shared" si="2"/>
      </c>
      <c r="N11" s="48"/>
      <c r="O11" s="53"/>
      <c r="P11" s="53">
        <f aca="true" t="shared" si="3" ref="P11:R27">IF(O11="","",O11*$C11)</f>
      </c>
      <c r="Q11" s="53">
        <f>IF(O11=0,"",IF(N11="nd",O11/2,O11))</f>
      </c>
      <c r="R11" s="53">
        <f t="shared" si="3"/>
      </c>
      <c r="S11" s="53"/>
      <c r="T11" s="53"/>
      <c r="U11" s="53">
        <f aca="true" t="shared" si="4" ref="U11:W35">IF(T11="","",T11*$C11)</f>
      </c>
      <c r="V11" s="53">
        <f>IF(T11=0,"",IF(R11="nd",T11/2,T11))</f>
      </c>
      <c r="W11" s="53">
        <f t="shared" si="4"/>
      </c>
    </row>
    <row r="12" spans="1:23" ht="12.75">
      <c r="A12" s="38"/>
      <c r="B12" s="38" t="s">
        <v>29</v>
      </c>
      <c r="C12" s="40">
        <v>0.5</v>
      </c>
      <c r="D12" s="40"/>
      <c r="E12" s="44"/>
      <c r="F12" s="44">
        <f t="shared" si="0"/>
      </c>
      <c r="G12" s="44">
        <f t="shared" si="1"/>
      </c>
      <c r="H12" s="44">
        <f t="shared" si="0"/>
      </c>
      <c r="I12" s="48"/>
      <c r="J12" s="18"/>
      <c r="K12" s="44">
        <f t="shared" si="2"/>
      </c>
      <c r="L12" s="44">
        <f aca="true" t="shared" si="5" ref="L12:L27">IF(J12=0,"",IF(I12="nd",J12/2,J12))</f>
      </c>
      <c r="M12" s="44">
        <f t="shared" si="2"/>
      </c>
      <c r="N12" s="48"/>
      <c r="O12" s="54"/>
      <c r="P12" s="53">
        <f t="shared" si="3"/>
      </c>
      <c r="Q12" s="53">
        <f aca="true" t="shared" si="6" ref="Q12:Q27">IF(O12=0,"",IF(N12="nd",O12/2,O12))</f>
      </c>
      <c r="R12" s="53">
        <f t="shared" si="3"/>
      </c>
      <c r="S12" s="53"/>
      <c r="T12" s="54"/>
      <c r="U12" s="53">
        <f t="shared" si="4"/>
      </c>
      <c r="V12" s="53">
        <f aca="true" t="shared" si="7" ref="V12:V35">IF(T12=0,"",IF(R12="nd",T12/2,T12))</f>
      </c>
      <c r="W12" s="53">
        <f t="shared" si="4"/>
      </c>
    </row>
    <row r="13" spans="1:23" ht="12.75">
      <c r="A13" s="38"/>
      <c r="B13" s="38" t="s">
        <v>30</v>
      </c>
      <c r="C13" s="40">
        <v>0.1</v>
      </c>
      <c r="D13" s="40"/>
      <c r="E13" s="44"/>
      <c r="F13" s="44">
        <f t="shared" si="0"/>
      </c>
      <c r="G13" s="44">
        <f t="shared" si="1"/>
      </c>
      <c r="H13" s="44">
        <f t="shared" si="0"/>
      </c>
      <c r="I13" s="48"/>
      <c r="J13" s="18"/>
      <c r="K13" s="44">
        <f t="shared" si="2"/>
      </c>
      <c r="L13" s="44">
        <f t="shared" si="5"/>
      </c>
      <c r="M13" s="44">
        <f t="shared" si="2"/>
      </c>
      <c r="N13" s="48"/>
      <c r="O13" s="54"/>
      <c r="P13" s="53">
        <f t="shared" si="3"/>
      </c>
      <c r="Q13" s="53">
        <f t="shared" si="6"/>
      </c>
      <c r="R13" s="53">
        <f t="shared" si="3"/>
      </c>
      <c r="S13" s="53"/>
      <c r="T13" s="54"/>
      <c r="U13" s="53">
        <f t="shared" si="4"/>
      </c>
      <c r="V13" s="53">
        <f t="shared" si="7"/>
      </c>
      <c r="W13" s="53">
        <f t="shared" si="4"/>
      </c>
    </row>
    <row r="14" spans="1:23" ht="12.75">
      <c r="A14" s="38"/>
      <c r="B14" s="38" t="s">
        <v>31</v>
      </c>
      <c r="C14" s="40">
        <v>0.1</v>
      </c>
      <c r="D14" s="40"/>
      <c r="E14" s="44"/>
      <c r="F14" s="44">
        <f t="shared" si="0"/>
      </c>
      <c r="G14" s="44">
        <f t="shared" si="1"/>
      </c>
      <c r="H14" s="44">
        <f t="shared" si="0"/>
      </c>
      <c r="I14" s="48"/>
      <c r="J14" s="18"/>
      <c r="K14" s="44">
        <f t="shared" si="2"/>
      </c>
      <c r="L14" s="44">
        <f t="shared" si="5"/>
      </c>
      <c r="M14" s="44">
        <f t="shared" si="2"/>
      </c>
      <c r="N14" s="48"/>
      <c r="O14" s="54"/>
      <c r="P14" s="53">
        <f t="shared" si="3"/>
      </c>
      <c r="Q14" s="53">
        <f t="shared" si="6"/>
      </c>
      <c r="R14" s="53">
        <f t="shared" si="3"/>
      </c>
      <c r="S14" s="53"/>
      <c r="T14" s="54"/>
      <c r="U14" s="53">
        <f t="shared" si="4"/>
      </c>
      <c r="V14" s="53">
        <f t="shared" si="7"/>
      </c>
      <c r="W14" s="53">
        <f t="shared" si="4"/>
      </c>
    </row>
    <row r="15" spans="1:23" ht="12.75">
      <c r="A15" s="38"/>
      <c r="B15" s="38" t="s">
        <v>32</v>
      </c>
      <c r="C15" s="40">
        <v>0.1</v>
      </c>
      <c r="D15" s="40"/>
      <c r="E15" s="44"/>
      <c r="F15" s="44">
        <f t="shared" si="0"/>
      </c>
      <c r="G15" s="44">
        <f t="shared" si="1"/>
      </c>
      <c r="H15" s="44">
        <f t="shared" si="0"/>
      </c>
      <c r="I15" s="48"/>
      <c r="J15" s="18"/>
      <c r="K15" s="44">
        <f t="shared" si="2"/>
      </c>
      <c r="L15" s="44">
        <f t="shared" si="5"/>
      </c>
      <c r="M15" s="44">
        <f t="shared" si="2"/>
      </c>
      <c r="N15" s="48"/>
      <c r="O15" s="54"/>
      <c r="P15" s="53">
        <f t="shared" si="3"/>
      </c>
      <c r="Q15" s="53">
        <f t="shared" si="6"/>
      </c>
      <c r="R15" s="53">
        <f t="shared" si="3"/>
      </c>
      <c r="S15" s="53"/>
      <c r="T15" s="54"/>
      <c r="U15" s="53">
        <f t="shared" si="4"/>
      </c>
      <c r="V15" s="53">
        <f t="shared" si="7"/>
      </c>
      <c r="W15" s="53">
        <f t="shared" si="4"/>
      </c>
    </row>
    <row r="16" spans="1:23" ht="12.75">
      <c r="A16" s="38"/>
      <c r="B16" s="38" t="s">
        <v>33</v>
      </c>
      <c r="C16" s="40">
        <v>0.01</v>
      </c>
      <c r="D16" s="40"/>
      <c r="E16" s="53"/>
      <c r="F16" s="44">
        <f t="shared" si="0"/>
      </c>
      <c r="G16" s="44">
        <f t="shared" si="1"/>
      </c>
      <c r="H16" s="44">
        <f t="shared" si="0"/>
      </c>
      <c r="I16" s="48"/>
      <c r="J16" s="18"/>
      <c r="K16" s="44">
        <f t="shared" si="2"/>
      </c>
      <c r="L16" s="44">
        <f t="shared" si="5"/>
      </c>
      <c r="M16" s="44">
        <f t="shared" si="2"/>
      </c>
      <c r="N16" s="48"/>
      <c r="O16" s="54"/>
      <c r="P16" s="53">
        <f t="shared" si="3"/>
      </c>
      <c r="Q16" s="53">
        <f t="shared" si="6"/>
      </c>
      <c r="R16" s="53">
        <f t="shared" si="3"/>
      </c>
      <c r="S16" s="53"/>
      <c r="T16" s="63">
        <v>0.007</v>
      </c>
      <c r="U16" s="43">
        <f t="shared" si="4"/>
        <v>7.000000000000001E-05</v>
      </c>
      <c r="V16" s="43">
        <f t="shared" si="7"/>
        <v>0.007</v>
      </c>
      <c r="W16" s="43">
        <f t="shared" si="4"/>
        <v>7.000000000000001E-05</v>
      </c>
    </row>
    <row r="17" spans="1:23" ht="12.75">
      <c r="A17" s="38"/>
      <c r="B17" s="38" t="s">
        <v>34</v>
      </c>
      <c r="C17" s="40">
        <v>0.001</v>
      </c>
      <c r="D17" s="40"/>
      <c r="E17" s="53"/>
      <c r="F17" s="44">
        <f t="shared" si="0"/>
      </c>
      <c r="G17" s="44">
        <f t="shared" si="1"/>
      </c>
      <c r="H17" s="44">
        <f t="shared" si="0"/>
      </c>
      <c r="I17" s="48"/>
      <c r="J17" s="18">
        <v>0.03</v>
      </c>
      <c r="K17" s="48">
        <f t="shared" si="2"/>
        <v>3E-05</v>
      </c>
      <c r="L17" s="48">
        <f t="shared" si="5"/>
        <v>0.03</v>
      </c>
      <c r="M17" s="48">
        <f t="shared" si="2"/>
        <v>3E-05</v>
      </c>
      <c r="N17" s="48"/>
      <c r="O17" s="54"/>
      <c r="P17" s="53">
        <f t="shared" si="3"/>
      </c>
      <c r="Q17" s="53">
        <f t="shared" si="6"/>
      </c>
      <c r="R17" s="53">
        <f t="shared" si="3"/>
      </c>
      <c r="S17" s="53"/>
      <c r="T17" s="63"/>
      <c r="U17" s="43">
        <f t="shared" si="4"/>
      </c>
      <c r="V17" s="43">
        <f t="shared" si="7"/>
      </c>
      <c r="W17" s="43">
        <f t="shared" si="4"/>
      </c>
    </row>
    <row r="18" spans="1:23" ht="12.75">
      <c r="A18" s="38"/>
      <c r="B18" s="38" t="s">
        <v>35</v>
      </c>
      <c r="C18" s="40">
        <v>0.1</v>
      </c>
      <c r="D18" s="40"/>
      <c r="E18" s="53"/>
      <c r="F18" s="44">
        <f t="shared" si="0"/>
      </c>
      <c r="G18" s="44">
        <f t="shared" si="1"/>
      </c>
      <c r="H18" s="44">
        <f t="shared" si="0"/>
      </c>
      <c r="I18" s="48"/>
      <c r="J18" s="18">
        <v>0.01</v>
      </c>
      <c r="K18" s="48">
        <f t="shared" si="2"/>
        <v>0.001</v>
      </c>
      <c r="L18" s="48">
        <f t="shared" si="5"/>
        <v>0.01</v>
      </c>
      <c r="M18" s="48">
        <f t="shared" si="2"/>
        <v>0.001</v>
      </c>
      <c r="N18" s="48"/>
      <c r="O18" s="63">
        <v>0.007</v>
      </c>
      <c r="P18" s="43">
        <f t="shared" si="3"/>
        <v>0.0007000000000000001</v>
      </c>
      <c r="Q18" s="43">
        <f t="shared" si="6"/>
        <v>0.007</v>
      </c>
      <c r="R18" s="43">
        <f t="shared" si="3"/>
        <v>0.0007000000000000001</v>
      </c>
      <c r="S18" s="53"/>
      <c r="T18" s="63">
        <v>0.009</v>
      </c>
      <c r="U18" s="43">
        <f t="shared" si="4"/>
        <v>0.0009</v>
      </c>
      <c r="V18" s="43">
        <f t="shared" si="7"/>
        <v>0.009</v>
      </c>
      <c r="W18" s="43">
        <f t="shared" si="4"/>
        <v>0.0009</v>
      </c>
    </row>
    <row r="19" spans="1:23" ht="12.75">
      <c r="A19" s="38"/>
      <c r="B19" s="38" t="s">
        <v>36</v>
      </c>
      <c r="C19" s="40">
        <v>0.05</v>
      </c>
      <c r="D19" s="40"/>
      <c r="E19" s="53"/>
      <c r="F19" s="53">
        <f t="shared" si="0"/>
      </c>
      <c r="G19" s="53">
        <f t="shared" si="1"/>
      </c>
      <c r="H19" s="53">
        <f t="shared" si="0"/>
      </c>
      <c r="I19" s="48"/>
      <c r="J19" s="18"/>
      <c r="K19" s="44">
        <f t="shared" si="2"/>
      </c>
      <c r="L19" s="53">
        <f t="shared" si="5"/>
      </c>
      <c r="M19" s="44">
        <f t="shared" si="2"/>
      </c>
      <c r="N19" s="48"/>
      <c r="O19" s="63"/>
      <c r="P19" s="43">
        <f t="shared" si="3"/>
      </c>
      <c r="Q19" s="43">
        <f t="shared" si="6"/>
      </c>
      <c r="R19" s="43">
        <f t="shared" si="3"/>
      </c>
      <c r="S19" s="53"/>
      <c r="T19" s="54"/>
      <c r="U19" s="53">
        <f t="shared" si="4"/>
      </c>
      <c r="V19" s="53">
        <f t="shared" si="7"/>
      </c>
      <c r="W19" s="53">
        <f t="shared" si="4"/>
      </c>
    </row>
    <row r="20" spans="1:23" ht="12.75">
      <c r="A20" s="38"/>
      <c r="B20" s="38" t="s">
        <v>37</v>
      </c>
      <c r="C20" s="40">
        <v>0.5</v>
      </c>
      <c r="D20" s="40"/>
      <c r="E20" s="53"/>
      <c r="F20" s="53">
        <f t="shared" si="0"/>
      </c>
      <c r="G20" s="53">
        <f t="shared" si="1"/>
      </c>
      <c r="H20" s="53">
        <f t="shared" si="0"/>
      </c>
      <c r="I20" s="48"/>
      <c r="J20" s="18"/>
      <c r="K20" s="44">
        <f t="shared" si="2"/>
      </c>
      <c r="L20" s="53">
        <f t="shared" si="5"/>
      </c>
      <c r="M20" s="44">
        <f t="shared" si="2"/>
      </c>
      <c r="N20" s="48"/>
      <c r="O20" s="63"/>
      <c r="P20" s="43">
        <f t="shared" si="3"/>
      </c>
      <c r="Q20" s="43">
        <f t="shared" si="6"/>
      </c>
      <c r="R20" s="43">
        <f t="shared" si="3"/>
      </c>
      <c r="S20" s="53"/>
      <c r="T20" s="54"/>
      <c r="U20" s="53">
        <f t="shared" si="4"/>
      </c>
      <c r="V20" s="53">
        <f t="shared" si="7"/>
      </c>
      <c r="W20" s="53">
        <f t="shared" si="4"/>
      </c>
    </row>
    <row r="21" spans="1:23" ht="12.75">
      <c r="A21" s="38"/>
      <c r="B21" s="38" t="s">
        <v>38</v>
      </c>
      <c r="C21" s="40">
        <v>0.1</v>
      </c>
      <c r="D21" s="40"/>
      <c r="E21" s="53"/>
      <c r="F21" s="53">
        <f t="shared" si="0"/>
      </c>
      <c r="G21" s="53">
        <f t="shared" si="1"/>
      </c>
      <c r="H21" s="53">
        <f t="shared" si="0"/>
      </c>
      <c r="I21" s="48"/>
      <c r="J21" s="18"/>
      <c r="K21" s="44">
        <f t="shared" si="2"/>
      </c>
      <c r="L21" s="53">
        <f t="shared" si="5"/>
      </c>
      <c r="M21" s="44">
        <f t="shared" si="2"/>
      </c>
      <c r="N21" s="48"/>
      <c r="O21" s="63"/>
      <c r="P21" s="43">
        <f t="shared" si="3"/>
      </c>
      <c r="Q21" s="43">
        <f t="shared" si="6"/>
      </c>
      <c r="R21" s="43">
        <f t="shared" si="3"/>
      </c>
      <c r="S21" s="53"/>
      <c r="T21" s="54"/>
      <c r="U21" s="53">
        <f t="shared" si="4"/>
      </c>
      <c r="V21" s="53">
        <f t="shared" si="7"/>
      </c>
      <c r="W21" s="53">
        <f t="shared" si="4"/>
      </c>
    </row>
    <row r="22" spans="1:23" ht="12.75">
      <c r="A22" s="38"/>
      <c r="B22" s="38" t="s">
        <v>39</v>
      </c>
      <c r="C22" s="40">
        <v>0.1</v>
      </c>
      <c r="D22" s="40"/>
      <c r="E22" s="53"/>
      <c r="F22" s="53">
        <f t="shared" si="0"/>
      </c>
      <c r="G22" s="53">
        <f t="shared" si="1"/>
      </c>
      <c r="H22" s="53">
        <f t="shared" si="0"/>
      </c>
      <c r="I22" s="48"/>
      <c r="J22" s="18"/>
      <c r="K22" s="44">
        <f t="shared" si="2"/>
      </c>
      <c r="L22" s="53">
        <f t="shared" si="5"/>
      </c>
      <c r="M22" s="44">
        <f t="shared" si="2"/>
      </c>
      <c r="N22" s="48"/>
      <c r="O22" s="63"/>
      <c r="P22" s="43">
        <f t="shared" si="3"/>
      </c>
      <c r="Q22" s="43">
        <f t="shared" si="6"/>
      </c>
      <c r="R22" s="43">
        <f t="shared" si="3"/>
      </c>
      <c r="S22" s="53"/>
      <c r="T22" s="54"/>
      <c r="U22" s="53">
        <f t="shared" si="4"/>
      </c>
      <c r="V22" s="53">
        <f t="shared" si="7"/>
      </c>
      <c r="W22" s="53">
        <f t="shared" si="4"/>
      </c>
    </row>
    <row r="23" spans="1:23" ht="12.75">
      <c r="A23" s="38"/>
      <c r="B23" s="38" t="s">
        <v>40</v>
      </c>
      <c r="C23" s="40">
        <v>0.1</v>
      </c>
      <c r="D23" s="40"/>
      <c r="E23" s="43">
        <v>0.01</v>
      </c>
      <c r="F23" s="43">
        <f t="shared" si="0"/>
        <v>0.001</v>
      </c>
      <c r="G23" s="43">
        <f t="shared" si="1"/>
        <v>0.01</v>
      </c>
      <c r="H23" s="43">
        <f t="shared" si="0"/>
        <v>0.001</v>
      </c>
      <c r="I23" s="48"/>
      <c r="J23" s="18"/>
      <c r="K23" s="44">
        <f t="shared" si="2"/>
      </c>
      <c r="L23" s="53">
        <f t="shared" si="5"/>
      </c>
      <c r="M23" s="44">
        <f t="shared" si="2"/>
      </c>
      <c r="N23" s="48"/>
      <c r="O23" s="63">
        <v>0.01</v>
      </c>
      <c r="P23" s="43">
        <f t="shared" si="3"/>
        <v>0.001</v>
      </c>
      <c r="Q23" s="43">
        <f t="shared" si="6"/>
        <v>0.01</v>
      </c>
      <c r="R23" s="43">
        <f t="shared" si="3"/>
        <v>0.001</v>
      </c>
      <c r="S23" s="53"/>
      <c r="T23" s="63">
        <v>0.02</v>
      </c>
      <c r="U23" s="43">
        <f t="shared" si="4"/>
        <v>0.002</v>
      </c>
      <c r="V23" s="43">
        <f t="shared" si="7"/>
        <v>0.02</v>
      </c>
      <c r="W23" s="43">
        <f t="shared" si="4"/>
        <v>0.002</v>
      </c>
    </row>
    <row r="24" spans="1:23" ht="12.75">
      <c r="A24" s="38"/>
      <c r="B24" s="38" t="s">
        <v>41</v>
      </c>
      <c r="C24" s="40">
        <v>0.1</v>
      </c>
      <c r="D24" s="40"/>
      <c r="E24" s="53"/>
      <c r="F24" s="53">
        <f t="shared" si="0"/>
      </c>
      <c r="G24" s="53">
        <f t="shared" si="1"/>
      </c>
      <c r="H24" s="53">
        <f t="shared" si="0"/>
      </c>
      <c r="I24" s="48"/>
      <c r="J24" s="18"/>
      <c r="K24" s="44">
        <f t="shared" si="2"/>
      </c>
      <c r="L24" s="53">
        <f t="shared" si="5"/>
      </c>
      <c r="M24" s="44">
        <f t="shared" si="2"/>
      </c>
      <c r="N24" s="48"/>
      <c r="O24" s="54"/>
      <c r="P24" s="54"/>
      <c r="Q24" s="53">
        <f t="shared" si="6"/>
      </c>
      <c r="R24" s="53">
        <f t="shared" si="3"/>
      </c>
      <c r="S24" s="53"/>
      <c r="T24" s="54"/>
      <c r="U24" s="53">
        <f t="shared" si="4"/>
      </c>
      <c r="V24" s="53">
        <f t="shared" si="7"/>
      </c>
      <c r="W24" s="53">
        <f t="shared" si="4"/>
      </c>
    </row>
    <row r="25" spans="1:23" ht="12.75">
      <c r="A25" s="38"/>
      <c r="B25" s="38" t="s">
        <v>42</v>
      </c>
      <c r="C25" s="40">
        <v>0.01</v>
      </c>
      <c r="D25" s="40"/>
      <c r="E25" s="53"/>
      <c r="F25" s="53">
        <f t="shared" si="0"/>
      </c>
      <c r="G25" s="53">
        <f t="shared" si="1"/>
      </c>
      <c r="H25" s="53">
        <f t="shared" si="0"/>
      </c>
      <c r="I25" s="48"/>
      <c r="J25" s="18"/>
      <c r="K25" s="44">
        <f t="shared" si="2"/>
      </c>
      <c r="L25" s="53">
        <f t="shared" si="5"/>
      </c>
      <c r="M25" s="44">
        <f t="shared" si="2"/>
      </c>
      <c r="N25" s="48"/>
      <c r="O25" s="54"/>
      <c r="P25" s="54"/>
      <c r="Q25" s="53">
        <f t="shared" si="6"/>
      </c>
      <c r="R25" s="53">
        <f t="shared" si="3"/>
      </c>
      <c r="S25" s="53"/>
      <c r="T25" s="54"/>
      <c r="U25" s="53">
        <f t="shared" si="4"/>
      </c>
      <c r="V25" s="53">
        <f t="shared" si="7"/>
      </c>
      <c r="W25" s="53">
        <f t="shared" si="4"/>
      </c>
    </row>
    <row r="26" spans="1:23" ht="12.75">
      <c r="A26" s="38"/>
      <c r="B26" s="38" t="s">
        <v>43</v>
      </c>
      <c r="C26" s="40">
        <v>0.01</v>
      </c>
      <c r="D26" s="40"/>
      <c r="E26" s="53"/>
      <c r="F26" s="53"/>
      <c r="G26" s="53">
        <f t="shared" si="1"/>
      </c>
      <c r="H26" s="53">
        <f t="shared" si="0"/>
      </c>
      <c r="I26" s="48"/>
      <c r="J26" s="18"/>
      <c r="K26" s="44">
        <f t="shared" si="2"/>
      </c>
      <c r="L26" s="53">
        <f t="shared" si="5"/>
      </c>
      <c r="M26" s="44">
        <f t="shared" si="2"/>
      </c>
      <c r="N26" s="48"/>
      <c r="O26" s="54"/>
      <c r="P26" s="54"/>
      <c r="Q26" s="53">
        <f t="shared" si="6"/>
      </c>
      <c r="R26" s="53">
        <f t="shared" si="3"/>
      </c>
      <c r="S26" s="53"/>
      <c r="T26" s="54"/>
      <c r="U26" s="53">
        <f t="shared" si="4"/>
      </c>
      <c r="V26" s="53">
        <f t="shared" si="7"/>
      </c>
      <c r="W26" s="53">
        <f t="shared" si="4"/>
      </c>
    </row>
    <row r="27" spans="1:23" ht="12.75">
      <c r="A27" s="38"/>
      <c r="B27" s="38" t="s">
        <v>44</v>
      </c>
      <c r="C27" s="40">
        <v>0.001</v>
      </c>
      <c r="D27" s="40"/>
      <c r="E27" s="53"/>
      <c r="F27" s="53"/>
      <c r="G27" s="53">
        <f t="shared" si="1"/>
      </c>
      <c r="H27" s="53">
        <f t="shared" si="0"/>
      </c>
      <c r="I27" s="48"/>
      <c r="J27" s="18"/>
      <c r="K27" s="44">
        <f t="shared" si="2"/>
      </c>
      <c r="L27" s="53">
        <f t="shared" si="5"/>
      </c>
      <c r="M27" s="44">
        <f t="shared" si="2"/>
      </c>
      <c r="N27" s="48"/>
      <c r="O27" s="54"/>
      <c r="P27" s="54"/>
      <c r="Q27" s="53">
        <f t="shared" si="6"/>
      </c>
      <c r="R27" s="53">
        <f t="shared" si="3"/>
      </c>
      <c r="S27" s="53"/>
      <c r="T27" s="54"/>
      <c r="U27" s="53">
        <f t="shared" si="4"/>
      </c>
      <c r="V27" s="53">
        <f t="shared" si="7"/>
      </c>
      <c r="W27" s="53">
        <f t="shared" si="4"/>
      </c>
    </row>
    <row r="28" spans="1:23" ht="12.75">
      <c r="A28" s="38"/>
      <c r="B28" s="38" t="s">
        <v>98</v>
      </c>
      <c r="C28" s="40">
        <v>0</v>
      </c>
      <c r="D28" s="40"/>
      <c r="E28" s="53"/>
      <c r="F28" s="53"/>
      <c r="G28" s="53">
        <f aca="true" t="shared" si="8" ref="G28:G35">IF(E28=0,"",IF(D28="nd",E28/2,E28))</f>
      </c>
      <c r="H28" s="53">
        <f aca="true" t="shared" si="9" ref="H28:H35">IF(G28="","",G28*$C28)</f>
      </c>
      <c r="I28" s="48"/>
      <c r="J28" s="33"/>
      <c r="K28" s="44">
        <f aca="true" t="shared" si="10" ref="K28:M35">IF(J28="","",J28*$C28)</f>
      </c>
      <c r="L28" s="53">
        <f aca="true" t="shared" si="11" ref="L28:L35">IF(J28=0,"",IF(I28="nd",J28/2,J28))</f>
      </c>
      <c r="M28" s="44">
        <f t="shared" si="10"/>
      </c>
      <c r="N28" s="48"/>
      <c r="O28" s="53"/>
      <c r="P28" s="53"/>
      <c r="Q28" s="53">
        <f aca="true" t="shared" si="12" ref="Q28:Q35">IF(O28=0,"",IF(N28="nd",O28/2,O28))</f>
      </c>
      <c r="R28" s="53">
        <f aca="true" t="shared" si="13" ref="R28:R35">IF(Q28="","",Q28*$C28)</f>
      </c>
      <c r="S28" s="53"/>
      <c r="T28" s="53"/>
      <c r="U28" s="53">
        <f t="shared" si="4"/>
      </c>
      <c r="V28" s="53">
        <f t="shared" si="7"/>
      </c>
      <c r="W28" s="53">
        <f t="shared" si="4"/>
      </c>
    </row>
    <row r="29" spans="1:23" ht="12.75">
      <c r="A29" s="38"/>
      <c r="B29" s="38" t="s">
        <v>99</v>
      </c>
      <c r="C29" s="40">
        <v>0</v>
      </c>
      <c r="D29" s="40"/>
      <c r="E29" s="53"/>
      <c r="F29" s="53"/>
      <c r="G29" s="53">
        <f t="shared" si="8"/>
      </c>
      <c r="H29" s="53">
        <f t="shared" si="9"/>
      </c>
      <c r="I29" s="48"/>
      <c r="J29" s="18"/>
      <c r="K29" s="44">
        <f t="shared" si="10"/>
      </c>
      <c r="L29" s="53">
        <f t="shared" si="11"/>
      </c>
      <c r="M29" s="44">
        <f t="shared" si="10"/>
      </c>
      <c r="N29" s="48"/>
      <c r="O29" s="54"/>
      <c r="P29" s="54"/>
      <c r="Q29" s="53">
        <f t="shared" si="12"/>
      </c>
      <c r="R29" s="53">
        <f t="shared" si="13"/>
      </c>
      <c r="S29" s="53"/>
      <c r="T29" s="54"/>
      <c r="U29" s="53">
        <f t="shared" si="4"/>
      </c>
      <c r="V29" s="53">
        <f t="shared" si="7"/>
      </c>
      <c r="W29" s="53">
        <f t="shared" si="4"/>
      </c>
    </row>
    <row r="30" spans="1:23" ht="12.75">
      <c r="A30" s="38"/>
      <c r="B30" s="38" t="s">
        <v>100</v>
      </c>
      <c r="C30" s="40">
        <v>0</v>
      </c>
      <c r="D30" s="40"/>
      <c r="E30" s="53"/>
      <c r="F30" s="53"/>
      <c r="G30" s="53">
        <f t="shared" si="8"/>
      </c>
      <c r="H30" s="53">
        <f t="shared" si="9"/>
      </c>
      <c r="I30" s="48"/>
      <c r="J30" s="18"/>
      <c r="K30" s="44">
        <f t="shared" si="10"/>
      </c>
      <c r="L30" s="53">
        <f t="shared" si="11"/>
      </c>
      <c r="M30" s="44">
        <f t="shared" si="10"/>
      </c>
      <c r="N30" s="48"/>
      <c r="O30" s="54"/>
      <c r="P30" s="54"/>
      <c r="Q30" s="53">
        <f t="shared" si="12"/>
      </c>
      <c r="R30" s="53">
        <f t="shared" si="13"/>
      </c>
      <c r="S30" s="53"/>
      <c r="T30" s="54"/>
      <c r="U30" s="53">
        <f t="shared" si="4"/>
      </c>
      <c r="V30" s="53">
        <f t="shared" si="7"/>
      </c>
      <c r="W30" s="53">
        <f t="shared" si="4"/>
      </c>
    </row>
    <row r="31" spans="1:23" ht="12.75">
      <c r="A31" s="38"/>
      <c r="B31" s="38" t="s">
        <v>101</v>
      </c>
      <c r="C31" s="40">
        <v>0</v>
      </c>
      <c r="D31" s="40"/>
      <c r="E31" s="53"/>
      <c r="F31" s="53"/>
      <c r="G31" s="53">
        <f t="shared" si="8"/>
      </c>
      <c r="H31" s="53">
        <f t="shared" si="9"/>
      </c>
      <c r="I31" s="48"/>
      <c r="J31" s="18"/>
      <c r="K31" s="44">
        <f t="shared" si="10"/>
      </c>
      <c r="L31" s="53">
        <f t="shared" si="11"/>
      </c>
      <c r="M31" s="44">
        <f t="shared" si="10"/>
      </c>
      <c r="N31" s="48"/>
      <c r="O31" s="54"/>
      <c r="P31" s="54"/>
      <c r="Q31" s="53">
        <f t="shared" si="12"/>
      </c>
      <c r="R31" s="53">
        <f t="shared" si="13"/>
      </c>
      <c r="S31" s="53"/>
      <c r="T31" s="54"/>
      <c r="U31" s="53">
        <f t="shared" si="4"/>
      </c>
      <c r="V31" s="53">
        <f t="shared" si="7"/>
      </c>
      <c r="W31" s="53">
        <f t="shared" si="4"/>
      </c>
    </row>
    <row r="32" spans="1:23" ht="12.75">
      <c r="A32" s="38"/>
      <c r="B32" s="38" t="s">
        <v>102</v>
      </c>
      <c r="C32" s="40">
        <v>0</v>
      </c>
      <c r="D32" s="40"/>
      <c r="E32" s="53"/>
      <c r="F32" s="53"/>
      <c r="G32" s="53">
        <f t="shared" si="8"/>
      </c>
      <c r="H32" s="53">
        <f t="shared" si="9"/>
      </c>
      <c r="I32" s="48"/>
      <c r="J32" s="18"/>
      <c r="K32" s="44">
        <f t="shared" si="10"/>
      </c>
      <c r="L32" s="53">
        <f t="shared" si="11"/>
      </c>
      <c r="M32" s="44">
        <f t="shared" si="10"/>
      </c>
      <c r="N32" s="48"/>
      <c r="O32" s="54"/>
      <c r="P32" s="54"/>
      <c r="Q32" s="53">
        <f t="shared" si="12"/>
      </c>
      <c r="R32" s="53">
        <f t="shared" si="13"/>
      </c>
      <c r="S32" s="53"/>
      <c r="T32" s="63">
        <v>0.011</v>
      </c>
      <c r="U32" s="43">
        <f t="shared" si="4"/>
        <v>0</v>
      </c>
      <c r="V32" s="43">
        <f t="shared" si="7"/>
        <v>0.011</v>
      </c>
      <c r="W32" s="43">
        <f t="shared" si="4"/>
        <v>0</v>
      </c>
    </row>
    <row r="33" spans="1:23" ht="12.75">
      <c r="A33" s="38"/>
      <c r="B33" s="38" t="s">
        <v>103</v>
      </c>
      <c r="C33" s="40">
        <v>0</v>
      </c>
      <c r="D33" s="40"/>
      <c r="E33" s="53"/>
      <c r="F33" s="53"/>
      <c r="G33" s="53">
        <f t="shared" si="8"/>
      </c>
      <c r="H33" s="53">
        <f t="shared" si="9"/>
      </c>
      <c r="I33" s="48"/>
      <c r="J33" s="18"/>
      <c r="K33" s="44">
        <f t="shared" si="10"/>
      </c>
      <c r="L33" s="53">
        <f t="shared" si="11"/>
      </c>
      <c r="M33" s="44">
        <f t="shared" si="10"/>
      </c>
      <c r="N33" s="48"/>
      <c r="O33" s="54"/>
      <c r="P33" s="54"/>
      <c r="Q33" s="53">
        <f t="shared" si="12"/>
      </c>
      <c r="R33" s="53">
        <f t="shared" si="13"/>
      </c>
      <c r="S33" s="53"/>
      <c r="T33" s="54"/>
      <c r="U33" s="54"/>
      <c r="V33" s="53">
        <f t="shared" si="7"/>
      </c>
      <c r="W33" s="53">
        <f t="shared" si="4"/>
      </c>
    </row>
    <row r="34" spans="1:23" ht="12.75">
      <c r="A34" s="38"/>
      <c r="B34" s="38" t="s">
        <v>104</v>
      </c>
      <c r="C34" s="40">
        <v>0</v>
      </c>
      <c r="D34" s="40"/>
      <c r="E34" s="53"/>
      <c r="F34" s="53"/>
      <c r="G34" s="53">
        <f t="shared" si="8"/>
      </c>
      <c r="H34" s="53">
        <f t="shared" si="9"/>
      </c>
      <c r="I34" s="48"/>
      <c r="J34" s="18"/>
      <c r="K34" s="44">
        <f t="shared" si="10"/>
      </c>
      <c r="L34" s="53">
        <f t="shared" si="11"/>
      </c>
      <c r="M34" s="44">
        <f t="shared" si="10"/>
      </c>
      <c r="N34" s="48"/>
      <c r="O34" s="54"/>
      <c r="P34" s="54"/>
      <c r="Q34" s="53">
        <f t="shared" si="12"/>
      </c>
      <c r="R34" s="53">
        <f t="shared" si="13"/>
      </c>
      <c r="S34" s="53"/>
      <c r="T34" s="54"/>
      <c r="U34" s="54"/>
      <c r="V34" s="53">
        <f t="shared" si="7"/>
      </c>
      <c r="W34" s="53">
        <f t="shared" si="4"/>
      </c>
    </row>
    <row r="35" spans="1:23" ht="12.75">
      <c r="A35" s="38"/>
      <c r="B35" s="38" t="s">
        <v>105</v>
      </c>
      <c r="C35" s="40">
        <v>0</v>
      </c>
      <c r="D35" s="40"/>
      <c r="E35" s="53"/>
      <c r="F35" s="53"/>
      <c r="G35" s="53">
        <f t="shared" si="8"/>
      </c>
      <c r="H35" s="53">
        <f t="shared" si="9"/>
      </c>
      <c r="I35" s="48"/>
      <c r="J35" s="18"/>
      <c r="K35" s="18"/>
      <c r="L35" s="53">
        <f t="shared" si="11"/>
      </c>
      <c r="M35" s="44">
        <f t="shared" si="10"/>
      </c>
      <c r="N35" s="48"/>
      <c r="O35" s="54"/>
      <c r="P35" s="54"/>
      <c r="Q35" s="53">
        <f t="shared" si="12"/>
      </c>
      <c r="R35" s="53">
        <f t="shared" si="13"/>
      </c>
      <c r="S35" s="53"/>
      <c r="T35" s="54"/>
      <c r="U35" s="54"/>
      <c r="V35" s="53">
        <f t="shared" si="7"/>
      </c>
      <c r="W35" s="53">
        <f t="shared" si="4"/>
      </c>
    </row>
    <row r="36" spans="1:23" ht="12.75">
      <c r="A36" s="38"/>
      <c r="B36" s="38"/>
      <c r="C36" s="38"/>
      <c r="D36" s="38"/>
      <c r="E36" s="44"/>
      <c r="F36" s="44"/>
      <c r="G36" s="44"/>
      <c r="H36" s="48"/>
      <c r="I36" s="44"/>
      <c r="J36" s="18"/>
      <c r="K36" s="18"/>
      <c r="L36" s="42"/>
      <c r="M36" s="42"/>
      <c r="N36" s="44"/>
      <c r="O36" s="18"/>
      <c r="P36" s="18"/>
      <c r="Q36" s="44"/>
      <c r="R36" s="47"/>
      <c r="S36" s="47"/>
      <c r="T36" s="18"/>
      <c r="U36" s="18"/>
      <c r="V36" s="44"/>
      <c r="W36" s="47"/>
    </row>
    <row r="37" spans="1:23" ht="12.75">
      <c r="A37" s="38"/>
      <c r="B37" s="38" t="s">
        <v>45</v>
      </c>
      <c r="C37" s="38"/>
      <c r="D37" s="38"/>
      <c r="E37" s="44"/>
      <c r="F37" s="44">
        <v>112.984</v>
      </c>
      <c r="G37" s="44">
        <v>112.984</v>
      </c>
      <c r="H37" s="44">
        <v>112.984</v>
      </c>
      <c r="I37" s="44"/>
      <c r="J37" s="44"/>
      <c r="K37" s="44">
        <v>112.405</v>
      </c>
      <c r="L37" s="44">
        <v>112.405</v>
      </c>
      <c r="M37" s="44">
        <v>112.405</v>
      </c>
      <c r="N37" s="44"/>
      <c r="O37" s="44"/>
      <c r="P37" s="44">
        <v>105.52</v>
      </c>
      <c r="Q37" s="44">
        <v>105.52</v>
      </c>
      <c r="R37" s="44">
        <v>105.52</v>
      </c>
      <c r="S37" s="44"/>
      <c r="T37" s="44"/>
      <c r="U37" s="44">
        <v>105.923</v>
      </c>
      <c r="V37" s="44">
        <v>105.923</v>
      </c>
      <c r="W37" s="44">
        <v>105.923</v>
      </c>
    </row>
    <row r="38" spans="1:23" ht="12.75">
      <c r="A38" s="38"/>
      <c r="B38" s="38" t="s">
        <v>58</v>
      </c>
      <c r="C38" s="38"/>
      <c r="D38" s="38"/>
      <c r="E38" s="44"/>
      <c r="F38" s="44">
        <v>11.4</v>
      </c>
      <c r="G38" s="44">
        <v>11.4</v>
      </c>
      <c r="H38" s="44">
        <v>11.4</v>
      </c>
      <c r="I38" s="44"/>
      <c r="J38" s="44"/>
      <c r="K38" s="42">
        <v>11.2</v>
      </c>
      <c r="L38" s="42">
        <v>11.2</v>
      </c>
      <c r="M38" s="42">
        <v>11.2</v>
      </c>
      <c r="N38" s="44"/>
      <c r="O38" s="44"/>
      <c r="P38" s="44">
        <v>11.3</v>
      </c>
      <c r="Q38" s="44">
        <v>11.3</v>
      </c>
      <c r="R38" s="44">
        <v>11.3</v>
      </c>
      <c r="S38" s="44"/>
      <c r="T38" s="44"/>
      <c r="U38" s="44">
        <v>11.6</v>
      </c>
      <c r="V38" s="44">
        <v>11.6</v>
      </c>
      <c r="W38" s="44">
        <v>11.6</v>
      </c>
    </row>
    <row r="39" spans="1:23" ht="12.75">
      <c r="A39" s="38"/>
      <c r="B39" s="38"/>
      <c r="C39" s="38"/>
      <c r="D39" s="38"/>
      <c r="E39" s="44"/>
      <c r="F39" s="18"/>
      <c r="G39" s="44"/>
      <c r="H39" s="18"/>
      <c r="I39" s="18"/>
      <c r="J39" s="44"/>
      <c r="K39" s="45"/>
      <c r="L39" s="42"/>
      <c r="M39" s="45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2.75">
      <c r="A40" s="38"/>
      <c r="B40" s="38" t="s">
        <v>106</v>
      </c>
      <c r="C40" s="48"/>
      <c r="D40" s="48"/>
      <c r="E40" s="42"/>
      <c r="F40" s="44">
        <f>SUM(F11:F27)</f>
        <v>0.001</v>
      </c>
      <c r="G40" s="42"/>
      <c r="H40" s="44">
        <f>SUM(H11:H27)</f>
        <v>0.001</v>
      </c>
      <c r="I40" s="48"/>
      <c r="J40" s="42"/>
      <c r="K40" s="44">
        <f>SUM(K11:K27)</f>
        <v>0.00103</v>
      </c>
      <c r="L40" s="42"/>
      <c r="M40" s="44">
        <f>SUM(M11:M27)</f>
        <v>0.00103</v>
      </c>
      <c r="N40" s="48"/>
      <c r="O40" s="44"/>
      <c r="P40" s="44">
        <f>SUM(P11:P27)</f>
        <v>0.0017000000000000001</v>
      </c>
      <c r="Q40" s="42"/>
      <c r="R40" s="44">
        <f>SUM(R11:R27)</f>
        <v>0.0017000000000000001</v>
      </c>
      <c r="S40" s="44"/>
      <c r="T40" s="44"/>
      <c r="U40" s="44">
        <f>SUM(U11:U27)</f>
        <v>0.00297</v>
      </c>
      <c r="V40" s="42"/>
      <c r="W40" s="44">
        <f>SUM(W11:W27)</f>
        <v>0.00297</v>
      </c>
    </row>
    <row r="41" spans="1:23" ht="12.75">
      <c r="A41" s="38"/>
      <c r="B41" s="38" t="s">
        <v>46</v>
      </c>
      <c r="C41" s="48"/>
      <c r="D41" s="42">
        <f>(F41-H41)*2/F41*100</f>
        <v>0</v>
      </c>
      <c r="E41" s="44"/>
      <c r="F41" s="48">
        <f>(F40/F37/0.0283*(21-7)/(21-F38))</f>
        <v>0.0004560930148692787</v>
      </c>
      <c r="G41" s="44"/>
      <c r="H41" s="48">
        <f>(H40/H37/0.0283*(21-7)/(21-H38))</f>
        <v>0.0004560930148692787</v>
      </c>
      <c r="I41" s="42">
        <f>(K41-M41)*2/K41*100</f>
        <v>0</v>
      </c>
      <c r="J41" s="44"/>
      <c r="K41" s="48">
        <f>(K40/K37/0.0283*(21-7)/(21-K38))</f>
        <v>0.00046255898272591444</v>
      </c>
      <c r="L41" s="44"/>
      <c r="M41" s="48">
        <f>(M40/M37/0.0283*(21-7)/(21-M38))</f>
        <v>0.00046255898272591444</v>
      </c>
      <c r="N41" s="42">
        <f>(P41-R41)*2/P41*100</f>
        <v>0</v>
      </c>
      <c r="O41" s="44"/>
      <c r="P41" s="48">
        <f>(P40/P37/0.0283*(21-7)/(21-P38))</f>
        <v>0.0008216445988577788</v>
      </c>
      <c r="Q41" s="44"/>
      <c r="R41" s="48">
        <f>(R40/R37/0.0283*(21-7)/(21-R38))</f>
        <v>0.0008216445988577788</v>
      </c>
      <c r="S41" s="42">
        <f>(U41-W41)*2/U41*100</f>
        <v>0</v>
      </c>
      <c r="T41" s="44"/>
      <c r="U41" s="48">
        <f>(U40/U37/0.0283*(21-7)/(21-U38))</f>
        <v>0.0014756383154785012</v>
      </c>
      <c r="V41" s="44"/>
      <c r="W41" s="48">
        <f>(W40/W37/0.0283*(21-7)/(21-W38))</f>
        <v>0.0014756383154785012</v>
      </c>
    </row>
    <row r="42" spans="1:19" ht="12.75">
      <c r="A42" s="38"/>
      <c r="B42" s="38"/>
      <c r="C42" s="38"/>
      <c r="D42" s="38"/>
      <c r="E42" s="43"/>
      <c r="F42" s="43"/>
      <c r="G42" s="43"/>
      <c r="H42" s="48"/>
      <c r="I42" s="43"/>
      <c r="J42" s="43"/>
      <c r="K42" s="43"/>
      <c r="L42" s="43"/>
      <c r="M42" s="43"/>
      <c r="N42" s="43"/>
      <c r="O42" s="43"/>
      <c r="P42" s="43"/>
      <c r="Q42" s="43"/>
      <c r="R42" s="47"/>
      <c r="S42" s="47"/>
    </row>
    <row r="43" spans="1:19" ht="12.75">
      <c r="A43" s="44"/>
      <c r="B43" s="38" t="s">
        <v>59</v>
      </c>
      <c r="C43" s="48">
        <f>AVERAGE(H41,M41,R41,W41)</f>
        <v>0.0008039837279828683</v>
      </c>
      <c r="D43" s="44"/>
      <c r="E43" s="44"/>
      <c r="F43" s="44"/>
      <c r="G43" s="44"/>
      <c r="H43" s="48"/>
      <c r="I43" s="44"/>
      <c r="J43" s="44"/>
      <c r="K43" s="44"/>
      <c r="L43" s="44"/>
      <c r="M43" s="44"/>
      <c r="N43" s="44"/>
      <c r="O43" s="44"/>
      <c r="P43" s="44"/>
      <c r="Q43" s="44"/>
      <c r="R43" s="47"/>
      <c r="S43" s="47"/>
    </row>
    <row r="44" spans="1:19" ht="12.75">
      <c r="A44" s="38"/>
      <c r="B44" s="38" t="s">
        <v>60</v>
      </c>
      <c r="C44" s="42"/>
      <c r="D44" s="38"/>
      <c r="E44" s="47"/>
      <c r="F44" s="47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85" spans="1:19" ht="12.75">
      <c r="A85" s="3"/>
      <c r="B85" s="3"/>
      <c r="C85" s="3"/>
      <c r="D85" s="3"/>
      <c r="E85" s="9"/>
      <c r="F85" s="9"/>
      <c r="G85" s="9"/>
      <c r="J85" s="9"/>
      <c r="K85" s="9"/>
      <c r="L85" s="6"/>
      <c r="M85" s="8"/>
      <c r="N85" s="9"/>
      <c r="O85" s="9"/>
      <c r="P85" s="9"/>
      <c r="Q85" s="9"/>
      <c r="R85" s="9"/>
      <c r="S85" s="9"/>
    </row>
    <row r="86" spans="1:19" ht="12.75">
      <c r="A86" s="3"/>
      <c r="B86" s="3"/>
      <c r="C86" s="5"/>
      <c r="D86" s="5"/>
      <c r="E86" s="6"/>
      <c r="F86" s="6"/>
      <c r="G86" s="6"/>
      <c r="H86" s="9"/>
      <c r="I86" s="5"/>
      <c r="J86" s="6"/>
      <c r="K86" s="6"/>
      <c r="L86" s="6"/>
      <c r="M86" s="6"/>
      <c r="N86" s="5"/>
      <c r="O86" s="9"/>
      <c r="P86" s="9"/>
      <c r="Q86" s="5"/>
      <c r="R86" s="5"/>
      <c r="S86" s="5"/>
    </row>
    <row r="87" spans="1:19" ht="12.75">
      <c r="A87" s="3"/>
      <c r="B87" s="3"/>
      <c r="C87" s="5"/>
      <c r="D87" s="5"/>
      <c r="E87" s="9"/>
      <c r="F87" s="9"/>
      <c r="G87" s="7"/>
      <c r="H87" s="5"/>
      <c r="I87" s="5"/>
      <c r="J87" s="9"/>
      <c r="K87" s="9"/>
      <c r="L87" s="6"/>
      <c r="M87" s="5"/>
      <c r="N87" s="5"/>
      <c r="O87" s="9"/>
      <c r="P87" s="9"/>
      <c r="Q87" s="7"/>
      <c r="R87" s="7"/>
      <c r="S87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87"/>
  <sheetViews>
    <sheetView workbookViewId="0" topLeftCell="A23">
      <selection activeCell="A12" sqref="A1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28125" style="0" customWidth="1"/>
    <col min="4" max="4" width="4.00390625" style="0" customWidth="1"/>
    <col min="5" max="6" width="7.140625" style="0" bestFit="1" customWidth="1"/>
    <col min="7" max="8" width="6.7109375" style="0" bestFit="1" customWidth="1"/>
    <col min="9" max="9" width="3.421875" style="0" customWidth="1"/>
    <col min="10" max="11" width="7.140625" style="0" bestFit="1" customWidth="1"/>
    <col min="12" max="13" width="6.7109375" style="0" bestFit="1" customWidth="1"/>
    <col min="14" max="14" width="5.00390625" style="0" customWidth="1"/>
    <col min="15" max="16" width="7.140625" style="0" bestFit="1" customWidth="1"/>
    <col min="17" max="18" width="6.7109375" style="0" bestFit="1" customWidth="1"/>
    <col min="19" max="19" width="5.28125" style="0" customWidth="1"/>
    <col min="20" max="21" width="7.140625" style="0" bestFit="1" customWidth="1"/>
    <col min="22" max="23" width="6.7109375" style="0" bestFit="1" customWidth="1"/>
  </cols>
  <sheetData>
    <row r="1" spans="1:19" ht="12.75">
      <c r="A1" s="55" t="s">
        <v>65</v>
      </c>
      <c r="B1" s="38"/>
      <c r="C1" s="38"/>
      <c r="D1" s="38"/>
      <c r="E1" s="47"/>
      <c r="F1" s="48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2.75">
      <c r="A2" s="38" t="s">
        <v>196</v>
      </c>
      <c r="B2" s="38"/>
      <c r="C2" s="38"/>
      <c r="D2" s="38"/>
      <c r="E2" s="47"/>
      <c r="F2" s="48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38" t="s">
        <v>20</v>
      </c>
      <c r="B3" s="38"/>
      <c r="C3" s="15" t="str">
        <f>source!C5</f>
        <v>CAMDS Tooele Army Depot South (TOCDF)</v>
      </c>
      <c r="D3" s="15"/>
      <c r="E3" s="47"/>
      <c r="F3" s="48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2.75">
      <c r="A4" s="38" t="s">
        <v>21</v>
      </c>
      <c r="B4" s="38"/>
      <c r="C4" s="15" t="s">
        <v>125</v>
      </c>
      <c r="D4" s="15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38" t="s">
        <v>22</v>
      </c>
      <c r="B5" s="38"/>
      <c r="C5" s="18" t="str">
        <f>cond!C20</f>
        <v>Trial burn, mixed agent HD/munitions feed</v>
      </c>
      <c r="D5" s="18"/>
      <c r="E5" s="18"/>
      <c r="F5" s="18"/>
      <c r="G5" s="18"/>
      <c r="H5" s="18"/>
      <c r="I5" s="18"/>
      <c r="J5" s="18"/>
      <c r="K5" s="47"/>
      <c r="L5" s="18"/>
      <c r="M5" s="47"/>
      <c r="N5" s="47"/>
      <c r="O5" s="47"/>
      <c r="P5" s="47"/>
      <c r="Q5" s="47"/>
      <c r="R5" s="47"/>
      <c r="S5" s="47"/>
    </row>
    <row r="6" spans="1:19" ht="12.75">
      <c r="A6" s="38"/>
      <c r="B6" s="38"/>
      <c r="C6" s="40"/>
      <c r="D6" s="40"/>
      <c r="E6" s="51"/>
      <c r="F6" s="48"/>
      <c r="G6" s="51"/>
      <c r="H6" s="48"/>
      <c r="I6" s="47"/>
      <c r="J6" s="51"/>
      <c r="K6" s="47"/>
      <c r="L6" s="51"/>
      <c r="M6" s="47"/>
      <c r="N6" s="47"/>
      <c r="O6" s="51"/>
      <c r="P6" s="47"/>
      <c r="Q6" s="51"/>
      <c r="R6" s="47"/>
      <c r="S6" s="47"/>
    </row>
    <row r="7" spans="1:23" s="70" customFormat="1" ht="12.75">
      <c r="A7" s="38"/>
      <c r="B7" s="38"/>
      <c r="C7" s="40" t="s">
        <v>23</v>
      </c>
      <c r="D7" s="40"/>
      <c r="E7" s="52" t="s">
        <v>51</v>
      </c>
      <c r="F7" s="52"/>
      <c r="G7" s="52"/>
      <c r="H7" s="52"/>
      <c r="I7" s="17"/>
      <c r="J7" s="52" t="s">
        <v>52</v>
      </c>
      <c r="K7" s="52"/>
      <c r="L7" s="52"/>
      <c r="M7" s="52"/>
      <c r="N7" s="17"/>
      <c r="O7" s="52" t="s">
        <v>53</v>
      </c>
      <c r="P7" s="52"/>
      <c r="Q7" s="52"/>
      <c r="R7" s="52"/>
      <c r="S7" s="52"/>
      <c r="T7" s="52" t="s">
        <v>118</v>
      </c>
      <c r="U7" s="52"/>
      <c r="V7" s="52"/>
      <c r="W7" s="52"/>
    </row>
    <row r="8" spans="1:23" s="70" customFormat="1" ht="12.75">
      <c r="A8" s="38"/>
      <c r="B8" s="38"/>
      <c r="C8" s="40" t="s">
        <v>24</v>
      </c>
      <c r="D8" s="38"/>
      <c r="E8" s="51" t="s">
        <v>25</v>
      </c>
      <c r="F8" s="51" t="s">
        <v>27</v>
      </c>
      <c r="G8" s="51" t="s">
        <v>25</v>
      </c>
      <c r="H8" s="50" t="s">
        <v>26</v>
      </c>
      <c r="I8" s="47"/>
      <c r="J8" s="51" t="s">
        <v>25</v>
      </c>
      <c r="K8" s="51" t="s">
        <v>27</v>
      </c>
      <c r="L8" s="51" t="s">
        <v>25</v>
      </c>
      <c r="M8" s="51" t="s">
        <v>27</v>
      </c>
      <c r="N8" s="47"/>
      <c r="O8" s="51" t="s">
        <v>25</v>
      </c>
      <c r="P8" s="51" t="s">
        <v>27</v>
      </c>
      <c r="Q8" s="51" t="s">
        <v>25</v>
      </c>
      <c r="R8" s="51" t="s">
        <v>27</v>
      </c>
      <c r="S8" s="51"/>
      <c r="T8" s="51" t="s">
        <v>25</v>
      </c>
      <c r="U8" s="51" t="s">
        <v>27</v>
      </c>
      <c r="V8" s="51" t="s">
        <v>25</v>
      </c>
      <c r="W8" s="51" t="s">
        <v>27</v>
      </c>
    </row>
    <row r="9" spans="1:23" s="70" customFormat="1" ht="12.75">
      <c r="A9" s="38"/>
      <c r="B9" s="38"/>
      <c r="C9" s="40"/>
      <c r="D9" s="38"/>
      <c r="E9" s="51" t="s">
        <v>194</v>
      </c>
      <c r="F9" s="51" t="s">
        <v>194</v>
      </c>
      <c r="G9" s="51" t="s">
        <v>64</v>
      </c>
      <c r="H9" s="50" t="s">
        <v>64</v>
      </c>
      <c r="I9" s="47"/>
      <c r="J9" s="51" t="s">
        <v>194</v>
      </c>
      <c r="K9" s="51" t="s">
        <v>194</v>
      </c>
      <c r="L9" s="51" t="s">
        <v>64</v>
      </c>
      <c r="M9" s="50" t="s">
        <v>64</v>
      </c>
      <c r="N9" s="47"/>
      <c r="O9" s="51" t="s">
        <v>194</v>
      </c>
      <c r="P9" s="51" t="s">
        <v>194</v>
      </c>
      <c r="Q9" s="51" t="s">
        <v>64</v>
      </c>
      <c r="R9" s="50" t="s">
        <v>64</v>
      </c>
      <c r="S9" s="50"/>
      <c r="T9" s="51" t="s">
        <v>194</v>
      </c>
      <c r="U9" s="51" t="s">
        <v>194</v>
      </c>
      <c r="V9" s="51" t="s">
        <v>64</v>
      </c>
      <c r="W9" s="50" t="s">
        <v>64</v>
      </c>
    </row>
    <row r="10" spans="1:23" ht="12.75">
      <c r="A10" s="38" t="s">
        <v>117</v>
      </c>
      <c r="B10" s="38"/>
      <c r="C10" s="38"/>
      <c r="D10" s="38"/>
      <c r="E10" s="47"/>
      <c r="F10" s="48"/>
      <c r="G10" s="47"/>
      <c r="H10" s="48"/>
      <c r="I10" s="47"/>
      <c r="J10" s="47"/>
      <c r="K10" s="47"/>
      <c r="L10" s="47"/>
      <c r="M10" s="47"/>
      <c r="N10" s="47"/>
      <c r="O10" s="42"/>
      <c r="P10" s="47"/>
      <c r="Q10" s="47"/>
      <c r="R10" s="47"/>
      <c r="S10" s="47"/>
      <c r="T10" s="42"/>
      <c r="U10" s="47"/>
      <c r="V10" s="47"/>
      <c r="W10" s="47"/>
    </row>
    <row r="11" spans="1:23" ht="12.75">
      <c r="A11" s="38"/>
      <c r="B11" s="38" t="s">
        <v>28</v>
      </c>
      <c r="C11" s="40">
        <v>1</v>
      </c>
      <c r="D11" s="40"/>
      <c r="E11" s="44"/>
      <c r="F11" s="44">
        <f aca="true" t="shared" si="0" ref="F11:H35">IF(E11="","",E11*$C11)</f>
      </c>
      <c r="G11" s="44">
        <f aca="true" t="shared" si="1" ref="G11:G35">IF(E11=0,"",IF(D11="nd",E11/2,E11))</f>
      </c>
      <c r="H11" s="44">
        <f t="shared" si="0"/>
      </c>
      <c r="I11" s="48"/>
      <c r="J11" s="18"/>
      <c r="K11" s="44">
        <f aca="true" t="shared" si="2" ref="K11:M35">IF(J11="","",J11*$C11)</f>
      </c>
      <c r="L11" s="44">
        <f>IF(J11=0,"",IF(I11="nd",J11/2,J11))</f>
      </c>
      <c r="M11" s="44">
        <f t="shared" si="2"/>
      </c>
      <c r="N11" s="48"/>
      <c r="O11" s="53"/>
      <c r="P11" s="53">
        <f aca="true" t="shared" si="3" ref="P11:R35">IF(O11="","",O11*$C11)</f>
      </c>
      <c r="Q11" s="53">
        <f>IF(O11=0,"",IF(N11="nd",O11/2,O11))</f>
      </c>
      <c r="R11" s="53">
        <f t="shared" si="3"/>
      </c>
      <c r="S11" s="53"/>
      <c r="T11" s="53"/>
      <c r="U11" s="53">
        <f aca="true" t="shared" si="4" ref="U11:W35">IF(T11="","",T11*$C11)</f>
      </c>
      <c r="V11" s="53">
        <f>IF(T11=0,"",IF(R11="nd",T11/2,T11))</f>
      </c>
      <c r="W11" s="53">
        <f t="shared" si="4"/>
      </c>
    </row>
    <row r="12" spans="1:23" ht="12.75">
      <c r="A12" s="38"/>
      <c r="B12" s="38" t="s">
        <v>29</v>
      </c>
      <c r="C12" s="40">
        <v>0.5</v>
      </c>
      <c r="D12" s="40"/>
      <c r="E12" s="44"/>
      <c r="F12" s="44">
        <f t="shared" si="0"/>
      </c>
      <c r="G12" s="44">
        <f t="shared" si="1"/>
      </c>
      <c r="H12" s="44">
        <f t="shared" si="0"/>
      </c>
      <c r="I12" s="48"/>
      <c r="J12" s="18"/>
      <c r="K12" s="44">
        <f t="shared" si="2"/>
      </c>
      <c r="L12" s="44">
        <f aca="true" t="shared" si="5" ref="L12:L35">IF(J12=0,"",IF(I12="nd",J12/2,J12))</f>
      </c>
      <c r="M12" s="44">
        <f t="shared" si="2"/>
      </c>
      <c r="N12" s="48"/>
      <c r="O12" s="54"/>
      <c r="P12" s="53">
        <f t="shared" si="3"/>
      </c>
      <c r="Q12" s="53">
        <f aca="true" t="shared" si="6" ref="Q12:Q35">IF(O12=0,"",IF(N12="nd",O12/2,O12))</f>
      </c>
      <c r="R12" s="53">
        <f t="shared" si="3"/>
      </c>
      <c r="S12" s="53"/>
      <c r="T12" s="54"/>
      <c r="U12" s="53">
        <f t="shared" si="4"/>
      </c>
      <c r="V12" s="53">
        <f aca="true" t="shared" si="7" ref="V12:V35">IF(T12=0,"",IF(R12="nd",T12/2,T12))</f>
      </c>
      <c r="W12" s="53">
        <f t="shared" si="4"/>
      </c>
    </row>
    <row r="13" spans="1:23" ht="12.75">
      <c r="A13" s="38"/>
      <c r="B13" s="38" t="s">
        <v>30</v>
      </c>
      <c r="C13" s="40">
        <v>0.1</v>
      </c>
      <c r="D13" s="40"/>
      <c r="E13" s="44"/>
      <c r="F13" s="44">
        <f t="shared" si="0"/>
      </c>
      <c r="G13" s="44">
        <f t="shared" si="1"/>
      </c>
      <c r="H13" s="44">
        <f t="shared" si="0"/>
      </c>
      <c r="I13" s="48"/>
      <c r="J13" s="18"/>
      <c r="K13" s="44">
        <f t="shared" si="2"/>
      </c>
      <c r="L13" s="44">
        <f t="shared" si="5"/>
      </c>
      <c r="M13" s="44">
        <f t="shared" si="2"/>
      </c>
      <c r="N13" s="48"/>
      <c r="O13" s="54"/>
      <c r="P13" s="53">
        <f t="shared" si="3"/>
      </c>
      <c r="Q13" s="53">
        <f t="shared" si="6"/>
      </c>
      <c r="R13" s="53">
        <f t="shared" si="3"/>
      </c>
      <c r="S13" s="53"/>
      <c r="T13" s="54"/>
      <c r="U13" s="53">
        <f t="shared" si="4"/>
      </c>
      <c r="V13" s="53">
        <f t="shared" si="7"/>
      </c>
      <c r="W13" s="53">
        <f t="shared" si="4"/>
      </c>
    </row>
    <row r="14" spans="1:23" ht="12.75">
      <c r="A14" s="38"/>
      <c r="B14" s="38" t="s">
        <v>31</v>
      </c>
      <c r="C14" s="40">
        <v>0.1</v>
      </c>
      <c r="D14" s="40"/>
      <c r="E14" s="44"/>
      <c r="F14" s="44">
        <f t="shared" si="0"/>
      </c>
      <c r="G14" s="44">
        <f t="shared" si="1"/>
      </c>
      <c r="H14" s="44">
        <f t="shared" si="0"/>
      </c>
      <c r="I14" s="48"/>
      <c r="J14" s="18"/>
      <c r="K14" s="44">
        <f t="shared" si="2"/>
      </c>
      <c r="L14" s="44">
        <f t="shared" si="5"/>
      </c>
      <c r="M14" s="44">
        <f t="shared" si="2"/>
      </c>
      <c r="N14" s="48"/>
      <c r="O14" s="54"/>
      <c r="P14" s="53">
        <f t="shared" si="3"/>
      </c>
      <c r="Q14" s="53">
        <f t="shared" si="6"/>
      </c>
      <c r="R14" s="53">
        <f t="shared" si="3"/>
      </c>
      <c r="S14" s="53"/>
      <c r="T14" s="54"/>
      <c r="U14" s="53">
        <f t="shared" si="4"/>
      </c>
      <c r="V14" s="53">
        <f t="shared" si="7"/>
      </c>
      <c r="W14" s="53">
        <f t="shared" si="4"/>
      </c>
    </row>
    <row r="15" spans="1:23" ht="12.75">
      <c r="A15" s="38"/>
      <c r="B15" s="38" t="s">
        <v>32</v>
      </c>
      <c r="C15" s="40">
        <v>0.1</v>
      </c>
      <c r="D15" s="40"/>
      <c r="E15" s="44"/>
      <c r="F15" s="44">
        <f t="shared" si="0"/>
      </c>
      <c r="G15" s="44">
        <f t="shared" si="1"/>
      </c>
      <c r="H15" s="44">
        <f t="shared" si="0"/>
      </c>
      <c r="I15" s="48"/>
      <c r="J15" s="18"/>
      <c r="K15" s="44">
        <f t="shared" si="2"/>
      </c>
      <c r="L15" s="44">
        <f t="shared" si="5"/>
      </c>
      <c r="M15" s="44">
        <f t="shared" si="2"/>
      </c>
      <c r="N15" s="48"/>
      <c r="O15" s="54"/>
      <c r="P15" s="53">
        <f t="shared" si="3"/>
      </c>
      <c r="Q15" s="53">
        <f t="shared" si="6"/>
      </c>
      <c r="R15" s="53">
        <f t="shared" si="3"/>
      </c>
      <c r="S15" s="53"/>
      <c r="T15" s="54"/>
      <c r="U15" s="53">
        <f t="shared" si="4"/>
      </c>
      <c r="V15" s="53">
        <f t="shared" si="7"/>
      </c>
      <c r="W15" s="53">
        <f t="shared" si="4"/>
      </c>
    </row>
    <row r="16" spans="1:23" ht="12.75">
      <c r="A16" s="38"/>
      <c r="B16" s="38" t="s">
        <v>33</v>
      </c>
      <c r="C16" s="40">
        <v>0.01</v>
      </c>
      <c r="D16" s="40"/>
      <c r="E16" s="43">
        <v>0.05</v>
      </c>
      <c r="F16" s="44">
        <f t="shared" si="0"/>
        <v>0.0005</v>
      </c>
      <c r="G16" s="44">
        <f>IF(E16=0,"",IF(D16="nd",E16/2,E16))</f>
        <v>0.05</v>
      </c>
      <c r="H16" s="44">
        <f t="shared" si="0"/>
        <v>0.0005</v>
      </c>
      <c r="I16" s="48"/>
      <c r="J16" s="18"/>
      <c r="K16" s="44">
        <f t="shared" si="2"/>
      </c>
      <c r="L16" s="44">
        <f t="shared" si="5"/>
      </c>
      <c r="M16" s="44">
        <f t="shared" si="2"/>
      </c>
      <c r="N16" s="48"/>
      <c r="O16" s="63"/>
      <c r="P16" s="43">
        <f t="shared" si="3"/>
      </c>
      <c r="Q16" s="43">
        <f t="shared" si="6"/>
      </c>
      <c r="R16" s="43">
        <f t="shared" si="3"/>
      </c>
      <c r="S16" s="53"/>
      <c r="T16" s="63">
        <v>0.07</v>
      </c>
      <c r="U16" s="43">
        <f t="shared" si="4"/>
        <v>0.0007000000000000001</v>
      </c>
      <c r="V16" s="43">
        <f aca="true" t="shared" si="8" ref="V16:V23">IF(T16=0,"",IF(S16="nd",T16/2,T16))</f>
        <v>0.07</v>
      </c>
      <c r="W16" s="43">
        <f t="shared" si="4"/>
        <v>0.0007000000000000001</v>
      </c>
    </row>
    <row r="17" spans="1:23" ht="12.75">
      <c r="A17" s="38"/>
      <c r="B17" s="38" t="s">
        <v>34</v>
      </c>
      <c r="C17" s="40">
        <v>0.001</v>
      </c>
      <c r="D17" s="40"/>
      <c r="E17" s="43">
        <v>0.33</v>
      </c>
      <c r="F17" s="43">
        <f t="shared" si="0"/>
        <v>0.00033</v>
      </c>
      <c r="G17" s="43">
        <f>IF(E17=0,"",IF(D17="nd",E17/2,E17))</f>
        <v>0.33</v>
      </c>
      <c r="H17" s="43">
        <f t="shared" si="0"/>
        <v>0.00033</v>
      </c>
      <c r="I17" s="48"/>
      <c r="J17" s="18">
        <v>0.37</v>
      </c>
      <c r="K17" s="48">
        <f t="shared" si="2"/>
        <v>0.00037</v>
      </c>
      <c r="L17" s="48">
        <f t="shared" si="5"/>
        <v>0.37</v>
      </c>
      <c r="M17" s="48">
        <f t="shared" si="2"/>
        <v>0.00037</v>
      </c>
      <c r="N17" s="48"/>
      <c r="O17" s="18">
        <v>0.58</v>
      </c>
      <c r="P17" s="48">
        <f t="shared" si="3"/>
        <v>0.00058</v>
      </c>
      <c r="Q17" s="48">
        <f t="shared" si="6"/>
        <v>0.58</v>
      </c>
      <c r="R17" s="48">
        <f t="shared" si="3"/>
        <v>0.00058</v>
      </c>
      <c r="S17" s="53"/>
      <c r="T17" s="63">
        <v>0.48</v>
      </c>
      <c r="U17" s="43">
        <f t="shared" si="4"/>
        <v>0.00048</v>
      </c>
      <c r="V17" s="43">
        <f t="shared" si="8"/>
        <v>0.48</v>
      </c>
      <c r="W17" s="43">
        <f t="shared" si="4"/>
        <v>0.00048</v>
      </c>
    </row>
    <row r="18" spans="1:23" ht="12.75">
      <c r="A18" s="38"/>
      <c r="B18" s="38" t="s">
        <v>35</v>
      </c>
      <c r="C18" s="40">
        <v>0.1</v>
      </c>
      <c r="D18" s="40"/>
      <c r="E18" s="44">
        <v>0.03</v>
      </c>
      <c r="F18" s="44">
        <f t="shared" si="0"/>
        <v>0.003</v>
      </c>
      <c r="G18" s="44">
        <f t="shared" si="1"/>
        <v>0.03</v>
      </c>
      <c r="H18" s="44">
        <f t="shared" si="0"/>
        <v>0.003</v>
      </c>
      <c r="I18" s="48"/>
      <c r="J18" s="18"/>
      <c r="K18" s="48">
        <f t="shared" si="2"/>
      </c>
      <c r="L18" s="48">
        <f t="shared" si="5"/>
      </c>
      <c r="M18" s="48">
        <f t="shared" si="2"/>
      </c>
      <c r="N18" s="48"/>
      <c r="O18" s="18">
        <v>0.06</v>
      </c>
      <c r="P18" s="48">
        <f t="shared" si="3"/>
        <v>0.006</v>
      </c>
      <c r="Q18" s="48">
        <f t="shared" si="6"/>
        <v>0.06</v>
      </c>
      <c r="R18" s="48">
        <f t="shared" si="3"/>
        <v>0.006</v>
      </c>
      <c r="S18" s="53"/>
      <c r="T18" s="63">
        <v>0.05</v>
      </c>
      <c r="U18" s="43">
        <f t="shared" si="4"/>
        <v>0.005000000000000001</v>
      </c>
      <c r="V18" s="43">
        <f t="shared" si="8"/>
        <v>0.05</v>
      </c>
      <c r="W18" s="43">
        <f t="shared" si="4"/>
        <v>0.005000000000000001</v>
      </c>
    </row>
    <row r="19" spans="1:23" ht="12.75">
      <c r="A19" s="38"/>
      <c r="B19" s="38" t="s">
        <v>36</v>
      </c>
      <c r="C19" s="40">
        <v>0.05</v>
      </c>
      <c r="D19" s="40"/>
      <c r="E19" s="53"/>
      <c r="F19" s="53">
        <f t="shared" si="0"/>
      </c>
      <c r="G19" s="53">
        <f t="shared" si="1"/>
      </c>
      <c r="H19" s="53">
        <f t="shared" si="0"/>
      </c>
      <c r="I19" s="48"/>
      <c r="J19" s="18"/>
      <c r="K19" s="44">
        <f t="shared" si="2"/>
      </c>
      <c r="L19" s="53">
        <f t="shared" si="5"/>
      </c>
      <c r="M19" s="44">
        <f t="shared" si="2"/>
      </c>
      <c r="N19" s="48"/>
      <c r="O19" s="18"/>
      <c r="P19" s="44">
        <f t="shared" si="3"/>
      </c>
      <c r="Q19" s="53">
        <f t="shared" si="6"/>
      </c>
      <c r="R19" s="44">
        <f t="shared" si="3"/>
      </c>
      <c r="S19" s="53"/>
      <c r="T19" s="63"/>
      <c r="U19" s="43">
        <f t="shared" si="4"/>
      </c>
      <c r="V19" s="43">
        <f t="shared" si="8"/>
      </c>
      <c r="W19" s="43">
        <f t="shared" si="4"/>
      </c>
    </row>
    <row r="20" spans="1:23" ht="12.75">
      <c r="A20" s="38"/>
      <c r="B20" s="38" t="s">
        <v>37</v>
      </c>
      <c r="C20" s="40">
        <v>0.5</v>
      </c>
      <c r="D20" s="40"/>
      <c r="E20" s="53"/>
      <c r="F20" s="53">
        <f t="shared" si="0"/>
      </c>
      <c r="G20" s="53">
        <f t="shared" si="1"/>
      </c>
      <c r="H20" s="53">
        <f t="shared" si="0"/>
      </c>
      <c r="I20" s="48"/>
      <c r="J20" s="18"/>
      <c r="K20" s="44">
        <f t="shared" si="2"/>
      </c>
      <c r="L20" s="53">
        <f t="shared" si="5"/>
      </c>
      <c r="M20" s="44">
        <f t="shared" si="2"/>
      </c>
      <c r="N20" s="48"/>
      <c r="O20" s="18"/>
      <c r="P20" s="44">
        <f t="shared" si="3"/>
      </c>
      <c r="Q20" s="53">
        <f t="shared" si="6"/>
      </c>
      <c r="R20" s="44">
        <f t="shared" si="3"/>
      </c>
      <c r="S20" s="53"/>
      <c r="T20" s="63"/>
      <c r="U20" s="43">
        <f t="shared" si="4"/>
      </c>
      <c r="V20" s="43">
        <f t="shared" si="8"/>
      </c>
      <c r="W20" s="43">
        <f t="shared" si="4"/>
      </c>
    </row>
    <row r="21" spans="1:23" ht="12.75">
      <c r="A21" s="38"/>
      <c r="B21" s="38" t="s">
        <v>38</v>
      </c>
      <c r="C21" s="40">
        <v>0.1</v>
      </c>
      <c r="D21" s="40"/>
      <c r="E21" s="53"/>
      <c r="F21" s="53">
        <f t="shared" si="0"/>
      </c>
      <c r="G21" s="53">
        <f t="shared" si="1"/>
      </c>
      <c r="H21" s="53">
        <f t="shared" si="0"/>
      </c>
      <c r="I21" s="48"/>
      <c r="J21" s="18"/>
      <c r="K21" s="44">
        <f t="shared" si="2"/>
      </c>
      <c r="L21" s="53">
        <f t="shared" si="5"/>
      </c>
      <c r="M21" s="44">
        <f t="shared" si="2"/>
      </c>
      <c r="N21" s="48"/>
      <c r="O21" s="18"/>
      <c r="P21" s="44">
        <f t="shared" si="3"/>
      </c>
      <c r="Q21" s="53">
        <f t="shared" si="6"/>
      </c>
      <c r="R21" s="44">
        <f t="shared" si="3"/>
      </c>
      <c r="S21" s="53"/>
      <c r="T21" s="63"/>
      <c r="U21" s="43">
        <f t="shared" si="4"/>
      </c>
      <c r="V21" s="43">
        <f t="shared" si="8"/>
      </c>
      <c r="W21" s="43">
        <f t="shared" si="4"/>
      </c>
    </row>
    <row r="22" spans="1:23" ht="12.75">
      <c r="A22" s="38"/>
      <c r="B22" s="38" t="s">
        <v>39</v>
      </c>
      <c r="C22" s="40">
        <v>0.1</v>
      </c>
      <c r="D22" s="40"/>
      <c r="E22" s="53"/>
      <c r="F22" s="53">
        <f t="shared" si="0"/>
      </c>
      <c r="G22" s="53">
        <f t="shared" si="1"/>
      </c>
      <c r="H22" s="53">
        <f t="shared" si="0"/>
      </c>
      <c r="I22" s="48"/>
      <c r="J22" s="18"/>
      <c r="K22" s="44">
        <f t="shared" si="2"/>
      </c>
      <c r="L22" s="53">
        <f t="shared" si="5"/>
      </c>
      <c r="M22" s="44">
        <f t="shared" si="2"/>
      </c>
      <c r="N22" s="48"/>
      <c r="O22" s="18"/>
      <c r="P22" s="44">
        <f t="shared" si="3"/>
      </c>
      <c r="Q22" s="53">
        <f t="shared" si="6"/>
      </c>
      <c r="R22" s="44">
        <f t="shared" si="3"/>
      </c>
      <c r="S22" s="53"/>
      <c r="T22" s="63"/>
      <c r="U22" s="43">
        <f t="shared" si="4"/>
      </c>
      <c r="V22" s="43">
        <f t="shared" si="8"/>
      </c>
      <c r="W22" s="43">
        <f t="shared" si="4"/>
      </c>
    </row>
    <row r="23" spans="1:23" ht="12.75">
      <c r="A23" s="38"/>
      <c r="B23" s="38" t="s">
        <v>40</v>
      </c>
      <c r="C23" s="40">
        <v>0.1</v>
      </c>
      <c r="D23" s="40"/>
      <c r="E23" s="43"/>
      <c r="F23" s="43">
        <f t="shared" si="0"/>
      </c>
      <c r="G23" s="43">
        <f t="shared" si="1"/>
      </c>
      <c r="H23" s="43">
        <f t="shared" si="0"/>
      </c>
      <c r="I23" s="48"/>
      <c r="J23" s="18"/>
      <c r="K23" s="44">
        <f t="shared" si="2"/>
      </c>
      <c r="L23" s="53">
        <f t="shared" si="5"/>
      </c>
      <c r="M23" s="44">
        <f t="shared" si="2"/>
      </c>
      <c r="N23" s="48"/>
      <c r="O23" s="18"/>
      <c r="P23" s="44">
        <f t="shared" si="3"/>
      </c>
      <c r="Q23" s="53">
        <f t="shared" si="6"/>
      </c>
      <c r="R23" s="44">
        <f t="shared" si="3"/>
      </c>
      <c r="S23" s="53"/>
      <c r="T23" s="63">
        <v>0.01</v>
      </c>
      <c r="U23" s="43">
        <f t="shared" si="4"/>
        <v>0.001</v>
      </c>
      <c r="V23" s="43">
        <f t="shared" si="8"/>
        <v>0.01</v>
      </c>
      <c r="W23" s="43">
        <f t="shared" si="4"/>
        <v>0.001</v>
      </c>
    </row>
    <row r="24" spans="1:23" ht="12.75">
      <c r="A24" s="38"/>
      <c r="B24" s="38" t="s">
        <v>41</v>
      </c>
      <c r="C24" s="40">
        <v>0.1</v>
      </c>
      <c r="D24" s="40"/>
      <c r="E24" s="53"/>
      <c r="F24" s="53">
        <f t="shared" si="0"/>
      </c>
      <c r="G24" s="53">
        <f t="shared" si="1"/>
      </c>
      <c r="H24" s="53">
        <f t="shared" si="0"/>
      </c>
      <c r="I24" s="48"/>
      <c r="J24" s="18"/>
      <c r="K24" s="44">
        <f t="shared" si="2"/>
      </c>
      <c r="L24" s="53">
        <f t="shared" si="5"/>
      </c>
      <c r="M24" s="44">
        <f t="shared" si="2"/>
      </c>
      <c r="N24" s="48"/>
      <c r="O24" s="18"/>
      <c r="P24" s="44">
        <f t="shared" si="3"/>
      </c>
      <c r="Q24" s="53">
        <f t="shared" si="6"/>
      </c>
      <c r="R24" s="44">
        <f t="shared" si="3"/>
      </c>
      <c r="S24" s="53"/>
      <c r="T24" s="54"/>
      <c r="U24" s="53">
        <f t="shared" si="4"/>
      </c>
      <c r="V24" s="53">
        <f t="shared" si="7"/>
      </c>
      <c r="W24" s="53">
        <f t="shared" si="4"/>
      </c>
    </row>
    <row r="25" spans="1:23" ht="12.75">
      <c r="A25" s="38"/>
      <c r="B25" s="38" t="s">
        <v>42</v>
      </c>
      <c r="C25" s="40">
        <v>0.01</v>
      </c>
      <c r="D25" s="40"/>
      <c r="E25" s="53"/>
      <c r="F25" s="53">
        <f t="shared" si="0"/>
      </c>
      <c r="G25" s="53">
        <f t="shared" si="1"/>
      </c>
      <c r="H25" s="53">
        <f t="shared" si="0"/>
      </c>
      <c r="I25" s="48"/>
      <c r="J25" s="18"/>
      <c r="K25" s="44">
        <f t="shared" si="2"/>
      </c>
      <c r="L25" s="53">
        <f t="shared" si="5"/>
      </c>
      <c r="M25" s="44">
        <f t="shared" si="2"/>
      </c>
      <c r="N25" s="48"/>
      <c r="O25" s="18"/>
      <c r="P25" s="44">
        <f t="shared" si="3"/>
      </c>
      <c r="Q25" s="53">
        <f t="shared" si="6"/>
      </c>
      <c r="R25" s="44">
        <f t="shared" si="3"/>
      </c>
      <c r="S25" s="53"/>
      <c r="T25" s="54"/>
      <c r="U25" s="53">
        <f t="shared" si="4"/>
      </c>
      <c r="V25" s="53">
        <f t="shared" si="7"/>
      </c>
      <c r="W25" s="53">
        <f t="shared" si="4"/>
      </c>
    </row>
    <row r="26" spans="1:23" ht="12.75">
      <c r="A26" s="38"/>
      <c r="B26" s="38" t="s">
        <v>43</v>
      </c>
      <c r="C26" s="40">
        <v>0.01</v>
      </c>
      <c r="D26" s="40"/>
      <c r="E26" s="53"/>
      <c r="F26" s="53">
        <f t="shared" si="0"/>
      </c>
      <c r="G26" s="53">
        <f t="shared" si="1"/>
      </c>
      <c r="H26" s="53">
        <f t="shared" si="0"/>
      </c>
      <c r="I26" s="48"/>
      <c r="J26" s="18"/>
      <c r="K26" s="44">
        <f t="shared" si="2"/>
      </c>
      <c r="L26" s="53">
        <f t="shared" si="5"/>
      </c>
      <c r="M26" s="44">
        <f t="shared" si="2"/>
      </c>
      <c r="N26" s="48"/>
      <c r="O26" s="18"/>
      <c r="P26" s="44">
        <f t="shared" si="3"/>
      </c>
      <c r="Q26" s="53">
        <f t="shared" si="6"/>
      </c>
      <c r="R26" s="44">
        <f t="shared" si="3"/>
      </c>
      <c r="S26" s="53"/>
      <c r="T26" s="54"/>
      <c r="U26" s="53">
        <f t="shared" si="4"/>
      </c>
      <c r="V26" s="53">
        <f t="shared" si="7"/>
      </c>
      <c r="W26" s="53">
        <f t="shared" si="4"/>
      </c>
    </row>
    <row r="27" spans="1:23" ht="12.75">
      <c r="A27" s="38"/>
      <c r="B27" s="38" t="s">
        <v>44</v>
      </c>
      <c r="C27" s="40">
        <v>0.001</v>
      </c>
      <c r="D27" s="40"/>
      <c r="E27" s="53"/>
      <c r="F27" s="53">
        <f t="shared" si="0"/>
      </c>
      <c r="G27" s="53">
        <f t="shared" si="1"/>
      </c>
      <c r="H27" s="53">
        <f t="shared" si="0"/>
      </c>
      <c r="I27" s="48"/>
      <c r="J27" s="18"/>
      <c r="K27" s="44">
        <f t="shared" si="2"/>
      </c>
      <c r="L27" s="53">
        <f t="shared" si="5"/>
      </c>
      <c r="M27" s="44">
        <f t="shared" si="2"/>
      </c>
      <c r="N27" s="48"/>
      <c r="O27" s="18"/>
      <c r="P27" s="44">
        <f t="shared" si="3"/>
      </c>
      <c r="Q27" s="53">
        <f t="shared" si="6"/>
      </c>
      <c r="R27" s="44">
        <f t="shared" si="3"/>
      </c>
      <c r="S27" s="53"/>
      <c r="T27" s="54"/>
      <c r="U27" s="53">
        <f t="shared" si="4"/>
      </c>
      <c r="V27" s="53">
        <f t="shared" si="7"/>
      </c>
      <c r="W27" s="53">
        <f t="shared" si="4"/>
      </c>
    </row>
    <row r="28" spans="1:23" ht="12.75">
      <c r="A28" s="38"/>
      <c r="B28" s="38" t="s">
        <v>98</v>
      </c>
      <c r="C28" s="40">
        <v>0</v>
      </c>
      <c r="D28" s="40"/>
      <c r="E28" s="53"/>
      <c r="F28" s="53">
        <f t="shared" si="0"/>
      </c>
      <c r="G28" s="53">
        <f t="shared" si="1"/>
      </c>
      <c r="H28" s="53">
        <f t="shared" si="0"/>
      </c>
      <c r="I28" s="48"/>
      <c r="J28" s="33"/>
      <c r="K28" s="44">
        <f t="shared" si="2"/>
      </c>
      <c r="L28" s="53">
        <f t="shared" si="5"/>
      </c>
      <c r="M28" s="44">
        <f t="shared" si="2"/>
      </c>
      <c r="N28" s="48"/>
      <c r="O28" s="33"/>
      <c r="P28" s="44">
        <f t="shared" si="3"/>
      </c>
      <c r="Q28" s="53">
        <f t="shared" si="6"/>
      </c>
      <c r="R28" s="44">
        <f t="shared" si="3"/>
      </c>
      <c r="S28" s="53"/>
      <c r="T28" s="53"/>
      <c r="U28" s="53">
        <f t="shared" si="4"/>
      </c>
      <c r="V28" s="53">
        <f t="shared" si="7"/>
      </c>
      <c r="W28" s="53">
        <f t="shared" si="4"/>
      </c>
    </row>
    <row r="29" spans="1:23" ht="12.75">
      <c r="A29" s="38"/>
      <c r="B29" s="38" t="s">
        <v>99</v>
      </c>
      <c r="C29" s="40">
        <v>0</v>
      </c>
      <c r="D29" s="40"/>
      <c r="E29" s="53"/>
      <c r="F29" s="53">
        <f t="shared" si="0"/>
      </c>
      <c r="G29" s="53">
        <f t="shared" si="1"/>
      </c>
      <c r="H29" s="53">
        <f t="shared" si="0"/>
      </c>
      <c r="I29" s="48"/>
      <c r="J29" s="18"/>
      <c r="K29" s="44">
        <f t="shared" si="2"/>
      </c>
      <c r="L29" s="53">
        <f t="shared" si="5"/>
      </c>
      <c r="M29" s="44">
        <f t="shared" si="2"/>
      </c>
      <c r="N29" s="48"/>
      <c r="O29" s="18"/>
      <c r="P29" s="44">
        <f t="shared" si="3"/>
      </c>
      <c r="Q29" s="53">
        <f t="shared" si="6"/>
      </c>
      <c r="R29" s="44">
        <f t="shared" si="3"/>
      </c>
      <c r="S29" s="53"/>
      <c r="T29" s="54"/>
      <c r="U29" s="53">
        <f t="shared" si="4"/>
      </c>
      <c r="V29" s="53">
        <f t="shared" si="7"/>
      </c>
      <c r="W29" s="53">
        <f t="shared" si="4"/>
      </c>
    </row>
    <row r="30" spans="1:23" ht="12.75">
      <c r="A30" s="38"/>
      <c r="B30" s="38" t="s">
        <v>100</v>
      </c>
      <c r="C30" s="40">
        <v>0</v>
      </c>
      <c r="D30" s="40"/>
      <c r="E30" s="53"/>
      <c r="F30" s="53">
        <f t="shared" si="0"/>
      </c>
      <c r="G30" s="53">
        <f t="shared" si="1"/>
      </c>
      <c r="H30" s="53">
        <f t="shared" si="0"/>
      </c>
      <c r="I30" s="48"/>
      <c r="J30" s="18"/>
      <c r="K30" s="44">
        <f t="shared" si="2"/>
      </c>
      <c r="L30" s="53">
        <f t="shared" si="5"/>
      </c>
      <c r="M30" s="44">
        <f t="shared" si="2"/>
      </c>
      <c r="N30" s="48"/>
      <c r="O30" s="18"/>
      <c r="P30" s="44">
        <f t="shared" si="3"/>
      </c>
      <c r="Q30" s="53">
        <f t="shared" si="6"/>
      </c>
      <c r="R30" s="44">
        <f t="shared" si="3"/>
      </c>
      <c r="S30" s="53"/>
      <c r="T30" s="54"/>
      <c r="U30" s="53">
        <f t="shared" si="4"/>
      </c>
      <c r="V30" s="53">
        <f t="shared" si="7"/>
      </c>
      <c r="W30" s="53">
        <f t="shared" si="4"/>
      </c>
    </row>
    <row r="31" spans="1:23" ht="12.75">
      <c r="A31" s="38"/>
      <c r="B31" s="38" t="s">
        <v>101</v>
      </c>
      <c r="C31" s="40">
        <v>0</v>
      </c>
      <c r="D31" s="40"/>
      <c r="E31" s="53"/>
      <c r="F31" s="53">
        <f t="shared" si="0"/>
      </c>
      <c r="G31" s="53">
        <f t="shared" si="1"/>
      </c>
      <c r="H31" s="53">
        <f t="shared" si="0"/>
      </c>
      <c r="I31" s="48"/>
      <c r="J31" s="18"/>
      <c r="K31" s="44">
        <f t="shared" si="2"/>
      </c>
      <c r="L31" s="53">
        <f t="shared" si="5"/>
      </c>
      <c r="M31" s="44">
        <f t="shared" si="2"/>
      </c>
      <c r="N31" s="48"/>
      <c r="O31" s="18"/>
      <c r="P31" s="44">
        <f t="shared" si="3"/>
      </c>
      <c r="Q31" s="53">
        <f t="shared" si="6"/>
      </c>
      <c r="R31" s="44">
        <f t="shared" si="3"/>
      </c>
      <c r="S31" s="53"/>
      <c r="T31" s="54"/>
      <c r="U31" s="53">
        <f t="shared" si="4"/>
      </c>
      <c r="V31" s="53">
        <f t="shared" si="7"/>
      </c>
      <c r="W31" s="53">
        <f t="shared" si="4"/>
      </c>
    </row>
    <row r="32" spans="1:23" ht="12.75">
      <c r="A32" s="38"/>
      <c r="B32" s="38" t="s">
        <v>102</v>
      </c>
      <c r="C32" s="40">
        <v>0</v>
      </c>
      <c r="D32" s="40"/>
      <c r="E32" s="53"/>
      <c r="F32" s="53">
        <f t="shared" si="0"/>
      </c>
      <c r="G32" s="53">
        <f t="shared" si="1"/>
      </c>
      <c r="H32" s="53">
        <f t="shared" si="0"/>
      </c>
      <c r="I32" s="48"/>
      <c r="J32" s="18">
        <v>0.05</v>
      </c>
      <c r="K32" s="44">
        <f t="shared" si="2"/>
        <v>0</v>
      </c>
      <c r="L32" s="53">
        <f t="shared" si="5"/>
        <v>0.05</v>
      </c>
      <c r="M32" s="44">
        <f t="shared" si="2"/>
        <v>0</v>
      </c>
      <c r="N32" s="48"/>
      <c r="O32" s="18">
        <v>0.02</v>
      </c>
      <c r="P32" s="44">
        <f t="shared" si="3"/>
        <v>0</v>
      </c>
      <c r="Q32" s="53">
        <f t="shared" si="6"/>
        <v>0.02</v>
      </c>
      <c r="R32" s="44">
        <f t="shared" si="3"/>
        <v>0</v>
      </c>
      <c r="S32" s="53"/>
      <c r="T32" s="63">
        <v>0.08</v>
      </c>
      <c r="U32" s="43">
        <f t="shared" si="4"/>
        <v>0</v>
      </c>
      <c r="V32" s="43">
        <f>IF(T32=0,"",IF(S32="nd",T32/2,T32))</f>
        <v>0.08</v>
      </c>
      <c r="W32" s="43">
        <f t="shared" si="4"/>
        <v>0</v>
      </c>
    </row>
    <row r="33" spans="1:23" ht="12.75">
      <c r="A33" s="38"/>
      <c r="B33" s="38" t="s">
        <v>103</v>
      </c>
      <c r="C33" s="40">
        <v>0</v>
      </c>
      <c r="D33" s="40"/>
      <c r="E33" s="53"/>
      <c r="F33" s="53">
        <f t="shared" si="0"/>
      </c>
      <c r="G33" s="53">
        <f t="shared" si="1"/>
      </c>
      <c r="H33" s="53">
        <f t="shared" si="0"/>
      </c>
      <c r="I33" s="48"/>
      <c r="J33" s="18"/>
      <c r="K33" s="44">
        <f t="shared" si="2"/>
      </c>
      <c r="L33" s="53">
        <f t="shared" si="5"/>
      </c>
      <c r="M33" s="44">
        <f t="shared" si="2"/>
      </c>
      <c r="N33" s="48"/>
      <c r="O33" s="18">
        <v>0.03</v>
      </c>
      <c r="P33" s="44">
        <f t="shared" si="3"/>
        <v>0</v>
      </c>
      <c r="Q33" s="53">
        <f t="shared" si="6"/>
        <v>0.03</v>
      </c>
      <c r="R33" s="44">
        <f t="shared" si="3"/>
        <v>0</v>
      </c>
      <c r="S33" s="53"/>
      <c r="T33" s="63">
        <v>0.03</v>
      </c>
      <c r="U33" s="43">
        <f t="shared" si="4"/>
        <v>0</v>
      </c>
      <c r="V33" s="43">
        <f>IF(T33=0,"",IF(S33="nd",T33/2,T33))</f>
        <v>0.03</v>
      </c>
      <c r="W33" s="43">
        <f t="shared" si="4"/>
        <v>0</v>
      </c>
    </row>
    <row r="34" spans="1:23" ht="12.75">
      <c r="A34" s="38"/>
      <c r="B34" s="38" t="s">
        <v>104</v>
      </c>
      <c r="C34" s="40">
        <v>0</v>
      </c>
      <c r="D34" s="40"/>
      <c r="E34" s="53"/>
      <c r="F34" s="53">
        <f t="shared" si="0"/>
      </c>
      <c r="G34" s="53">
        <f t="shared" si="1"/>
      </c>
      <c r="H34" s="53">
        <f t="shared" si="0"/>
      </c>
      <c r="I34" s="48"/>
      <c r="J34" s="18"/>
      <c r="K34" s="44">
        <f t="shared" si="2"/>
      </c>
      <c r="L34" s="53">
        <f t="shared" si="5"/>
      </c>
      <c r="M34" s="44">
        <f t="shared" si="2"/>
      </c>
      <c r="N34" s="48"/>
      <c r="O34" s="54"/>
      <c r="P34" s="53">
        <f t="shared" si="3"/>
      </c>
      <c r="Q34" s="53">
        <f t="shared" si="6"/>
      </c>
      <c r="R34" s="53">
        <f t="shared" si="3"/>
      </c>
      <c r="S34" s="53"/>
      <c r="T34" s="54"/>
      <c r="U34" s="53">
        <f t="shared" si="4"/>
      </c>
      <c r="V34" s="53">
        <f t="shared" si="7"/>
      </c>
      <c r="W34" s="53">
        <f t="shared" si="4"/>
      </c>
    </row>
    <row r="35" spans="1:23" ht="12.75">
      <c r="A35" s="38"/>
      <c r="B35" s="38" t="s">
        <v>105</v>
      </c>
      <c r="C35" s="40">
        <v>0</v>
      </c>
      <c r="D35" s="40"/>
      <c r="E35" s="53"/>
      <c r="F35" s="53">
        <f t="shared" si="0"/>
      </c>
      <c r="G35" s="53">
        <f t="shared" si="1"/>
      </c>
      <c r="H35" s="53">
        <f t="shared" si="0"/>
      </c>
      <c r="I35" s="48"/>
      <c r="J35" s="18"/>
      <c r="K35" s="44">
        <f t="shared" si="2"/>
      </c>
      <c r="L35" s="53">
        <f t="shared" si="5"/>
      </c>
      <c r="M35" s="44">
        <f t="shared" si="2"/>
      </c>
      <c r="N35" s="48"/>
      <c r="O35" s="54"/>
      <c r="P35" s="53">
        <f t="shared" si="3"/>
      </c>
      <c r="Q35" s="53">
        <f t="shared" si="6"/>
      </c>
      <c r="R35" s="53">
        <f t="shared" si="3"/>
      </c>
      <c r="S35" s="53"/>
      <c r="T35" s="54"/>
      <c r="U35" s="53">
        <f t="shared" si="4"/>
      </c>
      <c r="V35" s="53">
        <f t="shared" si="7"/>
      </c>
      <c r="W35" s="53">
        <f t="shared" si="4"/>
      </c>
    </row>
    <row r="36" spans="1:23" ht="12.75">
      <c r="A36" s="38"/>
      <c r="B36" s="38"/>
      <c r="C36" s="38"/>
      <c r="D36" s="38"/>
      <c r="E36" s="44"/>
      <c r="F36" s="48"/>
      <c r="G36" s="44"/>
      <c r="H36" s="48"/>
      <c r="I36" s="44"/>
      <c r="J36" s="18"/>
      <c r="K36" s="42"/>
      <c r="L36" s="42"/>
      <c r="M36" s="42"/>
      <c r="N36" s="44"/>
      <c r="O36" s="18"/>
      <c r="P36" s="47"/>
      <c r="Q36" s="44"/>
      <c r="R36" s="47"/>
      <c r="S36" s="47"/>
      <c r="T36" s="18"/>
      <c r="U36" s="47"/>
      <c r="V36" s="44"/>
      <c r="W36" s="47"/>
    </row>
    <row r="37" spans="1:23" ht="12.75">
      <c r="A37" s="38"/>
      <c r="B37" s="38" t="s">
        <v>45</v>
      </c>
      <c r="C37" s="38"/>
      <c r="D37" s="38"/>
      <c r="E37" s="44"/>
      <c r="F37" s="44">
        <v>136.457</v>
      </c>
      <c r="G37" s="44">
        <v>136.457</v>
      </c>
      <c r="H37" s="44">
        <v>136.457</v>
      </c>
      <c r="I37" s="44"/>
      <c r="J37" s="44"/>
      <c r="K37" s="44">
        <v>130.45</v>
      </c>
      <c r="L37" s="44">
        <v>130.45</v>
      </c>
      <c r="M37" s="44">
        <v>130.45</v>
      </c>
      <c r="N37" s="44"/>
      <c r="O37" s="44"/>
      <c r="P37" s="44">
        <v>130.667</v>
      </c>
      <c r="Q37" s="44">
        <v>130.667</v>
      </c>
      <c r="R37" s="44">
        <v>130.667</v>
      </c>
      <c r="S37" s="44"/>
      <c r="T37" s="44"/>
      <c r="U37" s="44">
        <v>132.393</v>
      </c>
      <c r="V37" s="44">
        <v>132.393</v>
      </c>
      <c r="W37" s="44">
        <v>132.393</v>
      </c>
    </row>
    <row r="38" spans="1:23" ht="12.75">
      <c r="A38" s="38"/>
      <c r="B38" s="38" t="s">
        <v>58</v>
      </c>
      <c r="C38" s="38"/>
      <c r="D38" s="38"/>
      <c r="E38" s="44"/>
      <c r="F38" s="44">
        <v>11.2</v>
      </c>
      <c r="G38" s="44">
        <v>11.2</v>
      </c>
      <c r="H38" s="44">
        <v>11.2</v>
      </c>
      <c r="I38" s="44"/>
      <c r="J38" s="44"/>
      <c r="K38" s="42">
        <v>11.4</v>
      </c>
      <c r="L38" s="42">
        <v>11.4</v>
      </c>
      <c r="M38" s="42">
        <v>11.4</v>
      </c>
      <c r="N38" s="44"/>
      <c r="O38" s="44"/>
      <c r="P38" s="44">
        <v>11.5</v>
      </c>
      <c r="Q38" s="44">
        <v>11.5</v>
      </c>
      <c r="R38" s="44">
        <v>11.5</v>
      </c>
      <c r="S38" s="44"/>
      <c r="T38" s="44"/>
      <c r="U38" s="44">
        <v>11.3</v>
      </c>
      <c r="V38" s="44">
        <v>11.3</v>
      </c>
      <c r="W38" s="44">
        <v>11.3</v>
      </c>
    </row>
    <row r="39" spans="1:23" ht="12.75">
      <c r="A39" s="38"/>
      <c r="B39" s="38"/>
      <c r="C39" s="38"/>
      <c r="D39" s="38"/>
      <c r="E39" s="44"/>
      <c r="F39" s="18"/>
      <c r="G39" s="44"/>
      <c r="H39" s="18"/>
      <c r="I39" s="18"/>
      <c r="J39" s="44"/>
      <c r="K39" s="45"/>
      <c r="L39" s="42"/>
      <c r="M39" s="45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2.75">
      <c r="A40" s="38"/>
      <c r="B40" s="38" t="s">
        <v>106</v>
      </c>
      <c r="C40" s="48"/>
      <c r="D40" s="48"/>
      <c r="E40" s="42"/>
      <c r="F40" s="48">
        <f>SUM(F11:F27)</f>
        <v>0.00383</v>
      </c>
      <c r="G40" s="42"/>
      <c r="H40" s="48">
        <f>SUM(H11:H27)</f>
        <v>0.00383</v>
      </c>
      <c r="I40" s="48"/>
      <c r="J40" s="42"/>
      <c r="K40" s="48">
        <f>SUM(K11:K27)</f>
        <v>0.00037</v>
      </c>
      <c r="L40" s="42"/>
      <c r="M40" s="48">
        <f>SUM(M11:M27)</f>
        <v>0.00037</v>
      </c>
      <c r="N40" s="48"/>
      <c r="O40" s="44"/>
      <c r="P40" s="44">
        <f>SUM(P11:P27)</f>
        <v>0.00658</v>
      </c>
      <c r="Q40" s="42"/>
      <c r="R40" s="44">
        <f>SUM(R11:R27)</f>
        <v>0.00658</v>
      </c>
      <c r="S40" s="44"/>
      <c r="T40" s="44"/>
      <c r="U40" s="44">
        <f>SUM(U11:U27)</f>
        <v>0.0071800000000000015</v>
      </c>
      <c r="V40" s="42"/>
      <c r="W40" s="44">
        <f>SUM(W11:W27)</f>
        <v>0.0071800000000000015</v>
      </c>
    </row>
    <row r="41" spans="1:23" ht="12.75">
      <c r="A41" s="38"/>
      <c r="B41" s="38" t="s">
        <v>46</v>
      </c>
      <c r="C41" s="48"/>
      <c r="D41" s="42">
        <f>(F41-H41)*2/F41*100</f>
        <v>0</v>
      </c>
      <c r="E41" s="44"/>
      <c r="F41" s="48">
        <f>(F40/F37/0.0283*(21-7)/(21-F38))</f>
        <v>0.001416832398756033</v>
      </c>
      <c r="G41" s="44"/>
      <c r="H41" s="48">
        <f>(H40/H37/0.0283*(21-7)/(21-H38))</f>
        <v>0.001416832398756033</v>
      </c>
      <c r="I41" s="42">
        <f>(K41-M41)*2/K41*100</f>
        <v>0</v>
      </c>
      <c r="J41" s="44"/>
      <c r="K41" s="48">
        <f>(K40/K37/0.0283*(21-7)/(21-K38))</f>
        <v>0.0001461598227752895</v>
      </c>
      <c r="L41" s="44"/>
      <c r="M41" s="48">
        <f>(M40/M37/0.0283*(21-7)/(21-M38))</f>
        <v>0.0001461598227752895</v>
      </c>
      <c r="N41" s="42">
        <f>(P41-R41)*2/P41*100</f>
        <v>0</v>
      </c>
      <c r="O41" s="44"/>
      <c r="P41" s="48">
        <f>(P40/P37/0.0283*(21-7)/(21-P38))</f>
        <v>0.002622273392357077</v>
      </c>
      <c r="Q41" s="44"/>
      <c r="R41" s="48">
        <f>(R40/R37/0.0283*(21-7)/(21-R38))</f>
        <v>0.002622273392357077</v>
      </c>
      <c r="S41" s="42">
        <f>(U41-W41)*2/U41*100</f>
        <v>0</v>
      </c>
      <c r="T41" s="44"/>
      <c r="U41" s="48">
        <f>(U40/U37/0.0283*(21-7)/(21-U38))</f>
        <v>0.0027658542252463805</v>
      </c>
      <c r="V41" s="44"/>
      <c r="W41" s="48">
        <f>(W40/W37/0.0283*(21-7)/(21-W38))</f>
        <v>0.0027658542252463805</v>
      </c>
    </row>
    <row r="42" spans="1:19" ht="12.75">
      <c r="A42" s="38"/>
      <c r="B42" s="38"/>
      <c r="C42" s="38"/>
      <c r="D42" s="38"/>
      <c r="E42" s="43"/>
      <c r="F42" s="48"/>
      <c r="G42" s="43"/>
      <c r="H42" s="48"/>
      <c r="I42" s="43"/>
      <c r="J42" s="43"/>
      <c r="K42" s="43"/>
      <c r="L42" s="43"/>
      <c r="M42" s="43"/>
      <c r="N42" s="43"/>
      <c r="O42" s="43"/>
      <c r="P42" s="47"/>
      <c r="Q42" s="43"/>
      <c r="R42" s="47"/>
      <c r="S42" s="47"/>
    </row>
    <row r="43" spans="1:19" ht="12.75">
      <c r="A43" s="44"/>
      <c r="B43" s="38" t="s">
        <v>59</v>
      </c>
      <c r="C43" s="48">
        <f>AVERAGE(H41,M41,R41,W41)</f>
        <v>0.0017377799597836949</v>
      </c>
      <c r="D43" s="44"/>
      <c r="E43" s="44"/>
      <c r="F43" s="48"/>
      <c r="G43" s="44"/>
      <c r="H43" s="48"/>
      <c r="I43" s="44"/>
      <c r="J43" s="44"/>
      <c r="K43" s="44"/>
      <c r="L43" s="44"/>
      <c r="M43" s="44"/>
      <c r="N43" s="44"/>
      <c r="O43" s="44"/>
      <c r="P43" s="47"/>
      <c r="Q43" s="44"/>
      <c r="R43" s="47"/>
      <c r="S43" s="47"/>
    </row>
    <row r="44" spans="1:19" ht="12.75">
      <c r="A44" s="38"/>
      <c r="B44" s="38" t="s">
        <v>60</v>
      </c>
      <c r="C44" s="42"/>
      <c r="D44" s="38"/>
      <c r="E44" s="47"/>
      <c r="F44" s="48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85" spans="1:19" ht="12.75">
      <c r="A85" s="3"/>
      <c r="B85" s="3"/>
      <c r="C85" s="3"/>
      <c r="D85" s="3"/>
      <c r="E85" s="9"/>
      <c r="G85" s="9"/>
      <c r="J85" s="9"/>
      <c r="K85" s="8"/>
      <c r="L85" s="6"/>
      <c r="M85" s="8"/>
      <c r="N85" s="9"/>
      <c r="O85" s="9"/>
      <c r="P85" s="9"/>
      <c r="Q85" s="9"/>
      <c r="R85" s="9"/>
      <c r="S85" s="9"/>
    </row>
    <row r="86" spans="1:19" ht="12.75">
      <c r="A86" s="3"/>
      <c r="B86" s="3"/>
      <c r="C86" s="5"/>
      <c r="D86" s="5"/>
      <c r="E86" s="6"/>
      <c r="F86" s="9"/>
      <c r="G86" s="6"/>
      <c r="H86" s="9"/>
      <c r="I86" s="5"/>
      <c r="J86" s="6"/>
      <c r="K86" s="6"/>
      <c r="L86" s="6"/>
      <c r="M86" s="6"/>
      <c r="N86" s="5"/>
      <c r="O86" s="9"/>
      <c r="P86" s="5"/>
      <c r="Q86" s="5"/>
      <c r="R86" s="5"/>
      <c r="S86" s="5"/>
    </row>
    <row r="87" spans="1:19" ht="12.75">
      <c r="A87" s="3"/>
      <c r="B87" s="3"/>
      <c r="C87" s="5"/>
      <c r="D87" s="5"/>
      <c r="E87" s="9"/>
      <c r="F87" s="5"/>
      <c r="G87" s="7"/>
      <c r="H87" s="5"/>
      <c r="I87" s="5"/>
      <c r="J87" s="9"/>
      <c r="K87" s="5"/>
      <c r="L87" s="6"/>
      <c r="M87" s="5"/>
      <c r="N87" s="5"/>
      <c r="O87" s="9"/>
      <c r="P87" s="7"/>
      <c r="Q87" s="7"/>
      <c r="R87" s="7"/>
      <c r="S87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2004-02-24T22:15:43Z</cp:lastPrinted>
  <dcterms:created xsi:type="dcterms:W3CDTF">2000-01-10T00:44:42Z</dcterms:created>
  <dcterms:modified xsi:type="dcterms:W3CDTF">2005-03-10T22:38:22Z</dcterms:modified>
  <cp:category/>
  <cp:version/>
  <cp:contentType/>
  <cp:contentStatus/>
</cp:coreProperties>
</file>