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activeTab="0"/>
  </bookViews>
  <sheets>
    <sheet name="impoundment" sheetId="1" r:id="rId1"/>
    <sheet name="Eroded particles" sheetId="2" r:id="rId2"/>
    <sheet name="Hyd routing" sheetId="3" r:id="rId3"/>
    <sheet name="Input and Output" sheetId="4" r:id="rId4"/>
    <sheet name="Erosion calcs" sheetId="5" r:id="rId5"/>
    <sheet name="3-hour storm" sheetId="6" r:id="rId6"/>
    <sheet name="Preliminary calcs" sheetId="7" r:id="rId7"/>
    <sheet name="Stage-Q" sheetId="8" r:id="rId8"/>
    <sheet name="Sed calcs 2" sheetId="9" r:id="rId9"/>
  </sheets>
  <definedNames>
    <definedName name="d50table">'Eroded particles'!$A$59:$D$64</definedName>
    <definedName name="findClass">'Eroded particles'!$A$68:$B$72</definedName>
    <definedName name="findDia">'Eroded particles'!$A$60:$C$64</definedName>
    <definedName name="findfrac">'Eroded particles'!$A$60:$D$64</definedName>
    <definedName name="solver_adj" localSheetId="2" hidden="1">'Hyd routing'!$D$9:$E$38</definedName>
    <definedName name="solver_cvg" localSheetId="2" hidden="1">0.0001</definedName>
    <definedName name="solver_cvg" localSheetId="3" hidden="1">0.0001</definedName>
    <definedName name="solver_cvg" localSheetId="6" hidden="1">0.001</definedName>
    <definedName name="solver_drv" localSheetId="2" hidden="1">1</definedName>
    <definedName name="solver_drv" localSheetId="3" hidden="1">1</definedName>
    <definedName name="solver_drv" localSheetId="6" hidden="1">1</definedName>
    <definedName name="solver_est" localSheetId="2" hidden="1">1</definedName>
    <definedName name="solver_est" localSheetId="3" hidden="1">1</definedName>
    <definedName name="solver_est" localSheetId="6" hidden="1">1</definedName>
    <definedName name="solver_itr" localSheetId="2" hidden="1">100</definedName>
    <definedName name="solver_itr" localSheetId="3" hidden="1">100</definedName>
    <definedName name="solver_itr" localSheetId="6" hidden="1">100</definedName>
    <definedName name="solver_lhs1" localSheetId="2" hidden="1">'Hyd routing'!$D$9:$E$38</definedName>
    <definedName name="solver_lhs2" localSheetId="2" hidden="1">'Hyd routing'!$G$43:$S$62</definedName>
    <definedName name="solver_lin" localSheetId="2" hidden="1">2</definedName>
    <definedName name="solver_lin" localSheetId="3" hidden="1">2</definedName>
    <definedName name="solver_lin" localSheetId="6" hidden="1">2</definedName>
    <definedName name="solver_neg" localSheetId="2" hidden="1">2</definedName>
    <definedName name="solver_neg" localSheetId="3" hidden="1">2</definedName>
    <definedName name="solver_neg" localSheetId="6" hidden="1">2</definedName>
    <definedName name="solver_num" localSheetId="2" hidden="1">1</definedName>
    <definedName name="solver_num" localSheetId="3" hidden="1">0</definedName>
    <definedName name="solver_num" localSheetId="6" hidden="1">0</definedName>
    <definedName name="solver_nwt" localSheetId="2" hidden="1">1</definedName>
    <definedName name="solver_nwt" localSheetId="3" hidden="1">1</definedName>
    <definedName name="solver_nwt" localSheetId="6" hidden="1">1</definedName>
    <definedName name="solver_opt" localSheetId="2" hidden="1">'Hyd routing'!$J$41</definedName>
    <definedName name="solver_opt" localSheetId="3" hidden="1">'Input and Output'!$B$11</definedName>
    <definedName name="solver_opt" localSheetId="6" hidden="1">'Preliminary calcs'!$B$15</definedName>
    <definedName name="solver_pre" localSheetId="2" hidden="1">0.000001</definedName>
    <definedName name="solver_pre" localSheetId="3" hidden="1">0.000001</definedName>
    <definedName name="solver_pre" localSheetId="6" hidden="1">0.000001</definedName>
    <definedName name="solver_rel1" localSheetId="2" hidden="1">3</definedName>
    <definedName name="solver_rel2" localSheetId="2" hidden="1">1</definedName>
    <definedName name="solver_rhs1" localSheetId="2" hidden="1">0.00001</definedName>
    <definedName name="solver_rhs2" localSheetId="2" hidden="1">0.0000001</definedName>
    <definedName name="solver_scl" localSheetId="2" hidden="1">2</definedName>
    <definedName name="solver_scl" localSheetId="3" hidden="1">2</definedName>
    <definedName name="solver_scl" localSheetId="6" hidden="1">2</definedName>
    <definedName name="solver_sho" localSheetId="2" hidden="1">2</definedName>
    <definedName name="solver_sho" localSheetId="3" hidden="1">2</definedName>
    <definedName name="solver_sho" localSheetId="6" hidden="1">2</definedName>
    <definedName name="solver_tim" localSheetId="2" hidden="1">100</definedName>
    <definedName name="solver_tim" localSheetId="3" hidden="1">100</definedName>
    <definedName name="solver_tim" localSheetId="6" hidden="1">100</definedName>
    <definedName name="solver_tol" localSheetId="2" hidden="1">0.05</definedName>
    <definedName name="solver_tol" localSheetId="3" hidden="1">0.05</definedName>
    <definedName name="solver_tol" localSheetId="6" hidden="1">0.05</definedName>
    <definedName name="solver_typ" localSheetId="2" hidden="1">2</definedName>
    <definedName name="solver_typ" localSheetId="3" hidden="1">1</definedName>
    <definedName name="solver_typ" localSheetId="6" hidden="1">1</definedName>
    <definedName name="solver_val" localSheetId="2" hidden="1">0</definedName>
    <definedName name="solver_val" localSheetId="3" hidden="1">0</definedName>
    <definedName name="solver_val" localSheetId="6" hidden="1">0</definedName>
    <definedName name="SortSize">'Eroded particles'!$A$43:$E$47</definedName>
  </definedNames>
  <calcPr fullCalcOnLoad="1"/>
</workbook>
</file>

<file path=xl/sharedStrings.xml><?xml version="1.0" encoding="utf-8"?>
<sst xmlns="http://schemas.openxmlformats.org/spreadsheetml/2006/main" count="396" uniqueCount="282">
  <si>
    <t>h</t>
  </si>
  <si>
    <t>Area</t>
  </si>
  <si>
    <t>WP</t>
  </si>
  <si>
    <t>R</t>
  </si>
  <si>
    <t>S</t>
  </si>
  <si>
    <t>n</t>
  </si>
  <si>
    <t>Q</t>
  </si>
  <si>
    <t>Vol IN</t>
  </si>
  <si>
    <t>Vol Out</t>
  </si>
  <si>
    <t>Delta S</t>
  </si>
  <si>
    <t>result</t>
  </si>
  <si>
    <t>Sq Err</t>
  </si>
  <si>
    <t>Q along</t>
  </si>
  <si>
    <t>Head</t>
  </si>
  <si>
    <t>X</t>
  </si>
  <si>
    <t>d, ft</t>
  </si>
  <si>
    <t>Cs</t>
  </si>
  <si>
    <t>V Head</t>
  </si>
  <si>
    <t>Rainfall in inches</t>
  </si>
  <si>
    <t>User Data</t>
  </si>
  <si>
    <t>Duration of RF, hr</t>
  </si>
  <si>
    <t>Rectangular approximation of property</t>
  </si>
  <si>
    <t>Slope to fence</t>
  </si>
  <si>
    <t>Width along fence</t>
  </si>
  <si>
    <t>Length up slope</t>
  </si>
  <si>
    <t>Slope along fence</t>
  </si>
  <si>
    <t>Area, acres</t>
  </si>
  <si>
    <t>No. parcels</t>
  </si>
  <si>
    <t>Parcel Width, ft</t>
  </si>
  <si>
    <t>Parcel Area, ft^2</t>
  </si>
  <si>
    <t>Runoff</t>
  </si>
  <si>
    <t>Curve No. Bare Soil</t>
  </si>
  <si>
    <t>Time, hours</t>
  </si>
  <si>
    <t>Storm Time</t>
  </si>
  <si>
    <t>Cumulative RF</t>
  </si>
  <si>
    <t>RO, in</t>
  </si>
  <si>
    <t>Inc RO</t>
  </si>
  <si>
    <t>Ro ft^3</t>
  </si>
  <si>
    <t>per parcel</t>
  </si>
  <si>
    <t>cfs</t>
  </si>
  <si>
    <t>H^(8/3)</t>
  </si>
  <si>
    <t>slope</t>
  </si>
  <si>
    <t>for model</t>
  </si>
  <si>
    <t>K</t>
  </si>
  <si>
    <t>D50, mm</t>
  </si>
  <si>
    <t>width</t>
  </si>
  <si>
    <t>length</t>
  </si>
  <si>
    <t>land slope</t>
  </si>
  <si>
    <t xml:space="preserve">channel slope </t>
  </si>
  <si>
    <t>theta</t>
  </si>
  <si>
    <t>sin theta</t>
  </si>
  <si>
    <t>S factor</t>
  </si>
  <si>
    <t>Beta</t>
  </si>
  <si>
    <t>m</t>
  </si>
  <si>
    <t>L factor</t>
  </si>
  <si>
    <t>LS</t>
  </si>
  <si>
    <t>CP</t>
  </si>
  <si>
    <t>Sed tons</t>
  </si>
  <si>
    <t>sum of q^a+1</t>
  </si>
  <si>
    <t>sum * dt</t>
  </si>
  <si>
    <t>Soil type</t>
  </si>
  <si>
    <t>Peak q</t>
  </si>
  <si>
    <t>RO Vol, in</t>
  </si>
  <si>
    <t>RO Vol, ac-ft</t>
  </si>
  <si>
    <t>a+1</t>
  </si>
  <si>
    <t>Time</t>
  </si>
  <si>
    <t>Q, cfs</t>
  </si>
  <si>
    <t>Q^a+1</t>
  </si>
  <si>
    <t>Sed Qs</t>
  </si>
  <si>
    <t>tons/sec</t>
  </si>
  <si>
    <t>D50, ft</t>
  </si>
  <si>
    <t>TW</t>
  </si>
  <si>
    <t>lb/sec</t>
  </si>
  <si>
    <t>R^8/3</t>
  </si>
  <si>
    <t>Q vs R</t>
  </si>
  <si>
    <t>Kr s/m</t>
  </si>
  <si>
    <t>Q vs H^8/3</t>
  </si>
  <si>
    <t>TW vs Q^(3/8)</t>
  </si>
  <si>
    <t>Q^(3/8)</t>
  </si>
  <si>
    <t>Vs, ft/sec</t>
  </si>
  <si>
    <t>Re</t>
  </si>
  <si>
    <t>QF cfs</t>
  </si>
  <si>
    <t>If impoundment</t>
  </si>
  <si>
    <t>theta degrees</t>
  </si>
  <si>
    <t>theta radians</t>
  </si>
  <si>
    <t>tan theta</t>
  </si>
  <si>
    <t>Hmax</t>
  </si>
  <si>
    <t>K for fabric</t>
  </si>
  <si>
    <t>Rainfall, iph</t>
  </si>
  <si>
    <t>d</t>
  </si>
  <si>
    <t>Adjustment</t>
  </si>
  <si>
    <t>Q adjusted</t>
  </si>
  <si>
    <t>Toe trench width</t>
  </si>
  <si>
    <t>lb/ft^3</t>
  </si>
  <si>
    <t>mg/L</t>
  </si>
  <si>
    <t>fence</t>
  </si>
  <si>
    <t>tons</t>
  </si>
  <si>
    <t xml:space="preserve">Qs </t>
  </si>
  <si>
    <t>lb</t>
  </si>
  <si>
    <t>Qs, lb</t>
  </si>
  <si>
    <t>Cumulative</t>
  </si>
  <si>
    <t>Fabric Exponents</t>
  </si>
  <si>
    <t>Fabric letter</t>
  </si>
  <si>
    <t>slope exponent</t>
  </si>
  <si>
    <t>V head exponent</t>
  </si>
  <si>
    <t>Coefficient</t>
  </si>
  <si>
    <t>Average conc in toe trench</t>
  </si>
  <si>
    <t>time steps</t>
  </si>
  <si>
    <t>Qs lb/sec</t>
  </si>
  <si>
    <t>Average conc through fence</t>
  </si>
  <si>
    <t>factor</t>
  </si>
  <si>
    <t>lb in toe</t>
  </si>
  <si>
    <t>trench</t>
  </si>
  <si>
    <t>Q thru</t>
  </si>
  <si>
    <t>Qs thru</t>
  </si>
  <si>
    <t>lb thru</t>
  </si>
  <si>
    <t>Reach 2</t>
  </si>
  <si>
    <t>Reach 1</t>
  </si>
  <si>
    <t>cumulative lb</t>
  </si>
  <si>
    <t>cumluative</t>
  </si>
  <si>
    <t>lb, toe</t>
  </si>
  <si>
    <t>through</t>
  </si>
  <si>
    <t>Net lb out</t>
  </si>
  <si>
    <t>lb to fence</t>
  </si>
  <si>
    <t>cumulative</t>
  </si>
  <si>
    <t>% of Vol</t>
  </si>
  <si>
    <t>toe trench depth</t>
  </si>
  <si>
    <t>ft^3 out</t>
  </si>
  <si>
    <t xml:space="preserve">net </t>
  </si>
  <si>
    <t>ft^3</t>
  </si>
  <si>
    <t>Number</t>
  </si>
  <si>
    <t>SL</t>
  </si>
  <si>
    <t>Sc</t>
  </si>
  <si>
    <t>Theta</t>
  </si>
  <si>
    <t>Area coeff</t>
  </si>
  <si>
    <t>Q toe</t>
  </si>
  <si>
    <t>Q slant</t>
  </si>
  <si>
    <t>*H^2</t>
  </si>
  <si>
    <t>*H^(5/2)</t>
  </si>
  <si>
    <t>Q into corner</t>
  </si>
  <si>
    <t>H, feet</t>
  </si>
  <si>
    <t>Area(H)</t>
  </si>
  <si>
    <t>Vs</t>
  </si>
  <si>
    <t>(Q/A)/Vs</t>
  </si>
  <si>
    <t>TE</t>
  </si>
  <si>
    <t>Time to fail</t>
  </si>
  <si>
    <t>Failure TS</t>
  </si>
  <si>
    <t>total cfs</t>
  </si>
  <si>
    <t>Total ac-ft</t>
  </si>
  <si>
    <t>net</t>
  </si>
  <si>
    <t>ft^3 accumul</t>
  </si>
  <si>
    <t>X sec A</t>
  </si>
  <si>
    <t>depth</t>
  </si>
  <si>
    <t>lb accumul</t>
  </si>
  <si>
    <t>sed</t>
  </si>
  <si>
    <t>Curve Number</t>
  </si>
  <si>
    <t>Storm/Hydrology data</t>
  </si>
  <si>
    <t>Geometry Data</t>
  </si>
  <si>
    <t>Soil Data</t>
  </si>
  <si>
    <t>Fabric Data</t>
  </si>
  <si>
    <t>Put X next to type</t>
  </si>
  <si>
    <t>Nilex 2130</t>
  </si>
  <si>
    <t>Nilex 2127</t>
  </si>
  <si>
    <t>Wischmeier's K</t>
  </si>
  <si>
    <t>Impoundment Data</t>
  </si>
  <si>
    <t>Angle of extension upslope</t>
  </si>
  <si>
    <t>Length of extension upslope</t>
  </si>
  <si>
    <t>Result</t>
  </si>
  <si>
    <t>To Solve Routing Component</t>
  </si>
  <si>
    <t>Go to Hyd routing worksheet</t>
  </si>
  <si>
    <t>To solve routing:</t>
  </si>
  <si>
    <t>Use tools-solver menu</t>
  </si>
  <si>
    <t>The solver is already set up to solve.  Click on the Solve Button.</t>
  </si>
  <si>
    <t>Output</t>
  </si>
  <si>
    <t>Maximum depth at fence</t>
  </si>
  <si>
    <t>ft</t>
  </si>
  <si>
    <t>ft/ft</t>
  </si>
  <si>
    <t>Rainfall depth (total)</t>
  </si>
  <si>
    <t>inches</t>
  </si>
  <si>
    <t>mm</t>
  </si>
  <si>
    <t>degrees</t>
  </si>
  <si>
    <t>Sediment flow toward fence</t>
  </si>
  <si>
    <t>Toe trench</t>
  </si>
  <si>
    <t>Average concentration</t>
  </si>
  <si>
    <t>Depth of accumulated sediment</t>
  </si>
  <si>
    <t>Sediment through fence</t>
  </si>
  <si>
    <t>lbs</t>
  </si>
  <si>
    <t>Impoundent</t>
  </si>
  <si>
    <t>Trapping efficiency</t>
  </si>
  <si>
    <t>percent</t>
  </si>
  <si>
    <t>Surface area</t>
  </si>
  <si>
    <t>square feet</t>
  </si>
  <si>
    <t>Depth</t>
  </si>
  <si>
    <t>Discharge through fence</t>
  </si>
  <si>
    <t>hours</t>
  </si>
  <si>
    <t>Lbs of sediment discharged D/S</t>
  </si>
  <si>
    <t>x</t>
  </si>
  <si>
    <t>y</t>
  </si>
  <si>
    <t>Q total</t>
  </si>
  <si>
    <t>Need to run solver again?</t>
  </si>
  <si>
    <t>OK to Quit??</t>
  </si>
  <si>
    <t>Net erosion</t>
  </si>
  <si>
    <t>Net deposition</t>
  </si>
  <si>
    <t>If result is &gt; 0.001, repeat solver</t>
  </si>
  <si>
    <t>Beta performance factor</t>
  </si>
  <si>
    <t>F</t>
  </si>
  <si>
    <t>Vc=Q/A</t>
  </si>
  <si>
    <t>Sediment Yield, tons</t>
  </si>
  <si>
    <t>Cover factor</t>
  </si>
  <si>
    <t>Peak discharge in toe trench</t>
  </si>
  <si>
    <t>Hours</t>
  </si>
  <si>
    <t>P/P24</t>
  </si>
  <si>
    <t>Increment RF</t>
  </si>
  <si>
    <t>3-hour storm</t>
  </si>
  <si>
    <t>Peak runoff rate</t>
  </si>
  <si>
    <t>Particle size data</t>
  </si>
  <si>
    <t>% sand</t>
  </si>
  <si>
    <t>% silt</t>
  </si>
  <si>
    <t>% clay</t>
  </si>
  <si>
    <t>coeff</t>
  </si>
  <si>
    <t>slope exp</t>
  </si>
  <si>
    <t>d50 exp</t>
  </si>
  <si>
    <t>OR</t>
  </si>
  <si>
    <t>diameter</t>
  </si>
  <si>
    <t>% finer</t>
  </si>
  <si>
    <t>Input Eroded Distribution</t>
  </si>
  <si>
    <t>CREAMS Formula</t>
  </si>
  <si>
    <t>%</t>
  </si>
  <si>
    <t>Fraction</t>
  </si>
  <si>
    <t>CREAMS Fractions</t>
  </si>
  <si>
    <t>Clay</t>
  </si>
  <si>
    <t>Silt</t>
  </si>
  <si>
    <t>Small Aggregate</t>
  </si>
  <si>
    <t>Sand</t>
  </si>
  <si>
    <t>Large Aggregate</t>
  </si>
  <si>
    <t>Diameters and SG</t>
  </si>
  <si>
    <t>SG</t>
  </si>
  <si>
    <t>Settling Velocities</t>
  </si>
  <si>
    <t>dia, ft</t>
  </si>
  <si>
    <t>dia, mm</t>
  </si>
  <si>
    <t>Equivalent diameter for aggregates</t>
  </si>
  <si>
    <t>Final Fraction vs Representative Diameter</t>
  </si>
  <si>
    <t>diameter, ft</t>
  </si>
  <si>
    <t>User input eroded distribution</t>
  </si>
  <si>
    <t>diameter, mm</t>
  </si>
  <si>
    <t>fraction</t>
  </si>
  <si>
    <t>6 points required</t>
  </si>
  <si>
    <t>Representative diameters</t>
  </si>
  <si>
    <t>log dia</t>
  </si>
  <si>
    <t>average</t>
  </si>
  <si>
    <t>Class</t>
  </si>
  <si>
    <t xml:space="preserve">Use CREAMS </t>
  </si>
  <si>
    <t>Put X next to selection</t>
  </si>
  <si>
    <t>Input size distribution</t>
  </si>
  <si>
    <t>Deposition in Toe Trench</t>
  </si>
  <si>
    <t>Yield from source</t>
  </si>
  <si>
    <t>Deposition</t>
  </si>
  <si>
    <t>Toe Trapping efficiency</t>
  </si>
  <si>
    <t>Fraction discharged</t>
  </si>
  <si>
    <t>Particle size distribution into toe</t>
  </si>
  <si>
    <t>Size Class</t>
  </si>
  <si>
    <t>small to large</t>
  </si>
  <si>
    <t>Scaled to 1</t>
  </si>
  <si>
    <t xml:space="preserve">adjusted </t>
  </si>
  <si>
    <t>sum</t>
  </si>
  <si>
    <t>large to small</t>
  </si>
  <si>
    <t>Vs/Vc</t>
  </si>
  <si>
    <t>Adjusted</t>
  </si>
  <si>
    <t>Percent</t>
  </si>
  <si>
    <t>Total</t>
  </si>
  <si>
    <t>Overall system trapping efficiency</t>
  </si>
  <si>
    <t>Silt fence</t>
  </si>
  <si>
    <t>Fabric selected</t>
  </si>
  <si>
    <t>Average concentration through fence</t>
  </si>
  <si>
    <t>d50 calculation</t>
  </si>
  <si>
    <t>Points</t>
  </si>
  <si>
    <t>Lookup Table</t>
  </si>
  <si>
    <t>interpolaton</t>
  </si>
  <si>
    <t>check input</t>
  </si>
  <si>
    <t>Parent soil for CREAMS</t>
  </si>
  <si>
    <t>Fraction vs Representative Diameter</t>
  </si>
  <si>
    <t>English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</si>
</sst>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 horizontal="right"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wrapText="1"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7" xfId="0" applyFill="1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5" fillId="0" borderId="5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 wrapText="1"/>
    </xf>
    <xf numFmtId="0" fontId="5" fillId="0" borderId="5" xfId="0" applyFont="1" applyBorder="1" applyAlignment="1" applyProtection="1">
      <alignment wrapText="1"/>
      <protection/>
    </xf>
    <xf numFmtId="0" fontId="0" fillId="0" borderId="8" xfId="0" applyBorder="1" applyAlignment="1" applyProtection="1">
      <alignment/>
      <protection/>
    </xf>
    <xf numFmtId="0" fontId="0" fillId="0" borderId="7" xfId="0" applyFill="1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171" fontId="6" fillId="0" borderId="1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3" borderId="0" xfId="0" applyFont="1" applyFill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11.7109375" style="0" bestFit="1" customWidth="1"/>
    <col min="2" max="2" width="10.421875" style="0" bestFit="1" customWidth="1"/>
    <col min="3" max="3" width="10.28125" style="0" bestFit="1" customWidth="1"/>
    <col min="8" max="8" width="12.421875" style="0" bestFit="1" customWidth="1"/>
    <col min="10" max="10" width="10.421875" style="0" bestFit="1" customWidth="1"/>
  </cols>
  <sheetData>
    <row r="1" ht="12.75">
      <c r="A1" t="s">
        <v>254</v>
      </c>
    </row>
    <row r="3" spans="1:4" ht="12.75">
      <c r="A3" t="s">
        <v>255</v>
      </c>
      <c r="D3" s="36">
        <f>'Input and Output'!G17+'Input and Output'!G19+'Input and Output'!G25</f>
        <v>5869.5008338517</v>
      </c>
    </row>
    <row r="4" spans="1:4" ht="12.75">
      <c r="A4" t="s">
        <v>256</v>
      </c>
      <c r="D4" s="36">
        <f>'Input and Output'!G19</f>
        <v>3564.4339414897577</v>
      </c>
    </row>
    <row r="5" spans="1:4" ht="12.75">
      <c r="A5" t="s">
        <v>257</v>
      </c>
      <c r="D5">
        <f>D4/D3</f>
        <v>0.607280592061982</v>
      </c>
    </row>
    <row r="6" spans="1:4" ht="12.75">
      <c r="A6" t="s">
        <v>258</v>
      </c>
      <c r="D6">
        <f>1-D5</f>
        <v>0.39271940793801796</v>
      </c>
    </row>
    <row r="7" ht="12.75">
      <c r="A7" t="s">
        <v>259</v>
      </c>
    </row>
    <row r="9" spans="1:9" ht="12.75">
      <c r="A9" t="s">
        <v>260</v>
      </c>
      <c r="I9" t="s">
        <v>263</v>
      </c>
    </row>
    <row r="10" spans="1:10" ht="12.75">
      <c r="A10" t="s">
        <v>265</v>
      </c>
      <c r="B10" t="s">
        <v>228</v>
      </c>
      <c r="C10" t="s">
        <v>242</v>
      </c>
      <c r="D10" t="s">
        <v>79</v>
      </c>
      <c r="E10" t="s">
        <v>100</v>
      </c>
      <c r="G10" t="s">
        <v>261</v>
      </c>
      <c r="H10" t="s">
        <v>223</v>
      </c>
      <c r="I10" t="s">
        <v>245</v>
      </c>
      <c r="J10" t="s">
        <v>262</v>
      </c>
    </row>
    <row r="11" ht="12.75">
      <c r="E11">
        <v>0</v>
      </c>
    </row>
    <row r="12" spans="1:10" ht="12.75">
      <c r="A12">
        <v>1</v>
      </c>
      <c r="B12">
        <f>IF('Input and Output'!$E$7="X",'Eroded particles'!B55,'Eroded particles'!F39)</f>
        <v>0.5229343125</v>
      </c>
      <c r="C12">
        <f>IF('Input and Output'!$E$7="X",'Eroded particles'!C55,'Eroded particles'!G39)</f>
        <v>0.0015946286493082739</v>
      </c>
      <c r="D12">
        <f>IF('Input and Output'!$E$7="X",'Eroded particles'!D55,'Eroded particles'!H39)</f>
        <v>0.6637629144255321</v>
      </c>
      <c r="E12">
        <f>E11+B12</f>
        <v>0.5229343125</v>
      </c>
      <c r="G12">
        <v>1</v>
      </c>
      <c r="H12">
        <f>C12</f>
        <v>0.0015946286493082739</v>
      </c>
      <c r="I12">
        <f>IF(E12&lt;D$5,0,E12-D$5)</f>
        <v>0</v>
      </c>
      <c r="J12">
        <f>I12/I$17</f>
        <v>0</v>
      </c>
    </row>
    <row r="13" spans="1:10" ht="12.75">
      <c r="A13">
        <v>2</v>
      </c>
      <c r="B13">
        <f>IF('Input and Output'!$E$7="X",'Eroded particles'!B54,'Eroded particles'!F38)</f>
        <v>0.010065687500000003</v>
      </c>
      <c r="C13">
        <f>IF('Input and Output'!$E$7="X",'Eroded particles'!C54,'Eroded particles'!G38)</f>
        <v>0.0006562</v>
      </c>
      <c r="D13">
        <f>IF('Input and Output'!$E$7="X",'Eroded particles'!D54,'Eroded particles'!H38)</f>
        <v>0.0901406426997636</v>
      </c>
      <c r="E13">
        <f>E12+B13</f>
        <v>0.533</v>
      </c>
      <c r="G13">
        <v>2</v>
      </c>
      <c r="H13">
        <f>C13</f>
        <v>0.0006562</v>
      </c>
      <c r="I13">
        <f>IF(E13&lt;D$5,0,IF(I12=0,E13-D$5,B13))</f>
        <v>0</v>
      </c>
      <c r="J13">
        <f>I13/I$17</f>
        <v>0</v>
      </c>
    </row>
    <row r="14" spans="1:10" ht="12.75">
      <c r="A14">
        <v>3</v>
      </c>
      <c r="B14">
        <f>IF('Input and Output'!$E$7="X",'Eroded particles'!B53,'Eroded particles'!F37)</f>
        <v>0.33</v>
      </c>
      <c r="C14">
        <f>IF('Input and Output'!$E$7="X",'Eroded particles'!C53,'Eroded particles'!G37)</f>
        <v>0.00014321366576776332</v>
      </c>
      <c r="D14">
        <f>IF('Input and Output'!$E$7="X",'Eroded particles'!D53,'Eroded particles'!H37)</f>
        <v>0.0002253516067494091</v>
      </c>
      <c r="E14">
        <f>E13+B14</f>
        <v>0.863</v>
      </c>
      <c r="G14">
        <v>3</v>
      </c>
      <c r="H14">
        <f>C14</f>
        <v>0.00014321366576776332</v>
      </c>
      <c r="I14">
        <f>IF(E14&lt;D$5,0,IF(I13=0,E14-D$5,B14))</f>
        <v>0.25571940793801795</v>
      </c>
      <c r="J14">
        <f>I14/I$17</f>
        <v>0.6511504213165284</v>
      </c>
    </row>
    <row r="15" spans="1:10" ht="12.75">
      <c r="A15">
        <v>4</v>
      </c>
      <c r="B15">
        <f>IF('Input and Output'!$E$7="X",'Eroded particles'!B52,'Eroded particles'!F36)</f>
        <v>0.019999999999999962</v>
      </c>
      <c r="C15">
        <f>IF('Input and Output'!$E$7="X",'Eroded particles'!C52,'Eroded particles'!G36)</f>
        <v>3.2810000000000006E-05</v>
      </c>
      <c r="D15">
        <f>IF('Input and Output'!$E$7="X",'Eroded particles'!D52,'Eroded particles'!H36)</f>
        <v>0.005353807869440507</v>
      </c>
      <c r="E15">
        <f>E14+B15</f>
        <v>0.883</v>
      </c>
      <c r="G15">
        <v>4</v>
      </c>
      <c r="H15">
        <f>C15</f>
        <v>3.2810000000000006E-05</v>
      </c>
      <c r="I15">
        <f>IF(E15&lt;D$5,0,IF(I14=0,E15-D$5,B15))</f>
        <v>0.019999999999999962</v>
      </c>
      <c r="J15">
        <f>I15/I$17</f>
        <v>0.05092694579320745</v>
      </c>
    </row>
    <row r="16" spans="1:10" ht="12.75">
      <c r="A16">
        <v>5</v>
      </c>
      <c r="B16">
        <f>IF('Input and Output'!$E$7="X",'Eroded particles'!B51,'Eroded particles'!F35)</f>
        <v>0.117</v>
      </c>
      <c r="C16">
        <f>IF('Input and Output'!$E$7="X",'Eroded particles'!C51,'Eroded particles'!G35)</f>
        <v>6.562E-06</v>
      </c>
      <c r="D16">
        <f>IF('Input and Output'!$E$7="X",'Eroded particles'!D51,'Eroded particles'!H35)</f>
        <v>9.014064269976358E-06</v>
      </c>
      <c r="E16">
        <f>E15+B16</f>
        <v>1</v>
      </c>
      <c r="G16">
        <v>5</v>
      </c>
      <c r="H16">
        <f>C16</f>
        <v>6.562E-06</v>
      </c>
      <c r="I16">
        <f>IF(E16&lt;D$5,0,IF(I15=0,E16-D$5,B16))</f>
        <v>0.117</v>
      </c>
      <c r="J16">
        <f>I16/I$17</f>
        <v>0.29792263289026416</v>
      </c>
    </row>
    <row r="17" spans="8:9" ht="12.75">
      <c r="H17" t="s">
        <v>264</v>
      </c>
      <c r="I17">
        <f>SUM(I12:I16)</f>
        <v>0.3927194079380179</v>
      </c>
    </row>
    <row r="19" spans="1:8" ht="12.75">
      <c r="A19" t="s">
        <v>130</v>
      </c>
      <c r="B19" t="s">
        <v>131</v>
      </c>
      <c r="C19" t="s">
        <v>132</v>
      </c>
      <c r="D19" t="s">
        <v>133</v>
      </c>
      <c r="E19" t="s">
        <v>134</v>
      </c>
      <c r="F19" t="s">
        <v>135</v>
      </c>
      <c r="G19" t="s">
        <v>136</v>
      </c>
      <c r="H19" t="s">
        <v>198</v>
      </c>
    </row>
    <row r="20" spans="5:8" ht="12.75">
      <c r="E20" t="s">
        <v>137</v>
      </c>
      <c r="F20" t="s">
        <v>138</v>
      </c>
      <c r="G20" t="s">
        <v>138</v>
      </c>
      <c r="H20" t="s">
        <v>138</v>
      </c>
    </row>
    <row r="22" spans="1:8" ht="12.75">
      <c r="A22">
        <v>1</v>
      </c>
      <c r="B22">
        <f>'Preliminary calcs'!B14</f>
        <v>0.08</v>
      </c>
      <c r="C22">
        <f>'Preliminary calcs'!B16</f>
        <v>0.03</v>
      </c>
      <c r="D22">
        <f>IF('Preliminary calcs'!B29&lt;&gt;90,'Preliminary calcs'!B29,'Preliminary calcs'!B29+0.0001)</f>
        <v>90.0001</v>
      </c>
      <c r="E22">
        <f>TAN(RADIANS(D22))*(2*C22*(-C22+B22*TAN(RADIANS(D22))))^(-1)</f>
        <v>208.3331969795748</v>
      </c>
      <c r="F22">
        <f>(2/5)*'Preliminary calcs'!B34*(1/C22)</f>
        <v>0.8786666666666668</v>
      </c>
      <c r="G22">
        <f>(2/5)*'Preliminary calcs'!B34*SQRT((1+(TAN(RADIANS(D22)))^2)/(-C22+B22*TAN(RADIANS(D22)))^2)</f>
        <v>0.3294997843433974</v>
      </c>
      <c r="H22">
        <f>G22+F22</f>
        <v>1.2081664510100643</v>
      </c>
    </row>
    <row r="24" spans="1:4" ht="12.75">
      <c r="A24" t="s">
        <v>89</v>
      </c>
      <c r="B24" t="s">
        <v>196</v>
      </c>
      <c r="C24" t="s">
        <v>197</v>
      </c>
      <c r="D24" t="s">
        <v>86</v>
      </c>
    </row>
    <row r="26" spans="1:4" ht="12.75">
      <c r="A26">
        <f>'Preliminary calcs'!B32</f>
        <v>3</v>
      </c>
      <c r="B26">
        <f>IF(D22&lt;90,SQRT(A26^2/(1+(TAN(RADIANS(D22)))^2+(-C22+B22*TAN(RADIANS(D22)))^2)),-SQRT(A26^2/(1+(TAN(RADIANS(D22)))^2+(-C22+B22*TAN(RADIANS(D22)))^2)))</f>
        <v>-5.219312571535351E-06</v>
      </c>
      <c r="C26">
        <f>B26*TAN(RADIANS(D22))</f>
        <v>2.990445823157154</v>
      </c>
      <c r="D26">
        <f>-C22*B26+B22*C26</f>
        <v>0.23923582243194946</v>
      </c>
    </row>
    <row r="28" spans="1:6" ht="12.75">
      <c r="A28" t="s">
        <v>139</v>
      </c>
      <c r="B28" t="s">
        <v>140</v>
      </c>
      <c r="C28" t="s">
        <v>141</v>
      </c>
      <c r="D28" t="s">
        <v>142</v>
      </c>
      <c r="E28" t="s">
        <v>143</v>
      </c>
      <c r="F28" t="s">
        <v>144</v>
      </c>
    </row>
    <row r="30" spans="1:6" ht="12.75">
      <c r="A30">
        <f>MAX('Sed calcs 2'!L4:L34)</f>
        <v>0.017098387850059103</v>
      </c>
      <c r="B30">
        <f>(A30/H22)^(2/5)</f>
        <v>0.18210897792157482</v>
      </c>
      <c r="C30">
        <f>B30^2*E22</f>
        <v>6.909095444599405</v>
      </c>
      <c r="D30">
        <f>'Erosion calcs'!B10</f>
        <v>0.12150407695964179</v>
      </c>
      <c r="E30">
        <f>(A30/C30)/D30</f>
        <v>0.020367753081719547</v>
      </c>
      <c r="F30">
        <f>D34*100</f>
        <v>99.84679762733032</v>
      </c>
    </row>
    <row r="32" spans="2:4" ht="12.75">
      <c r="B32" t="s">
        <v>206</v>
      </c>
      <c r="C32" t="s">
        <v>52</v>
      </c>
      <c r="D32" t="s">
        <v>205</v>
      </c>
    </row>
    <row r="34" spans="2:4" ht="12.75">
      <c r="B34">
        <f>A30/C30</f>
        <v>0.002474765037936233</v>
      </c>
      <c r="C34">
        <f>'Input and Output'!B32</f>
        <v>2</v>
      </c>
      <c r="D34">
        <f>1-(1+1/C34*D30/B34)^(-C34)</f>
        <v>0.9984679762733032</v>
      </c>
    </row>
    <row r="37" ht="12.75">
      <c r="A37" t="s">
        <v>188</v>
      </c>
    </row>
    <row r="38" spans="5:6" ht="12.75">
      <c r="E38" t="s">
        <v>267</v>
      </c>
      <c r="F38" t="s">
        <v>268</v>
      </c>
    </row>
    <row r="39" spans="1:6" ht="12.75">
      <c r="A39" t="s">
        <v>260</v>
      </c>
      <c r="B39" t="s">
        <v>79</v>
      </c>
      <c r="C39" t="s">
        <v>266</v>
      </c>
      <c r="D39" t="s">
        <v>205</v>
      </c>
      <c r="E39" t="s">
        <v>228</v>
      </c>
      <c r="F39" t="s">
        <v>144</v>
      </c>
    </row>
    <row r="40" ht="12.75">
      <c r="A40" t="s">
        <v>265</v>
      </c>
    </row>
    <row r="42" spans="1:6" ht="12.75">
      <c r="A42">
        <v>1</v>
      </c>
      <c r="B42">
        <f>D12</f>
        <v>0.6637629144255321</v>
      </c>
      <c r="C42">
        <f>B42/B$34</f>
        <v>268.2124986617155</v>
      </c>
      <c r="D42">
        <f>1-(1+1/C$34*C42)^(-C$34)</f>
        <v>0.9999452165820494</v>
      </c>
      <c r="E42">
        <f>J12</f>
        <v>0</v>
      </c>
      <c r="F42">
        <f>E42*D42*100</f>
        <v>0</v>
      </c>
    </row>
    <row r="43" spans="1:6" ht="12.75">
      <c r="A43">
        <v>2</v>
      </c>
      <c r="B43">
        <f>D13</f>
        <v>0.0901406426997636</v>
      </c>
      <c r="C43">
        <f>B43/B$34</f>
        <v>36.423919571344065</v>
      </c>
      <c r="D43">
        <f>1-(1+1/C$34*C43)^(-C$34)</f>
        <v>0.9972907027125101</v>
      </c>
      <c r="E43">
        <f>J13</f>
        <v>0</v>
      </c>
      <c r="F43">
        <f>E43*D43*100</f>
        <v>0</v>
      </c>
    </row>
    <row r="44" spans="1:6" ht="12.75">
      <c r="A44">
        <v>3</v>
      </c>
      <c r="B44">
        <f>D14</f>
        <v>0.0002253516067494091</v>
      </c>
      <c r="C44">
        <f>B44/B$34</f>
        <v>0.0910597989283602</v>
      </c>
      <c r="D44">
        <f>1-(1+1/C$34*C44)^(-C$34)</f>
        <v>0.08519804105423634</v>
      </c>
      <c r="E44">
        <f>J14</f>
        <v>0.6511504213165284</v>
      </c>
      <c r="F44">
        <f>E44*D44*100</f>
        <v>5.547674032780888</v>
      </c>
    </row>
    <row r="45" spans="1:6" ht="12.75">
      <c r="A45">
        <v>4</v>
      </c>
      <c r="B45">
        <f>D15</f>
        <v>0.005353807869440507</v>
      </c>
      <c r="C45">
        <f>B45/B$34</f>
        <v>2.1633600715101333</v>
      </c>
      <c r="D45">
        <f>1-(1+1/C$34*C45)^(-C$34)</f>
        <v>0.769233881267801</v>
      </c>
      <c r="E45">
        <f>J15</f>
        <v>0.05092694579320745</v>
      </c>
      <c r="F45">
        <f>E45*D45*100</f>
        <v>3.9174732173623883</v>
      </c>
    </row>
    <row r="46" spans="1:6" ht="12.75">
      <c r="A46">
        <v>5</v>
      </c>
      <c r="B46">
        <f>D16</f>
        <v>9.014064269976358E-06</v>
      </c>
      <c r="C46">
        <f>B46/B$34</f>
        <v>0.003642391957134406</v>
      </c>
      <c r="D46">
        <f>1-(1+1/C$34*C46)^(-C$34)</f>
        <v>0.00363246579971499</v>
      </c>
      <c r="E46">
        <f>J16</f>
        <v>0.29792263289026416</v>
      </c>
      <c r="F46">
        <f>E46*D46*100</f>
        <v>0.10821937749349289</v>
      </c>
    </row>
    <row r="48" spans="5:6" ht="12.75">
      <c r="E48" t="s">
        <v>269</v>
      </c>
      <c r="F48">
        <f>SUM(F42:F46)</f>
        <v>9.57336662763677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D30" sqref="D30"/>
    </sheetView>
  </sheetViews>
  <sheetFormatPr defaultColWidth="9.140625" defaultRowHeight="12.75"/>
  <cols>
    <col min="1" max="1" width="14.8515625" style="0" bestFit="1" customWidth="1"/>
    <col min="2" max="2" width="12.00390625" style="0" bestFit="1" customWidth="1"/>
    <col min="3" max="4" width="12.421875" style="0" bestFit="1" customWidth="1"/>
    <col min="5" max="6" width="11.00390625" style="0" bestFit="1" customWidth="1"/>
    <col min="7" max="7" width="12.421875" style="0" bestFit="1" customWidth="1"/>
    <col min="8" max="8" width="11.00390625" style="0" bestFit="1" customWidth="1"/>
  </cols>
  <sheetData>
    <row r="1" spans="1:10" ht="12.75">
      <c r="A1" t="s">
        <v>226</v>
      </c>
      <c r="E1" t="s">
        <v>243</v>
      </c>
      <c r="J1" t="s">
        <v>278</v>
      </c>
    </row>
    <row r="3" spans="2:10" ht="12.75">
      <c r="B3" t="s">
        <v>227</v>
      </c>
      <c r="C3" t="s">
        <v>228</v>
      </c>
      <c r="E3" t="s">
        <v>250</v>
      </c>
      <c r="F3" s="24" t="s">
        <v>244</v>
      </c>
      <c r="G3" s="24" t="s">
        <v>224</v>
      </c>
      <c r="H3" t="s">
        <v>245</v>
      </c>
      <c r="J3">
        <f>SUM('Input and Output'!E12:E14)</f>
        <v>100</v>
      </c>
    </row>
    <row r="4" spans="1:7" ht="12.75">
      <c r="A4" t="s">
        <v>216</v>
      </c>
      <c r="B4">
        <f>'Input and Output'!E12</f>
        <v>20</v>
      </c>
      <c r="C4">
        <f>B4/100</f>
        <v>0.2</v>
      </c>
      <c r="F4">
        <f>'Input and Output'!D21</f>
        <v>0.2</v>
      </c>
      <c r="G4">
        <f>'Input and Output'!E21</f>
        <v>100</v>
      </c>
    </row>
    <row r="5" spans="1:8" ht="12.75">
      <c r="A5" t="s">
        <v>217</v>
      </c>
      <c r="B5">
        <f>'Input and Output'!E13</f>
        <v>35</v>
      </c>
      <c r="C5">
        <f>B5/100</f>
        <v>0.35</v>
      </c>
      <c r="E5">
        <v>1</v>
      </c>
      <c r="F5">
        <f>'Input and Output'!D22</f>
        <v>0.1</v>
      </c>
      <c r="G5">
        <f>'Input and Output'!E22</f>
        <v>65</v>
      </c>
      <c r="H5">
        <f>(G4-G5)/100</f>
        <v>0.35</v>
      </c>
    </row>
    <row r="6" spans="1:8" ht="12.75">
      <c r="A6" t="s">
        <v>218</v>
      </c>
      <c r="B6">
        <f>'Input and Output'!E14</f>
        <v>45</v>
      </c>
      <c r="C6">
        <f>B6/100</f>
        <v>0.45</v>
      </c>
      <c r="E6">
        <v>2</v>
      </c>
      <c r="F6">
        <f>'Input and Output'!D23</f>
        <v>0.005</v>
      </c>
      <c r="G6">
        <f>'Input and Output'!E23</f>
        <v>45</v>
      </c>
      <c r="H6">
        <f>(G5-G6)/100</f>
        <v>0.2</v>
      </c>
    </row>
    <row r="7" spans="3:8" ht="12.75">
      <c r="C7">
        <f>SUM(C4:C6)</f>
        <v>1</v>
      </c>
      <c r="E7">
        <v>3</v>
      </c>
      <c r="F7">
        <f>'Input and Output'!D24</f>
        <v>0.002</v>
      </c>
      <c r="G7">
        <f>'Input and Output'!E24</f>
        <v>35</v>
      </c>
      <c r="H7">
        <f>(G6-G7)/100</f>
        <v>0.1</v>
      </c>
    </row>
    <row r="8" spans="1:8" ht="12.75">
      <c r="A8" t="s">
        <v>229</v>
      </c>
      <c r="E8">
        <v>4</v>
      </c>
      <c r="F8">
        <f>'Input and Output'!D25</f>
        <v>0.0005</v>
      </c>
      <c r="G8">
        <f>'Input and Output'!E25</f>
        <v>15</v>
      </c>
      <c r="H8">
        <f>(G7-G8)/100</f>
        <v>0.2</v>
      </c>
    </row>
    <row r="9" spans="5:8" ht="12.75">
      <c r="E9">
        <v>5</v>
      </c>
      <c r="F9">
        <f>'Input and Output'!D26</f>
        <v>0.0001</v>
      </c>
      <c r="G9">
        <f>'Input and Output'!E26</f>
        <v>0</v>
      </c>
      <c r="H9">
        <f>(G8-G9)/100</f>
        <v>0.15</v>
      </c>
    </row>
    <row r="10" spans="1:2" ht="12.75">
      <c r="A10" t="s">
        <v>230</v>
      </c>
      <c r="B10">
        <f>0.26*C6</f>
        <v>0.117</v>
      </c>
    </row>
    <row r="11" spans="1:5" ht="12.75">
      <c r="A11" t="s">
        <v>232</v>
      </c>
      <c r="B11">
        <f>IF(C6&lt;0.25,1.8*C6,IF(AND(C6&gt;=0.25,C6&lt;0.5),0.45-0.6*(C6-0.25),IF(C6&gt;0.5,0.6*C6)))</f>
        <v>0.33</v>
      </c>
      <c r="E11" t="s">
        <v>247</v>
      </c>
    </row>
    <row r="12" spans="1:7" ht="12.75">
      <c r="A12" t="s">
        <v>231</v>
      </c>
      <c r="B12">
        <f>MAX(C5-B11,0)</f>
        <v>0.019999999999999962</v>
      </c>
      <c r="E12" t="s">
        <v>248</v>
      </c>
      <c r="F12" t="s">
        <v>249</v>
      </c>
      <c r="G12" t="s">
        <v>239</v>
      </c>
    </row>
    <row r="13" spans="1:5" ht="12.75">
      <c r="A13" t="s">
        <v>233</v>
      </c>
      <c r="B13">
        <f>C4*(1-C6)^5</f>
        <v>0.010065687500000003</v>
      </c>
      <c r="E13">
        <f aca="true" t="shared" si="0" ref="E13:E18">LOG(F4)</f>
        <v>-0.6989700043360187</v>
      </c>
    </row>
    <row r="14" spans="1:7" ht="12.75">
      <c r="A14" t="s">
        <v>234</v>
      </c>
      <c r="B14">
        <f>1-SUM(B10:B13)</f>
        <v>0.5229343125</v>
      </c>
      <c r="E14">
        <f t="shared" si="0"/>
        <v>-1</v>
      </c>
      <c r="F14">
        <f>AVERAGE(E13:E14)</f>
        <v>-0.8494850021680094</v>
      </c>
      <c r="G14">
        <f>10^F14</f>
        <v>0.14142135623730948</v>
      </c>
    </row>
    <row r="15" spans="5:7" ht="12.75">
      <c r="E15">
        <f t="shared" si="0"/>
        <v>-2.3010299956639813</v>
      </c>
      <c r="F15">
        <f>AVERAGE(E14:E15)</f>
        <v>-1.6505149978319906</v>
      </c>
      <c r="G15">
        <f>10^F15</f>
        <v>0.02236067977499789</v>
      </c>
    </row>
    <row r="16" spans="1:7" ht="12.75">
      <c r="A16" t="s">
        <v>235</v>
      </c>
      <c r="E16">
        <f t="shared" si="0"/>
        <v>-2.6989700043360187</v>
      </c>
      <c r="F16">
        <f>AVERAGE(E15:E16)</f>
        <v>-2.5</v>
      </c>
      <c r="G16">
        <f>10^F16</f>
        <v>0.0031622776601683764</v>
      </c>
    </row>
    <row r="17" spans="2:7" ht="12.75">
      <c r="B17" t="s">
        <v>239</v>
      </c>
      <c r="C17" t="s">
        <v>236</v>
      </c>
      <c r="E17">
        <f t="shared" si="0"/>
        <v>-3.3010299956639813</v>
      </c>
      <c r="F17">
        <f>AVERAGE(E16:E17)</f>
        <v>-3</v>
      </c>
      <c r="G17">
        <f>10^F17</f>
        <v>0.001</v>
      </c>
    </row>
    <row r="18" spans="5:7" ht="12.75">
      <c r="E18">
        <f t="shared" si="0"/>
        <v>-4</v>
      </c>
      <c r="F18">
        <f>AVERAGE(E17:E18)</f>
        <v>-3.6505149978319906</v>
      </c>
      <c r="G18">
        <f>10^F18</f>
        <v>0.00022360679774997868</v>
      </c>
    </row>
    <row r="19" spans="1:3" ht="12.75">
      <c r="A19" t="s">
        <v>230</v>
      </c>
      <c r="B19">
        <v>0.002</v>
      </c>
      <c r="C19">
        <v>2.65</v>
      </c>
    </row>
    <row r="20" spans="1:5" ht="12.75">
      <c r="A20" t="s">
        <v>231</v>
      </c>
      <c r="B20">
        <v>0.01</v>
      </c>
      <c r="C20">
        <v>2.65</v>
      </c>
      <c r="E20" t="s">
        <v>237</v>
      </c>
    </row>
    <row r="21" spans="1:3" ht="12.75">
      <c r="A21" t="s">
        <v>233</v>
      </c>
      <c r="B21">
        <v>0.2</v>
      </c>
      <c r="C21">
        <v>2.65</v>
      </c>
    </row>
    <row r="22" spans="1:7" ht="12.75">
      <c r="A22" t="s">
        <v>232</v>
      </c>
      <c r="B22">
        <f>IF(C6&lt;0.25,0.03,IF(AND(C6&gt;=0.25,C6&lt;0.6),0.2*(C6-0.25)+0.03,IF(C6&gt;0.6,0.1)))</f>
        <v>0.07</v>
      </c>
      <c r="C22">
        <v>1.8</v>
      </c>
      <c r="E22" t="s">
        <v>250</v>
      </c>
      <c r="F22" t="s">
        <v>223</v>
      </c>
      <c r="G22" t="s">
        <v>142</v>
      </c>
    </row>
    <row r="23" spans="1:3" ht="12.75">
      <c r="A23" t="s">
        <v>234</v>
      </c>
      <c r="B23">
        <f>IF(C6&lt;0.15,0.3,2*C6)</f>
        <v>0.9</v>
      </c>
      <c r="C23">
        <v>1.6</v>
      </c>
    </row>
    <row r="24" spans="5:7" ht="12.75">
      <c r="E24">
        <v>1</v>
      </c>
      <c r="F24">
        <f>G14</f>
        <v>0.14142135623730948</v>
      </c>
      <c r="G24">
        <f>2.81*F24^2</f>
        <v>0.056199999999999986</v>
      </c>
    </row>
    <row r="25" spans="1:7" ht="12.75">
      <c r="A25" t="s">
        <v>237</v>
      </c>
      <c r="B25" t="s">
        <v>238</v>
      </c>
      <c r="C25" t="s">
        <v>79</v>
      </c>
      <c r="E25">
        <v>2</v>
      </c>
      <c r="F25">
        <f>G15</f>
        <v>0.02236067977499789</v>
      </c>
      <c r="G25">
        <f>2.81*F25^2</f>
        <v>0.0014049999999999991</v>
      </c>
    </row>
    <row r="26" spans="5:7" ht="12.75">
      <c r="E26">
        <v>3</v>
      </c>
      <c r="F26">
        <f>G16</f>
        <v>0.0031622776601683764</v>
      </c>
      <c r="G26">
        <f>2.81*F26^2</f>
        <v>2.8099999999999944E-05</v>
      </c>
    </row>
    <row r="27" spans="1:7" ht="12.75">
      <c r="A27" t="s">
        <v>230</v>
      </c>
      <c r="B27">
        <f>B19/1000*3.281</f>
        <v>6.562E-06</v>
      </c>
      <c r="C27">
        <f>1/18*(B27^2*32.2/(0.0000141)*(C19-1))</f>
        <v>9.014064269976358E-06</v>
      </c>
      <c r="E27">
        <v>4</v>
      </c>
      <c r="F27">
        <f>G17</f>
        <v>0.001</v>
      </c>
      <c r="G27">
        <f>2.81*F27^2</f>
        <v>2.8099999999999998E-06</v>
      </c>
    </row>
    <row r="28" spans="1:7" ht="12.75">
      <c r="A28" t="s">
        <v>231</v>
      </c>
      <c r="B28">
        <f>B20/1000*3.281</f>
        <v>3.2810000000000006E-05</v>
      </c>
      <c r="C28">
        <f>1/18*(B28^2*32.2/(0.0000141)*(C20-1))</f>
        <v>0.0002253516067494091</v>
      </c>
      <c r="E28">
        <v>5</v>
      </c>
      <c r="F28">
        <f>G18</f>
        <v>0.00022360679774997868</v>
      </c>
      <c r="G28">
        <f>2.81*F28^2</f>
        <v>1.4049999999999965E-07</v>
      </c>
    </row>
    <row r="29" spans="1:3" ht="12.75">
      <c r="A29" t="s">
        <v>233</v>
      </c>
      <c r="B29">
        <f>B21/1000*3.281</f>
        <v>0.0006562</v>
      </c>
      <c r="C29">
        <f>1/18*(B29^2*32.2/(0.0000141)*(C21-1))</f>
        <v>0.0901406426997636</v>
      </c>
    </row>
    <row r="30" spans="1:3" ht="12.75">
      <c r="A30" t="s">
        <v>232</v>
      </c>
      <c r="B30">
        <f>B22/1000*3.281</f>
        <v>0.00022967000000000004</v>
      </c>
      <c r="C30">
        <f>1/18*(B30^2*32.2/(0.0000141)*(C22-1))</f>
        <v>0.005353807869440507</v>
      </c>
    </row>
    <row r="31" spans="1:5" ht="12.75">
      <c r="A31" t="s">
        <v>234</v>
      </c>
      <c r="B31">
        <f>B23/1000*3.281</f>
        <v>0.0029529</v>
      </c>
      <c r="C31">
        <f>1/18*(B31^2*32.2/(0.0000141)*(C23-1))</f>
        <v>0.6637629144255321</v>
      </c>
      <c r="E31" t="s">
        <v>241</v>
      </c>
    </row>
    <row r="33" spans="1:8" ht="12.75">
      <c r="A33" t="s">
        <v>240</v>
      </c>
      <c r="E33" t="s">
        <v>250</v>
      </c>
      <c r="F33" t="s">
        <v>228</v>
      </c>
      <c r="G33" t="s">
        <v>242</v>
      </c>
      <c r="H33" t="s">
        <v>142</v>
      </c>
    </row>
    <row r="35" spans="2:8" ht="12.75">
      <c r="B35" t="s">
        <v>179</v>
      </c>
      <c r="C35" t="s">
        <v>175</v>
      </c>
      <c r="E35">
        <f>E28</f>
        <v>5</v>
      </c>
      <c r="F35">
        <f>H9</f>
        <v>0.15</v>
      </c>
      <c r="G35">
        <f>F28/1000*3.281</f>
        <v>7.3365390341768E-07</v>
      </c>
      <c r="H35">
        <f>G28</f>
        <v>1.4049999999999965E-07</v>
      </c>
    </row>
    <row r="36" spans="1:8" ht="12.75">
      <c r="A36" t="s">
        <v>232</v>
      </c>
      <c r="B36">
        <f>SQRT(C30/2.81)</f>
        <v>0.043649395235526765</v>
      </c>
      <c r="C36">
        <f>B36/1000*3.281</f>
        <v>0.00014321366576776332</v>
      </c>
      <c r="E36">
        <f>E27</f>
        <v>4</v>
      </c>
      <c r="F36">
        <f>H8</f>
        <v>0.2</v>
      </c>
      <c r="G36">
        <f>F27/1000*3.281</f>
        <v>3.281E-06</v>
      </c>
      <c r="H36">
        <f>G27</f>
        <v>2.8099999999999998E-06</v>
      </c>
    </row>
    <row r="37" spans="1:8" ht="12.75">
      <c r="A37" t="s">
        <v>234</v>
      </c>
      <c r="B37">
        <f>SQRT(C31/2.81)</f>
        <v>0.4860190945773465</v>
      </c>
      <c r="C37">
        <f>B37/1000*3.281</f>
        <v>0.0015946286493082739</v>
      </c>
      <c r="E37">
        <f>E26</f>
        <v>3</v>
      </c>
      <c r="F37">
        <f>H7</f>
        <v>0.1</v>
      </c>
      <c r="G37">
        <f>F26/1000*3.281</f>
        <v>1.0375433003012443E-05</v>
      </c>
      <c r="H37">
        <f>G26</f>
        <v>2.8099999999999944E-05</v>
      </c>
    </row>
    <row r="38" spans="5:8" ht="12.75">
      <c r="E38">
        <f>E25</f>
        <v>2</v>
      </c>
      <c r="F38">
        <f>H6</f>
        <v>0.2</v>
      </c>
      <c r="G38">
        <f>F25/1000*3.281</f>
        <v>7.336539034176808E-05</v>
      </c>
      <c r="H38">
        <f>G25</f>
        <v>0.0014049999999999991</v>
      </c>
    </row>
    <row r="39" spans="5:8" ht="12.75">
      <c r="E39">
        <f>E24</f>
        <v>1</v>
      </c>
      <c r="F39">
        <f>H5</f>
        <v>0.35</v>
      </c>
      <c r="G39">
        <f>F24/1000*3.281</f>
        <v>0.00046400346981461245</v>
      </c>
      <c r="H39">
        <f>G24</f>
        <v>0.056199999999999986</v>
      </c>
    </row>
    <row r="41" ht="12.75">
      <c r="A41" t="s">
        <v>280</v>
      </c>
    </row>
    <row r="42" spans="3:6" ht="12.75">
      <c r="C42" t="s">
        <v>228</v>
      </c>
      <c r="D42" t="s">
        <v>242</v>
      </c>
      <c r="E42" t="s">
        <v>142</v>
      </c>
      <c r="F42" t="s">
        <v>250</v>
      </c>
    </row>
    <row r="43" spans="1:6" ht="12.75">
      <c r="A43">
        <v>1</v>
      </c>
      <c r="B43" t="s">
        <v>230</v>
      </c>
      <c r="C43">
        <f>B10</f>
        <v>0.117</v>
      </c>
      <c r="D43">
        <f>B27</f>
        <v>6.562E-06</v>
      </c>
      <c r="E43">
        <f>C27</f>
        <v>9.014064269976358E-06</v>
      </c>
      <c r="F43">
        <f>RANK(D51,D51:D55,1)</f>
        <v>1</v>
      </c>
    </row>
    <row r="44" spans="1:6" ht="12.75">
      <c r="A44">
        <v>2</v>
      </c>
      <c r="B44" t="s">
        <v>232</v>
      </c>
      <c r="C44">
        <f>B11</f>
        <v>0.33</v>
      </c>
      <c r="D44">
        <f>C36</f>
        <v>0.00014321366576776332</v>
      </c>
      <c r="E44">
        <f>C30</f>
        <v>0.005353807869440507</v>
      </c>
      <c r="F44">
        <f>RANK(D52,D51:D55,1)</f>
        <v>3</v>
      </c>
    </row>
    <row r="45" spans="1:6" ht="12.75">
      <c r="A45">
        <v>3</v>
      </c>
      <c r="B45" t="s">
        <v>231</v>
      </c>
      <c r="C45">
        <f>B12</f>
        <v>0.019999999999999962</v>
      </c>
      <c r="D45">
        <f>B28</f>
        <v>3.2810000000000006E-05</v>
      </c>
      <c r="E45">
        <f>C28</f>
        <v>0.0002253516067494091</v>
      </c>
      <c r="F45">
        <f>RANK(D53,D51:D55,1)</f>
        <v>2</v>
      </c>
    </row>
    <row r="46" spans="1:6" ht="12.75">
      <c r="A46">
        <v>4</v>
      </c>
      <c r="B46" t="s">
        <v>233</v>
      </c>
      <c r="C46">
        <f>B13</f>
        <v>0.010065687500000003</v>
      </c>
      <c r="D46">
        <f>B29</f>
        <v>0.0006562</v>
      </c>
      <c r="E46">
        <f>C29</f>
        <v>0.0901406426997636</v>
      </c>
      <c r="F46">
        <f>RANK(D54,D51:D55,1)</f>
        <v>4</v>
      </c>
    </row>
    <row r="47" spans="1:6" ht="12.75">
      <c r="A47">
        <v>5</v>
      </c>
      <c r="B47" t="s">
        <v>234</v>
      </c>
      <c r="C47">
        <f>B14</f>
        <v>0.5229343125</v>
      </c>
      <c r="D47">
        <f>C37</f>
        <v>0.0015946286493082739</v>
      </c>
      <c r="E47">
        <f>C31</f>
        <v>0.6637629144255321</v>
      </c>
      <c r="F47">
        <f>RANK(D55,D51:D55,1)</f>
        <v>5</v>
      </c>
    </row>
    <row r="49" ht="12.75">
      <c r="A49" t="s">
        <v>241</v>
      </c>
    </row>
    <row r="50" spans="2:4" ht="12.75">
      <c r="B50" t="s">
        <v>228</v>
      </c>
      <c r="C50" t="s">
        <v>242</v>
      </c>
      <c r="D50" t="s">
        <v>142</v>
      </c>
    </row>
    <row r="51" spans="1:4" ht="12.75">
      <c r="A51" t="str">
        <f>VLOOKUP(F43,SortSize,2,FALSE)</f>
        <v>Clay</v>
      </c>
      <c r="B51">
        <f>VLOOKUP(F43,SortSize,3,FALSE)</f>
        <v>0.117</v>
      </c>
      <c r="C51">
        <f>VLOOKUP(F43,SortSize,4,FALSE)</f>
        <v>6.562E-06</v>
      </c>
      <c r="D51">
        <f>C27</f>
        <v>9.014064269976358E-06</v>
      </c>
    </row>
    <row r="52" spans="1:4" ht="12.75">
      <c r="A52" t="str">
        <f>VLOOKUP(F44,SortSize,2,FALSE)</f>
        <v>Silt</v>
      </c>
      <c r="B52">
        <f>VLOOKUP(F44,SortSize,3,FALSE)</f>
        <v>0.019999999999999962</v>
      </c>
      <c r="C52">
        <f>VLOOKUP(F44,SortSize,4,FALSE)</f>
        <v>3.2810000000000006E-05</v>
      </c>
      <c r="D52">
        <f>C30</f>
        <v>0.005353807869440507</v>
      </c>
    </row>
    <row r="53" spans="1:4" ht="12.75">
      <c r="A53" t="str">
        <f>VLOOKUP(F45,SortSize,2,FALSE)</f>
        <v>Small Aggregate</v>
      </c>
      <c r="B53">
        <f>VLOOKUP(F45,SortSize,3,FALSE)</f>
        <v>0.33</v>
      </c>
      <c r="C53">
        <f>VLOOKUP(F45,SortSize,4,FALSE)</f>
        <v>0.00014321366576776332</v>
      </c>
      <c r="D53">
        <f>C28</f>
        <v>0.0002253516067494091</v>
      </c>
    </row>
    <row r="54" spans="1:4" ht="12.75">
      <c r="A54" t="str">
        <f>VLOOKUP(F46,SortSize,2,FALSE)</f>
        <v>Sand</v>
      </c>
      <c r="B54">
        <f>VLOOKUP(F46,SortSize,3,FALSE)</f>
        <v>0.010065687500000003</v>
      </c>
      <c r="C54">
        <f>VLOOKUP(F46,SortSize,4,FALSE)</f>
        <v>0.0006562</v>
      </c>
      <c r="D54">
        <f>C29</f>
        <v>0.0901406426997636</v>
      </c>
    </row>
    <row r="55" spans="1:4" ht="12.75">
      <c r="A55" t="str">
        <f>VLOOKUP(F47,SortSize,2,FALSE)</f>
        <v>Large Aggregate</v>
      </c>
      <c r="B55">
        <f>VLOOKUP(F47,SortSize,3,FALSE)</f>
        <v>0.5229343125</v>
      </c>
      <c r="C55">
        <f>VLOOKUP(F47,SortSize,4,FALSE)</f>
        <v>0.0015946286493082739</v>
      </c>
      <c r="D55">
        <f>C31</f>
        <v>0.6637629144255321</v>
      </c>
    </row>
    <row r="57" ht="12.75">
      <c r="A57" t="s">
        <v>274</v>
      </c>
    </row>
    <row r="59" spans="1:4" ht="12.75">
      <c r="A59" t="s">
        <v>250</v>
      </c>
      <c r="B59" t="s">
        <v>228</v>
      </c>
      <c r="C59" t="s">
        <v>242</v>
      </c>
      <c r="D59" t="s">
        <v>124</v>
      </c>
    </row>
    <row r="60" spans="1:4" ht="12.75">
      <c r="A60">
        <v>5</v>
      </c>
      <c r="B60">
        <f>IF('Input and Output'!$E$7="X",'Eroded particles'!B51,'Eroded particles'!F35)</f>
        <v>0.117</v>
      </c>
      <c r="C60">
        <f>IF('Input and Output'!$E$7="X",'Eroded particles'!C51,'Eroded particles'!G35)</f>
        <v>6.562E-06</v>
      </c>
      <c r="D60">
        <f>B60</f>
        <v>0.117</v>
      </c>
    </row>
    <row r="61" spans="1:4" ht="12.75">
      <c r="A61">
        <v>4</v>
      </c>
      <c r="B61">
        <f>IF('Input and Output'!$E$7="X",'Eroded particles'!B52,'Eroded particles'!F36)</f>
        <v>0.019999999999999962</v>
      </c>
      <c r="C61">
        <f>IF('Input and Output'!$E$7="X",'Eroded particles'!C52,'Eroded particles'!G36)</f>
        <v>3.2810000000000006E-05</v>
      </c>
      <c r="D61">
        <f>B61+D60</f>
        <v>0.13699999999999996</v>
      </c>
    </row>
    <row r="62" spans="1:4" ht="12.75">
      <c r="A62">
        <v>3</v>
      </c>
      <c r="B62">
        <f>IF('Input and Output'!$E$7="X",'Eroded particles'!B53,'Eroded particles'!F37)</f>
        <v>0.33</v>
      </c>
      <c r="C62">
        <f>IF('Input and Output'!$E$7="X",'Eroded particles'!C53,'Eroded particles'!G37)</f>
        <v>0.00014321366576776332</v>
      </c>
      <c r="D62">
        <f>B62+D61</f>
        <v>0.46699999999999997</v>
      </c>
    </row>
    <row r="63" spans="1:4" ht="12.75">
      <c r="A63">
        <v>2</v>
      </c>
      <c r="B63">
        <f>IF('Input and Output'!$E$7="X",'Eroded particles'!B54,'Eroded particles'!F38)</f>
        <v>0.010065687500000003</v>
      </c>
      <c r="C63">
        <f>IF('Input and Output'!$E$7="X",'Eroded particles'!C54,'Eroded particles'!G38)</f>
        <v>0.0006562</v>
      </c>
      <c r="D63">
        <f>B63+D62</f>
        <v>0.4770656875</v>
      </c>
    </row>
    <row r="64" spans="1:4" ht="12.75">
      <c r="A64">
        <v>1</v>
      </c>
      <c r="B64">
        <f>IF('Input and Output'!$E$7="X",'Eroded particles'!B55,'Eroded particles'!F39)</f>
        <v>0.5229343125</v>
      </c>
      <c r="C64">
        <f>IF('Input and Output'!$E$7="X",'Eroded particles'!C55,'Eroded particles'!G39)</f>
        <v>0.0015946286493082739</v>
      </c>
      <c r="D64">
        <f>B64+D63</f>
        <v>1</v>
      </c>
    </row>
    <row r="66" spans="1:7" ht="12.75">
      <c r="A66" t="s">
        <v>276</v>
      </c>
      <c r="B66" t="s">
        <v>250</v>
      </c>
      <c r="D66" t="s">
        <v>275</v>
      </c>
      <c r="E66" t="s">
        <v>223</v>
      </c>
      <c r="F66" t="s">
        <v>245</v>
      </c>
      <c r="G66" t="s">
        <v>248</v>
      </c>
    </row>
    <row r="68" spans="1:7" ht="12.75">
      <c r="A68">
        <f>D60</f>
        <v>0.117</v>
      </c>
      <c r="B68">
        <f>A60</f>
        <v>5</v>
      </c>
      <c r="D68">
        <f>VLOOKUP(0.5,findClass,2,TRUE)</f>
        <v>2</v>
      </c>
      <c r="E68">
        <f>VLOOKUP(D68,findfrac,3,FALSE)</f>
        <v>0.0006562</v>
      </c>
      <c r="F68">
        <f>VLOOKUP(D68,findfrac,4,FALSE)</f>
        <v>0.4770656875</v>
      </c>
      <c r="G68">
        <f>LOG(E68)</f>
        <v>-3.182963773949971</v>
      </c>
    </row>
    <row r="69" spans="1:7" ht="12.75">
      <c r="A69">
        <f>D61</f>
        <v>0.13699999999999996</v>
      </c>
      <c r="B69">
        <f>A61</f>
        <v>4</v>
      </c>
      <c r="D69">
        <f>IF(D68&lt;&gt;1,D68-1,D68+1)</f>
        <v>1</v>
      </c>
      <c r="E69">
        <f>VLOOKUP(D69,findfrac,3,FALSE)</f>
        <v>0.0015946286493082739</v>
      </c>
      <c r="F69">
        <f>VLOOKUP(D69,findfrac,4,FALSE)</f>
        <v>1</v>
      </c>
      <c r="G69">
        <f>LOG(E69)</f>
        <v>-2.797340437580725</v>
      </c>
    </row>
    <row r="70" spans="1:2" ht="12.75">
      <c r="A70">
        <f>D62</f>
        <v>0.46699999999999997</v>
      </c>
      <c r="B70">
        <f>A62</f>
        <v>3</v>
      </c>
    </row>
    <row r="71" spans="1:7" ht="12.75">
      <c r="A71">
        <f>D63</f>
        <v>0.4770656875</v>
      </c>
      <c r="B71">
        <f>A63</f>
        <v>2</v>
      </c>
      <c r="D71" t="s">
        <v>277</v>
      </c>
      <c r="F71" t="s">
        <v>242</v>
      </c>
      <c r="G71" t="s">
        <v>244</v>
      </c>
    </row>
    <row r="72" spans="1:2" ht="12.75">
      <c r="A72">
        <f>D64</f>
        <v>1</v>
      </c>
      <c r="B72">
        <f>A64</f>
        <v>1</v>
      </c>
    </row>
    <row r="73" spans="4:7" ht="12.75">
      <c r="D73">
        <f>SLOPE(G68:G69,F68:F69)</f>
        <v>0.7374221334333383</v>
      </c>
      <c r="E73">
        <f>0.5*D73+D74</f>
        <v>-3.166051504297394</v>
      </c>
      <c r="F73">
        <f>10^E73</f>
        <v>0.000682257778328336</v>
      </c>
      <c r="G73">
        <f>(F73/3.281)*1000</f>
        <v>0.20794202326374153</v>
      </c>
    </row>
    <row r="74" ht="12.75">
      <c r="D74">
        <f>INTERCEPT(G68:G69,F68:F69)</f>
        <v>-3.5347625710140633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AW240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9.28125" style="0" bestFit="1" customWidth="1"/>
    <col min="2" max="2" width="12.421875" style="0" bestFit="1" customWidth="1"/>
    <col min="3" max="3" width="12.57421875" style="0" bestFit="1" customWidth="1"/>
    <col min="4" max="9" width="9.28125" style="0" bestFit="1" customWidth="1"/>
    <col min="10" max="10" width="12.00390625" style="0" bestFit="1" customWidth="1"/>
    <col min="11" max="11" width="12.421875" style="0" bestFit="1" customWidth="1"/>
    <col min="12" max="12" width="11.140625" style="0" bestFit="1" customWidth="1"/>
    <col min="13" max="14" width="12.57421875" style="0" bestFit="1" customWidth="1"/>
    <col min="15" max="19" width="13.8515625" style="0" bestFit="1" customWidth="1"/>
    <col min="22" max="22" width="12.421875" style="0" bestFit="1" customWidth="1"/>
    <col min="26" max="26" width="12.421875" style="0" bestFit="1" customWidth="1"/>
    <col min="28" max="29" width="12.421875" style="0" bestFit="1" customWidth="1"/>
  </cols>
  <sheetData>
    <row r="1" ht="18">
      <c r="A1" s="12" t="s">
        <v>170</v>
      </c>
    </row>
    <row r="2" ht="18">
      <c r="A2" s="12" t="s">
        <v>171</v>
      </c>
    </row>
    <row r="3" ht="18">
      <c r="A3" s="12" t="s">
        <v>172</v>
      </c>
    </row>
    <row r="4" ht="18">
      <c r="A4" s="12" t="s">
        <v>203</v>
      </c>
    </row>
    <row r="5" spans="1:5" ht="18">
      <c r="A5" s="12" t="s">
        <v>167</v>
      </c>
      <c r="B5" s="13">
        <f>J41</f>
        <v>0.004079514124072787</v>
      </c>
      <c r="C5" s="12" t="s">
        <v>200</v>
      </c>
      <c r="E5" s="12" t="str">
        <f>IF(B5&lt;0.003,"yes","no")</f>
        <v>no</v>
      </c>
    </row>
    <row r="7" spans="2:30" ht="12.75">
      <c r="B7" t="s">
        <v>13</v>
      </c>
      <c r="C7" s="1">
        <v>0</v>
      </c>
      <c r="D7" s="1">
        <v>1</v>
      </c>
      <c r="E7" s="1">
        <v>2</v>
      </c>
      <c r="F7" t="s">
        <v>6</v>
      </c>
      <c r="G7" t="s">
        <v>7</v>
      </c>
      <c r="H7" s="1">
        <v>1</v>
      </c>
      <c r="I7" s="1">
        <v>2</v>
      </c>
      <c r="J7" t="s">
        <v>8</v>
      </c>
      <c r="K7" s="1">
        <v>1</v>
      </c>
      <c r="L7" s="1">
        <v>2</v>
      </c>
      <c r="M7" t="s">
        <v>9</v>
      </c>
      <c r="N7" s="1">
        <v>1</v>
      </c>
      <c r="O7" s="1">
        <v>2</v>
      </c>
      <c r="P7" t="s">
        <v>16</v>
      </c>
      <c r="Q7" s="1">
        <v>1</v>
      </c>
      <c r="R7" s="1">
        <v>2</v>
      </c>
      <c r="S7" t="s">
        <v>81</v>
      </c>
      <c r="T7" s="1">
        <v>0</v>
      </c>
      <c r="U7" s="1">
        <v>1</v>
      </c>
      <c r="V7" s="1">
        <v>2</v>
      </c>
      <c r="W7" t="s">
        <v>12</v>
      </c>
      <c r="X7" s="1">
        <v>0</v>
      </c>
      <c r="Y7" s="1">
        <v>1</v>
      </c>
      <c r="Z7" s="1">
        <v>2</v>
      </c>
      <c r="AA7" t="s">
        <v>91</v>
      </c>
      <c r="AB7" s="1">
        <v>0</v>
      </c>
      <c r="AC7" s="1">
        <v>1</v>
      </c>
      <c r="AD7" s="1">
        <v>2</v>
      </c>
    </row>
    <row r="8" spans="1:30" ht="12.75">
      <c r="A8">
        <v>0</v>
      </c>
      <c r="B8" s="1">
        <v>0</v>
      </c>
      <c r="C8">
        <v>0</v>
      </c>
      <c r="D8">
        <v>0</v>
      </c>
      <c r="E8">
        <v>0</v>
      </c>
      <c r="F8">
        <f>'Preliminary calcs'!J3</f>
        <v>0</v>
      </c>
      <c r="G8" s="1">
        <v>0</v>
      </c>
      <c r="H8">
        <v>0</v>
      </c>
      <c r="I8">
        <v>0</v>
      </c>
      <c r="J8" s="1">
        <v>0</v>
      </c>
      <c r="K8">
        <v>0</v>
      </c>
      <c r="L8">
        <v>0</v>
      </c>
      <c r="M8" s="1">
        <v>0</v>
      </c>
      <c r="N8">
        <v>0</v>
      </c>
      <c r="O8">
        <v>0</v>
      </c>
      <c r="P8" s="1">
        <v>0</v>
      </c>
      <c r="Q8">
        <v>0</v>
      </c>
      <c r="R8">
        <v>0</v>
      </c>
      <c r="S8" s="1">
        <v>0</v>
      </c>
      <c r="T8">
        <v>0</v>
      </c>
      <c r="U8">
        <v>0</v>
      </c>
      <c r="V8">
        <v>0</v>
      </c>
      <c r="W8" s="1">
        <v>0</v>
      </c>
      <c r="X8">
        <f>'Stage-Q'!$I$2*IF(C8&lt;&gt;0,C8^(8/3),0)</f>
        <v>0</v>
      </c>
      <c r="Y8">
        <f>'Stage-Q'!$I$2*IF(D8&lt;&gt;0,D8^(8/3),0)</f>
        <v>0</v>
      </c>
      <c r="Z8">
        <f>'Stage-Q'!$I$2*IF(E8&lt;&gt;0,E8^(8/3),0)</f>
        <v>0</v>
      </c>
      <c r="AA8" s="1">
        <v>0</v>
      </c>
      <c r="AB8">
        <f>X8*'Preliminary calcs'!$B$39</f>
        <v>0</v>
      </c>
      <c r="AC8">
        <f>Y8*'Preliminary calcs'!$B$39</f>
        <v>0</v>
      </c>
      <c r="AD8">
        <f>Z8*'Preliminary calcs'!$B$39</f>
        <v>0</v>
      </c>
    </row>
    <row r="9" spans="1:30" ht="12.75">
      <c r="A9">
        <v>0.1</v>
      </c>
      <c r="B9" s="1">
        <v>1</v>
      </c>
      <c r="C9">
        <v>0</v>
      </c>
      <c r="D9">
        <v>1.0014970168453558E-05</v>
      </c>
      <c r="E9">
        <v>1.0001054135808197E-05</v>
      </c>
      <c r="F9">
        <f>'Preliminary calcs'!K4</f>
        <v>1E-06</v>
      </c>
      <c r="G9" s="1">
        <v>1</v>
      </c>
      <c r="H9">
        <f>IF(D9&lt;&gt;0,AVERAGE('Stage-Q'!$I$2*C8^(8/3),'Stage-Q'!$I$2*C9^(8/3))*360+AVERAGE($F8,$F9)*360,0)</f>
        <v>0.00017999999999999998</v>
      </c>
      <c r="I9">
        <f>IF(E9&lt;&gt;0,AVERAGE('Stage-Q'!$I$2*D8^(8/3),'Stage-Q'!$I$2*D9^(8/3))*360+AVERAGE($F8,$F9)*360,0)</f>
        <v>0.00018000015431327682</v>
      </c>
      <c r="J9" s="1">
        <v>1</v>
      </c>
      <c r="K9">
        <f>AVERAGE('Stage-Q'!$I$2*IF(D8&lt;&gt;0,D8^(8/3),0),'Stage-Q'!$I$2*IF(D9&lt;&gt;0,D9^(8/3),0))*360+('Preliminary calcs'!$B$34*Q9*0.25*(IF(C8&lt;&gt;0,C8^1.5,0)+IF(D8&lt;&gt;0,D8^1.5,0)+IF(C9&lt;&gt;0,C9^1.5,0)+IF(D9&lt;&gt;0,D9^1.5,0))*'Preliminary calcs'!$B$20*360)+(1-'Preliminary calcs'!$B$39)*$F9*360</f>
        <v>0.00011293848239201695</v>
      </c>
      <c r="L9">
        <f>AVERAGE('Stage-Q'!$I$2*IF(E8&lt;&gt;0,E8^(8/3),0),'Stage-Q'!$I$2*IF(E9&lt;&gt;0,E9^(8/3),0))*360+('Preliminary calcs'!$B$34*R9*0.25*(IF(D8&lt;&gt;0,D8^1.5,0)+IF(E8&lt;&gt;0,E8^1.5,0)+IF(D9&lt;&gt;0,D9^1.5,0)+IF(E9&lt;&gt;0,E9^1.5,0))*'Preliminary calcs'!$B$20*360)+(1-'Preliminary calcs'!$B$39)*$F9*360</f>
        <v>0.00011295067905556126</v>
      </c>
      <c r="M9" s="1">
        <v>1</v>
      </c>
      <c r="N9">
        <f>0.5*(1/(2*'Preliminary calcs'!$B$14)*(D9^2-D8^2)*'Preliminary calcs'!$B$20+1/(2*'Preliminary calcs'!$B$14)*(C9^2-C8^2))*'Preliminary calcs'!$B$20</f>
        <v>1.2537453434376835E-05</v>
      </c>
      <c r="O9">
        <f>0.5*(1/(2*'Preliminary calcs'!$B$14)*(E9^2-E8^2)*'Preliminary calcs'!$B$20+1/(2*'Preliminary calcs'!$B$14)*(D9^2-D8^2))*'Preliminary calcs'!$B$20</f>
        <v>1.2565322745592663E-05</v>
      </c>
      <c r="P9" s="1">
        <v>1</v>
      </c>
      <c r="Q9">
        <f>'Preliminary calcs'!$B$48*'Preliminary calcs'!$B$16^'Preliminary calcs'!$B$46*AVERAGE(P42:Q43)^'Preliminary calcs'!$B$47</f>
        <v>0.00016832145040064642</v>
      </c>
      <c r="R9">
        <f>'Preliminary calcs'!$B$48*'Preliminary calcs'!$B$16^'Preliminary calcs'!$B$46*AVERAGE(Q42:R43)^'Preliminary calcs'!$B$47</f>
        <v>0.0002466356398219038</v>
      </c>
      <c r="S9" s="1">
        <v>1</v>
      </c>
      <c r="T9">
        <v>0</v>
      </c>
      <c r="U9">
        <f>Q9*IF(D9&lt;&gt;0,D9^1.5,0)*'Preliminary calcs'!$B$34*'Preliminary calcs'!$B$20</f>
        <v>7.031198600131739E-11</v>
      </c>
      <c r="V9">
        <f>R9*IF(E9&lt;&gt;0,E9^1.5,0)*'Preliminary calcs'!$B$34*'Preliminary calcs'!$B$20</f>
        <v>1.0281107767849592E-10</v>
      </c>
      <c r="W9" s="1">
        <v>1</v>
      </c>
      <c r="X9">
        <f>'Stage-Q'!$I$2*IF(C9&lt;&gt;0,C9^(8/3),0)</f>
        <v>0</v>
      </c>
      <c r="Y9">
        <f>'Stage-Q'!$I$2*IF(D9&lt;&gt;0,D9^(8/3),0)</f>
        <v>8.572959824701636E-13</v>
      </c>
      <c r="Z9">
        <f>'Stage-Q'!$I$2*IF(E9&lt;&gt;0,E9^(8/3),0)</f>
        <v>8.541230394099834E-13</v>
      </c>
      <c r="AA9" s="1">
        <v>1</v>
      </c>
      <c r="AB9">
        <f>X9*'Preliminary calcs'!$B$39</f>
        <v>0</v>
      </c>
      <c r="AC9">
        <f>Y9</f>
        <v>8.572959824701636E-13</v>
      </c>
      <c r="AD9">
        <f>Z9</f>
        <v>8.541230394099834E-13</v>
      </c>
    </row>
    <row r="10" spans="1:30" ht="12.75">
      <c r="A10">
        <v>0.2</v>
      </c>
      <c r="B10" s="1">
        <v>2</v>
      </c>
      <c r="C10">
        <v>0</v>
      </c>
      <c r="D10">
        <v>0.000488617387557068</v>
      </c>
      <c r="E10">
        <v>0.0005592684467778968</v>
      </c>
      <c r="F10">
        <f>'Preliminary calcs'!K5</f>
        <v>0.0005399246624347415</v>
      </c>
      <c r="G10" s="1">
        <v>2</v>
      </c>
      <c r="H10">
        <f>IF(D10&lt;&gt;0,AVERAGE('Stage-Q'!$I$2*C9^(8/3),'Stage-Q'!$I$2*C10^(8/3))*360+AVERAGE($F9,$F10)*360,0)</f>
        <v>0.09736643923825347</v>
      </c>
      <c r="I10">
        <f>IF(E10&lt;&gt;0,AVERAGE('Stage-Q'!$I$2*D9^(8/3),'Stage-Q'!$I$2*D10^(8/3))*360+AVERAGE($F9,$F10)*360,0)</f>
        <v>0.09737134381623862</v>
      </c>
      <c r="J10" s="1">
        <v>2</v>
      </c>
      <c r="K10">
        <f>AVERAGE('Stage-Q'!$I$2*IF(D9&lt;&gt;0,D9^(8/3),0),'Stage-Q'!$I$2*IF(D10&lt;&gt;0,D10^(8/3),0))*360+('Preliminary calcs'!$B$34*Q10*0.25*(IF(C9&lt;&gt;0,C9^1.5,0)+IF(D9&lt;&gt;0,D9^1.5,0)+IF(C10&lt;&gt;0,C10^1.5,0)+IF(D10&lt;&gt;0,D10^1.5,0))*'Preliminary calcs'!$B$20*360)+(1-'Preliminary calcs'!$B$39)*$F10*360</f>
        <v>0.06101758551646601</v>
      </c>
      <c r="L10">
        <f>AVERAGE('Stage-Q'!$I$2*IF(E9&lt;&gt;0,E9^(8/3),0),'Stage-Q'!$I$2*IF(E10&lt;&gt;0,E10^(8/3),0))*360+('Preliminary calcs'!$B$34*R10*0.25*(IF(D9&lt;&gt;0,D9^1.5,0)+IF(E9&lt;&gt;0,E9^1.5,0)+IF(D10&lt;&gt;0,D10^1.5,0)+IF(E10&lt;&gt;0,E10^1.5,0))*'Preliminary calcs'!$B$20*360)+(1-'Preliminary calcs'!$B$39)*$F10*360</f>
        <v>0.061111946101773576</v>
      </c>
      <c r="M10" s="1">
        <v>2</v>
      </c>
      <c r="N10">
        <f>0.5*(1/(2*'Preliminary calcs'!$B$14)*(D10^2-D9^2)*'Preliminary calcs'!$B$20+1/(2*'Preliminary calcs'!$B$14)*(C10^2-C9^2))*'Preliminary calcs'!$B$20</f>
        <v>0.029830831474452375</v>
      </c>
      <c r="O10">
        <f>0.5*(1/(2*'Preliminary calcs'!$B$14)*(E10^2-E9^2)*'Preliminary calcs'!$B$20+1/(2*'Preliminary calcs'!$B$14)*(D10^2-D9^2))*'Preliminary calcs'!$B$20</f>
        <v>0.039234300967063984</v>
      </c>
      <c r="P10" s="1">
        <v>2</v>
      </c>
      <c r="Q10">
        <f>'Preliminary calcs'!$B$48*'Preliminary calcs'!$B$16^'Preliminary calcs'!$B$46*AVERAGE(P43:Q44)^'Preliminary calcs'!$B$47</f>
        <v>0.0029502447490563554</v>
      </c>
      <c r="R10">
        <f>'Preliminary calcs'!$B$48*'Preliminary calcs'!$B$16^'Preliminary calcs'!$B$46*AVERAGE(Q43:R44)^'Preliminary calcs'!$B$47</f>
        <v>0.004554337809293188</v>
      </c>
      <c r="S10" s="1">
        <v>2</v>
      </c>
      <c r="T10">
        <v>0</v>
      </c>
      <c r="U10">
        <f>Q10*IF(D10&lt;&gt;0,D10^1.5,0)*'Preliminary calcs'!$B$34*'Preliminary calcs'!$B$20</f>
        <v>4.1997828174061595E-07</v>
      </c>
      <c r="V10">
        <f>R10*IF(E10&lt;&gt;0,E10^1.5,0)*'Preliminary calcs'!$B$34*'Preliminary calcs'!$B$20</f>
        <v>7.939097347472981E-07</v>
      </c>
      <c r="W10" s="1">
        <v>2</v>
      </c>
      <c r="X10">
        <f>'Stage-Q'!$I$2*IF(C10&lt;&gt;0,C10^(8/3),0)</f>
        <v>0</v>
      </c>
      <c r="Y10">
        <f>'Stage-Q'!$I$2*IF(D10&lt;&gt;0,D10^(8/3),0)</f>
        <v>2.7246798177064638E-08</v>
      </c>
      <c r="Z10">
        <f>'Stage-Q'!$I$2*IF(E10&lt;&gt;0,E10^(8/3),0)</f>
        <v>3.905882811354478E-08</v>
      </c>
      <c r="AA10" s="1">
        <v>2</v>
      </c>
      <c r="AB10">
        <f>X10*'Preliminary calcs'!$B$39</f>
        <v>0</v>
      </c>
      <c r="AC10">
        <f aca="true" t="shared" si="0" ref="AC10:AC38">Y10</f>
        <v>2.7246798177064638E-08</v>
      </c>
      <c r="AD10">
        <f aca="true" t="shared" si="1" ref="AD10:AD38">Z10</f>
        <v>3.905882811354478E-08</v>
      </c>
    </row>
    <row r="11" spans="1:30" ht="12.75">
      <c r="A11">
        <v>0.3</v>
      </c>
      <c r="B11" s="1">
        <v>3</v>
      </c>
      <c r="C11">
        <v>0</v>
      </c>
      <c r="D11">
        <v>0.0022636136152053656</v>
      </c>
      <c r="E11">
        <v>0.002246093142823389</v>
      </c>
      <c r="F11">
        <f>'Preliminary calcs'!K6</f>
        <v>0.007693017378426219</v>
      </c>
      <c r="G11" s="1">
        <v>3</v>
      </c>
      <c r="H11">
        <f>IF(D11&lt;&gt;0,AVERAGE('Stage-Q'!$I$2*C10^(8/3),'Stage-Q'!$I$2*C11^(8/3))*360+AVERAGE($F10,$F11)*360,0)</f>
        <v>1.4819295673549728</v>
      </c>
      <c r="I11">
        <f>IF(E11&lt;&gt;0,AVERAGE('Stage-Q'!$I$2*D10^(8/3),'Stage-Q'!$I$2*D11^(8/3))*360+AVERAGE($F10,$F11)*360,0)</f>
        <v>1.4822269837604132</v>
      </c>
      <c r="J11" s="1">
        <v>3</v>
      </c>
      <c r="K11">
        <f>AVERAGE('Stage-Q'!$I$2*IF(D10&lt;&gt;0,D10^(8/3),0),'Stage-Q'!$I$2*IF(D11&lt;&gt;0,D11^(8/3),0))*360+('Preliminary calcs'!$B$34*Q11*0.25*(IF(C10&lt;&gt;0,C10^1.5,0)+IF(D10&lt;&gt;0,D10^1.5,0)+IF(C11&lt;&gt;0,C11^1.5,0)+IF(D11&lt;&gt;0,D11^1.5,0))*'Preliminary calcs'!$B$20*360)+(1-'Preliminary calcs'!$B$39)*$F11*360</f>
        <v>0.8704515190627125</v>
      </c>
      <c r="L11">
        <f>AVERAGE('Stage-Q'!$I$2*IF(E10&lt;&gt;0,E10^(8/3),0),'Stage-Q'!$I$2*IF(E11&lt;&gt;0,E11^(8/3),0))*360+('Preliminary calcs'!$B$34*R11*0.25*(IF(D10&lt;&gt;0,D10^1.5,0)+IF(E10&lt;&gt;0,E10^1.5,0)+IF(D11&lt;&gt;0,D11^1.5,0)+IF(E11&lt;&gt;0,E11^1.5,0))*'Preliminary calcs'!$B$20*360)+(1-'Preliminary calcs'!$B$39)*$F11*360</f>
        <v>0.8731221787771053</v>
      </c>
      <c r="M11" s="1">
        <v>3</v>
      </c>
      <c r="N11">
        <f>0.5*(1/(2*'Preliminary calcs'!$B$14)*(D11^2-D10^2)*'Preliminary calcs'!$B$20+1/(2*'Preliminary calcs'!$B$14)*(C11^2-C10^2))*'Preliminary calcs'!$B$20</f>
        <v>0.6106499559400014</v>
      </c>
      <c r="O11">
        <f>0.5*(1/(2*'Preliminary calcs'!$B$14)*(E11^2-E10^2)*'Preliminary calcs'!$B$20+1/(2*'Preliminary calcs'!$B$14)*(D11^2-D10^2))*'Preliminary calcs'!$B$20</f>
        <v>0.5945724011143111</v>
      </c>
      <c r="P11" s="1">
        <v>3</v>
      </c>
      <c r="Q11">
        <f>'Preliminary calcs'!$B$48*'Preliminary calcs'!$B$16^'Preliminary calcs'!$B$46*AVERAGE(P44:Q45)^'Preliminary calcs'!$B$47</f>
        <v>0.009720012418063766</v>
      </c>
      <c r="R11">
        <f>'Preliminary calcs'!$B$48*'Preliminary calcs'!$B$16^'Preliminary calcs'!$B$46*AVERAGE(Q44:R45)^'Preliminary calcs'!$B$47</f>
        <v>0.014302663536319942</v>
      </c>
      <c r="S11" s="1">
        <v>3</v>
      </c>
      <c r="T11">
        <v>0</v>
      </c>
      <c r="U11">
        <f>Q11*IF(D11&lt;&gt;0,D11^1.5,0)*'Preliminary calcs'!$B$34*'Preliminary calcs'!$B$20</f>
        <v>1.3797032148133167E-05</v>
      </c>
      <c r="V11">
        <f>R11*IF(E11&lt;&gt;0,E11^1.5,0)*'Preliminary calcs'!$B$34*'Preliminary calcs'!$B$20</f>
        <v>2.0066608395707193E-05</v>
      </c>
      <c r="W11" s="1">
        <v>3</v>
      </c>
      <c r="X11">
        <f>'Stage-Q'!$I$2*IF(C11&lt;&gt;0,C11^(8/3),0)</f>
        <v>0</v>
      </c>
      <c r="Y11">
        <f>'Stage-Q'!$I$2*IF(D11&lt;&gt;0,D11^(8/3),0)</f>
        <v>1.625066565380398E-06</v>
      </c>
      <c r="Z11">
        <f>'Stage-Q'!$I$2*IF(E11&lt;&gt;0,E11^(8/3),0)</f>
        <v>1.5917409663353131E-06</v>
      </c>
      <c r="AA11" s="1">
        <v>3</v>
      </c>
      <c r="AB11">
        <f>X11*'Preliminary calcs'!$B$39</f>
        <v>0</v>
      </c>
      <c r="AC11">
        <f t="shared" si="0"/>
        <v>1.625066565380398E-06</v>
      </c>
      <c r="AD11">
        <f t="shared" si="1"/>
        <v>1.5917409663353131E-06</v>
      </c>
    </row>
    <row r="12" spans="1:30" ht="12.75">
      <c r="A12">
        <v>0.4</v>
      </c>
      <c r="B12" s="1">
        <v>4</v>
      </c>
      <c r="C12">
        <v>0</v>
      </c>
      <c r="D12">
        <v>0.004907463552653374</v>
      </c>
      <c r="E12">
        <v>0.00486714010421182</v>
      </c>
      <c r="F12">
        <f>'Preliminary calcs'!K7</f>
        <v>0.014825923085382033</v>
      </c>
      <c r="G12" s="1">
        <v>4</v>
      </c>
      <c r="H12">
        <f>IF(D12&lt;&gt;0,AVERAGE('Stage-Q'!$I$2*C11^(8/3),'Stage-Q'!$I$2*C12^(8/3))*360+AVERAGE($F11,$F12)*360,0)</f>
        <v>4.053409283485485</v>
      </c>
      <c r="I12">
        <f>IF(E12&lt;&gt;0,AVERAGE('Stage-Q'!$I$2*D11^(8/3),'Stage-Q'!$I$2*D12^(8/3))*360+AVERAGE($F11,$F12)*360,0)</f>
        <v>4.056004773282756</v>
      </c>
      <c r="J12" s="1">
        <v>4</v>
      </c>
      <c r="K12">
        <f>AVERAGE('Stage-Q'!$I$2*IF(D11&lt;&gt;0,D11^(8/3),0),'Stage-Q'!$I$2*IF(D12&lt;&gt;0,D12^(8/3),0))*360+('Preliminary calcs'!$B$34*Q12*0.25*(IF(C11&lt;&gt;0,C11^1.5,0)+IF(D11&lt;&gt;0,D11^1.5,0)+IF(C12&lt;&gt;0,C12^1.5,0)+IF(D12&lt;&gt;0,D12^1.5,0))*'Preliminary calcs'!$B$20*360)+(1-'Preliminary calcs'!$B$39)*$F12*360</f>
        <v>1.6870939696090628</v>
      </c>
      <c r="L12">
        <f>AVERAGE('Stage-Q'!$I$2*IF(E11&lt;&gt;0,E11^(8/3),0),'Stage-Q'!$I$2*IF(E12&lt;&gt;0,E12^(8/3),0))*360+('Preliminary calcs'!$B$34*R12*0.25*(IF(D11&lt;&gt;0,D11^1.5,0)+IF(E11&lt;&gt;0,E11^1.5,0)+IF(D12&lt;&gt;0,D12^1.5,0)+IF(E12&lt;&gt;0,E12^1.5,0))*'Preliminary calcs'!$B$20*360)+(1-'Preliminary calcs'!$B$39)*$F12*360</f>
        <v>1.7064315052971624</v>
      </c>
      <c r="M12" s="1">
        <v>4</v>
      </c>
      <c r="N12">
        <f>0.5*(1/(2*'Preliminary calcs'!$B$14)*(D12^2-D11^2)*'Preliminary calcs'!$B$20+1/(2*'Preliminary calcs'!$B$14)*(C12^2-C11^2))*'Preliminary calcs'!$B$20</f>
        <v>2.3699064902097713</v>
      </c>
      <c r="O12">
        <f>0.5*(1/(2*'Preliminary calcs'!$B$14)*(E12^2-E11^2)*'Preliminary calcs'!$B$20+1/(2*'Preliminary calcs'!$B$14)*(D12^2-D11^2))*'Preliminary calcs'!$B$20</f>
        <v>2.342364330924649</v>
      </c>
      <c r="P12" s="1">
        <v>4</v>
      </c>
      <c r="Q12">
        <f>'Preliminary calcs'!$B$48*'Preliminary calcs'!$B$16^'Preliminary calcs'!$B$46*AVERAGE(P45:Q46)^'Preliminary calcs'!$B$47</f>
        <v>0.01900363551648893</v>
      </c>
      <c r="R12">
        <f>'Preliminary calcs'!$B$48*'Preliminary calcs'!$B$16^'Preliminary calcs'!$B$46*AVERAGE(Q45:R46)^'Preliminary calcs'!$B$47</f>
        <v>0.02777668742075243</v>
      </c>
      <c r="S12" s="1">
        <v>4</v>
      </c>
      <c r="T12">
        <v>0</v>
      </c>
      <c r="U12">
        <f>Q12*IF(D12&lt;&gt;0,D12^1.5,0)*'Preliminary calcs'!$B$34*'Preliminary calcs'!$B$20</f>
        <v>8.610685490026614E-05</v>
      </c>
      <c r="V12">
        <f>R12*IF(E12&lt;&gt;0,E12^1.5,0)*'Preliminary calcs'!$B$34*'Preliminary calcs'!$B$20</f>
        <v>0.00012431016237200653</v>
      </c>
      <c r="W12" s="1">
        <v>4</v>
      </c>
      <c r="X12">
        <f>'Stage-Q'!$I$2*IF(C12&lt;&gt;0,C12^(8/3),0)</f>
        <v>0</v>
      </c>
      <c r="Y12">
        <f>'Stage-Q'!$I$2*IF(D12&lt;&gt;0,D12^(8/3),0)</f>
        <v>1.2794321197234454E-05</v>
      </c>
      <c r="Z12">
        <f>'Stage-Q'!$I$2*IF(E12&lt;&gt;0,E12^(8/3),0)</f>
        <v>1.2515896303050735E-05</v>
      </c>
      <c r="AA12" s="1">
        <v>4</v>
      </c>
      <c r="AB12">
        <f>X12*'Preliminary calcs'!$B$39</f>
        <v>0</v>
      </c>
      <c r="AC12">
        <f t="shared" si="0"/>
        <v>1.2794321197234454E-05</v>
      </c>
      <c r="AD12">
        <f t="shared" si="1"/>
        <v>1.2515896303050735E-05</v>
      </c>
    </row>
    <row r="13" spans="1:30" ht="12.75">
      <c r="A13">
        <v>0.5</v>
      </c>
      <c r="B13" s="1">
        <v>5</v>
      </c>
      <c r="C13">
        <v>0</v>
      </c>
      <c r="D13">
        <v>0.007478168201701554</v>
      </c>
      <c r="E13">
        <v>0.007403428842727995</v>
      </c>
      <c r="F13">
        <f>'Preliminary calcs'!K8</f>
        <v>0.020133066689364765</v>
      </c>
      <c r="G13" s="1">
        <v>5</v>
      </c>
      <c r="H13">
        <f>IF(D13&lt;&gt;0,AVERAGE('Stage-Q'!$I$2*C12^(8/3),'Stage-Q'!$I$2*C13^(8/3))*360+AVERAGE($F12,$F13)*360,0)</f>
        <v>6.292618159454424</v>
      </c>
      <c r="I13">
        <f>IF(E13&lt;&gt;0,AVERAGE('Stage-Q'!$I$2*D12^(8/3),'Stage-Q'!$I$2*D13^(8/3))*360+AVERAGE($F12,$F13)*360,0)</f>
        <v>6.30200262996643</v>
      </c>
      <c r="J13" s="1">
        <v>5</v>
      </c>
      <c r="K13">
        <f>AVERAGE('Stage-Q'!$I$2*IF(D12&lt;&gt;0,D12^(8/3),0),'Stage-Q'!$I$2*IF(D13&lt;&gt;0,D13^(8/3),0))*360+('Preliminary calcs'!$B$34*Q13*0.25*(IF(C12&lt;&gt;0,C12^1.5,0)+IF(D12&lt;&gt;0,D12^1.5,0)+IF(C13&lt;&gt;0,C13^1.5,0)+IF(D13&lt;&gt;0,D13^1.5,0))*'Preliminary calcs'!$B$20*360)+(1-'Preliminary calcs'!$B$39)*$F13*360</f>
        <v>2.3160546200393375</v>
      </c>
      <c r="L13">
        <f>AVERAGE('Stage-Q'!$I$2*IF(E12&lt;&gt;0,E12^(8/3),0),'Stage-Q'!$I$2*IF(E13&lt;&gt;0,E13^(8/3),0))*360+('Preliminary calcs'!$B$34*R13*0.25*(IF(D12&lt;&gt;0,D12^1.5,0)+IF(E12&lt;&gt;0,E12^1.5,0)+IF(D13&lt;&gt;0,D13^1.5,0)+IF(E13&lt;&gt;0,E13^1.5,0))*'Preliminary calcs'!$B$20*360)+(1-'Preliminary calcs'!$B$39)*$F13*360</f>
        <v>2.3785700936090444</v>
      </c>
      <c r="M13" s="1">
        <v>5</v>
      </c>
      <c r="N13">
        <f>0.5*(1/(2*'Preliminary calcs'!$B$14)*(D13^2-D12^2)*'Preliminary calcs'!$B$20+1/(2*'Preliminary calcs'!$B$14)*(C13^2-C12^2))*'Preliminary calcs'!$B$20</f>
        <v>3.9799751415398723</v>
      </c>
      <c r="O13">
        <f>0.5*(1/(2*'Preliminary calcs'!$B$14)*(E13^2-E12^2)*'Preliminary calcs'!$B$20+1/(2*'Preliminary calcs'!$B$14)*(D13^2-D12^2))*'Preliminary calcs'!$B$20</f>
        <v>3.9101131051214155</v>
      </c>
      <c r="P13" s="1">
        <v>5</v>
      </c>
      <c r="Q13">
        <f>'Preliminary calcs'!$B$48*'Preliminary calcs'!$B$16^'Preliminary calcs'!$B$46*AVERAGE(P46:Q47)^'Preliminary calcs'!$B$47</f>
        <v>0.02808989671770202</v>
      </c>
      <c r="R13">
        <f>'Preliminary calcs'!$B$48*'Preliminary calcs'!$B$16^'Preliminary calcs'!$B$46*AVERAGE(Q46:R47)^'Preliminary calcs'!$B$47</f>
        <v>0.041038590317416045</v>
      </c>
      <c r="S13" s="1">
        <v>5</v>
      </c>
      <c r="T13">
        <v>0</v>
      </c>
      <c r="U13">
        <f>Q13*IF(D13&lt;&gt;0,D13^1.5,0)*'Preliminary calcs'!$B$34*'Preliminary calcs'!$B$20</f>
        <v>0.00023941888090475447</v>
      </c>
      <c r="V13">
        <f>R13*IF(E13&lt;&gt;0,E13^1.5,0)*'Preliminary calcs'!$B$34*'Preliminary calcs'!$B$20</f>
        <v>0.0003445539272342776</v>
      </c>
      <c r="W13" s="1">
        <v>5</v>
      </c>
      <c r="X13">
        <f>'Stage-Q'!$I$2*IF(C13&lt;&gt;0,C13^(8/3),0)</f>
        <v>0</v>
      </c>
      <c r="Y13">
        <f>'Stage-Q'!$I$2*IF(D13&lt;&gt;0,D13^(8/3),0)</f>
        <v>3.934162609168929E-05</v>
      </c>
      <c r="Z13">
        <f>'Stage-Q'!$I$2*IF(E13&lt;&gt;0,E13^(8/3),0)</f>
        <v>3.830182309068716E-05</v>
      </c>
      <c r="AA13" s="1">
        <v>5</v>
      </c>
      <c r="AB13">
        <f>X13*'Preliminary calcs'!$B$39</f>
        <v>0</v>
      </c>
      <c r="AC13">
        <f t="shared" si="0"/>
        <v>3.934162609168929E-05</v>
      </c>
      <c r="AD13">
        <f t="shared" si="1"/>
        <v>3.830182309068716E-05</v>
      </c>
    </row>
    <row r="14" spans="1:30" ht="12.75">
      <c r="A14">
        <v>0.6</v>
      </c>
      <c r="B14" s="1">
        <v>6</v>
      </c>
      <c r="C14">
        <v>0</v>
      </c>
      <c r="D14">
        <v>0.010247793733894171</v>
      </c>
      <c r="E14">
        <v>0.010131380340987019</v>
      </c>
      <c r="F14">
        <f>'Preliminary calcs'!K9</f>
        <v>0.03884382733360101</v>
      </c>
      <c r="G14" s="1">
        <v>6</v>
      </c>
      <c r="H14">
        <f>IF(D14&lt;&gt;0,AVERAGE('Stage-Q'!$I$2*C13^(8/3),'Stage-Q'!$I$2*C14^(8/3))*360+AVERAGE($F13,$F14)*360,0)</f>
        <v>10.61584092413384</v>
      </c>
      <c r="I14">
        <f>IF(E14&lt;&gt;0,AVERAGE('Stage-Q'!$I$2*D13^(8/3),'Stage-Q'!$I$2*D14^(8/3))*360+AVERAGE($F13,$F14)*360,0)</f>
        <v>10.639329014743511</v>
      </c>
      <c r="J14" s="1">
        <v>6</v>
      </c>
      <c r="K14">
        <f>AVERAGE('Stage-Q'!$I$2*IF(D13&lt;&gt;0,D13^(8/3),0),'Stage-Q'!$I$2*IF(D14&lt;&gt;0,D14^(8/3),0))*360+('Preliminary calcs'!$B$34*Q14*0.25*(IF(C13&lt;&gt;0,C13^1.5,0)+IF(D13&lt;&gt;0,D13^1.5,0)+IF(C14&lt;&gt;0,C14^1.5,0)+IF(D14&lt;&gt;0,D14^1.5,0))*'Preliminary calcs'!$B$20*360)+(1-'Preliminary calcs'!$B$39)*$F14*360</f>
        <v>4.483085663842126</v>
      </c>
      <c r="L14">
        <f>AVERAGE('Stage-Q'!$I$2*IF(E13&lt;&gt;0,E13^(8/3),0),'Stage-Q'!$I$2*IF(E14&lt;&gt;0,E14^(8/3),0))*360+('Preliminary calcs'!$B$34*R14*0.25*(IF(D13&lt;&gt;0,D13^1.5,0)+IF(E13&lt;&gt;0,E13^1.5,0)+IF(D14&lt;&gt;0,D14^1.5,0)+IF(E14&lt;&gt;0,E14^1.5,0))*'Preliminary calcs'!$B$20*360)+(1-'Preliminary calcs'!$B$39)*$F14*360</f>
        <v>4.620649488957765</v>
      </c>
      <c r="M14" s="1">
        <v>6</v>
      </c>
      <c r="N14">
        <f>0.5*(1/(2*'Preliminary calcs'!$B$14)*(D14^2-D13^2)*'Preliminary calcs'!$B$20+1/(2*'Preliminary calcs'!$B$14)*(C14^2-C13^2))*'Preliminary calcs'!$B$20</f>
        <v>6.136784594937548</v>
      </c>
      <c r="O14">
        <f>0.5*(1/(2*'Preliminary calcs'!$B$14)*(E14^2-E13^2)*'Preliminary calcs'!$B$20+1/(2*'Preliminary calcs'!$B$14)*(D14^2-D13^2))*'Preliminary calcs'!$B$20</f>
        <v>6.009947546024869</v>
      </c>
      <c r="P14" s="1">
        <v>6</v>
      </c>
      <c r="Q14">
        <f>'Preliminary calcs'!$B$48*'Preliminary calcs'!$B$16^'Preliminary calcs'!$B$46*AVERAGE(P47:Q48)^'Preliminary calcs'!$B$47</f>
        <v>0.036485924609921574</v>
      </c>
      <c r="R14">
        <f>'Preliminary calcs'!$B$48*'Preliminary calcs'!$B$16^'Preliminary calcs'!$B$46*AVERAGE(Q47:R48)^'Preliminary calcs'!$B$47</f>
        <v>0.05327604943057127</v>
      </c>
      <c r="S14" s="1">
        <v>6</v>
      </c>
      <c r="T14">
        <v>0</v>
      </c>
      <c r="U14">
        <f>Q14*IF(D14&lt;&gt;0,D14^1.5,0)*'Preliminary calcs'!$B$34*'Preliminary calcs'!$B$20</f>
        <v>0.0004988687844140201</v>
      </c>
      <c r="V14">
        <f>R14*IF(E14&lt;&gt;0,E14^1.5,0)*'Preliminary calcs'!$B$34*'Preliminary calcs'!$B$20</f>
        <v>0.0007160615473372296</v>
      </c>
      <c r="W14" s="1">
        <v>6</v>
      </c>
      <c r="X14">
        <f>'Stage-Q'!$I$2*IF(C14&lt;&gt;0,C14^(8/3),0)</f>
        <v>0</v>
      </c>
      <c r="Y14">
        <f>'Stage-Q'!$I$2*IF(D14&lt;&gt;0,D14^(8/3),0)</f>
        <v>9.114776618426036E-05</v>
      </c>
      <c r="Z14">
        <f>'Stage-Q'!$I$2*IF(E14&lt;&gt;0,E14^(8/3),0)</f>
        <v>8.841270547247421E-05</v>
      </c>
      <c r="AA14" s="1">
        <v>6</v>
      </c>
      <c r="AB14">
        <f>X14*'Preliminary calcs'!$B$39</f>
        <v>0</v>
      </c>
      <c r="AC14">
        <f t="shared" si="0"/>
        <v>9.114776618426036E-05</v>
      </c>
      <c r="AD14">
        <f t="shared" si="1"/>
        <v>8.841270547247421E-05</v>
      </c>
    </row>
    <row r="15" spans="1:30" ht="12.75">
      <c r="A15">
        <v>0.7</v>
      </c>
      <c r="B15" s="1">
        <v>7</v>
      </c>
      <c r="C15">
        <v>0</v>
      </c>
      <c r="D15">
        <v>0.013561679543181552</v>
      </c>
      <c r="E15">
        <v>0.013391848345902917</v>
      </c>
      <c r="F15">
        <f>'Preliminary calcs'!K10</f>
        <v>0.04558785180959732</v>
      </c>
      <c r="G15" s="1">
        <v>7</v>
      </c>
      <c r="H15">
        <f>IF(D15&lt;&gt;0,AVERAGE('Stage-Q'!$I$2*C14^(8/3),'Stage-Q'!$I$2*C15^(8/3))*360+AVERAGE($F14,$F15)*360,0)</f>
        <v>15.197702245775698</v>
      </c>
      <c r="I15">
        <f>IF(E15&lt;&gt;0,AVERAGE('Stage-Q'!$I$2*D14^(8/3),'Stage-Q'!$I$2*D15^(8/3))*360+AVERAGE($F14,$F15)*360,0)</f>
        <v>15.24874317508765</v>
      </c>
      <c r="J15" s="1">
        <v>7</v>
      </c>
      <c r="K15">
        <f>AVERAGE('Stage-Q'!$I$2*IF(D14&lt;&gt;0,D14^(8/3),0),'Stage-Q'!$I$2*IF(D15&lt;&gt;0,D15^(8/3),0))*360+('Preliminary calcs'!$B$34*Q15*0.25*(IF(C14&lt;&gt;0,C14^1.5,0)+IF(D14&lt;&gt;0,D14^1.5,0)+IF(C15&lt;&gt;0,C15^1.5,0)+IF(D15&lt;&gt;0,D15^1.5,0))*'Preliminary calcs'!$B$20*360)+(1-'Preliminary calcs'!$B$39)*$F15*360</f>
        <v>5.339994315271242</v>
      </c>
      <c r="L15">
        <f>AVERAGE('Stage-Q'!$I$2*IF(E14&lt;&gt;0,E14^(8/3),0),'Stage-Q'!$I$2*IF(E15&lt;&gt;0,E15^(8/3),0))*360+('Preliminary calcs'!$B$34*R15*0.25*(IF(D14&lt;&gt;0,D14^1.5,0)+IF(E14&lt;&gt;0,E14^1.5,0)+IF(D15&lt;&gt;0,D15^1.5,0)+IF(E15&lt;&gt;0,E15^1.5,0))*'Preliminary calcs'!$B$20*360)+(1-'Preliminary calcs'!$B$39)*$F15*360</f>
        <v>5.604521662819554</v>
      </c>
      <c r="M15" s="1">
        <v>7</v>
      </c>
      <c r="N15">
        <f>0.5*(1/(2*'Preliminary calcs'!$B$14)*(D15^2-D14^2)*'Preliminary calcs'!$B$20+1/(2*'Preliminary calcs'!$B$14)*(C15^2-C14^2))*'Preliminary calcs'!$B$20</f>
        <v>9.862734452438543</v>
      </c>
      <c r="O15">
        <f>0.5*(1/(2*'Preliminary calcs'!$B$14)*(E15^2-E14^2)*'Preliminary calcs'!$B$20+1/(2*'Preliminary calcs'!$B$14)*(D15^2-D14^2))*'Preliminary calcs'!$B$20</f>
        <v>9.636405485502749</v>
      </c>
      <c r="P15" s="1">
        <v>7</v>
      </c>
      <c r="Q15">
        <f>'Preliminary calcs'!$B$48*'Preliminary calcs'!$B$16^'Preliminary calcs'!$B$46*AVERAGE(P48:Q49)^'Preliminary calcs'!$B$47</f>
        <v>0.04530550714481007</v>
      </c>
      <c r="R15">
        <f>'Preliminary calcs'!$B$48*'Preliminary calcs'!$B$16^'Preliminary calcs'!$B$46*AVERAGE(Q48:R49)^'Preliminary calcs'!$B$47</f>
        <v>0.06612418144137513</v>
      </c>
      <c r="S15" s="1">
        <v>7</v>
      </c>
      <c r="T15">
        <v>0</v>
      </c>
      <c r="U15">
        <f>Q15*IF(D15&lt;&gt;0,D15^1.5,0)*'Preliminary calcs'!$B$34*'Preliminary calcs'!$B$20</f>
        <v>0.0009430541344816184</v>
      </c>
      <c r="V15">
        <f>R15*IF(E15&lt;&gt;0,E15^1.5,0)*'Preliminary calcs'!$B$34*'Preliminary calcs'!$B$20</f>
        <v>0.0013506303453036086</v>
      </c>
      <c r="W15" s="1">
        <v>7</v>
      </c>
      <c r="X15">
        <f>'Stage-Q'!$I$2*IF(C15&lt;&gt;0,C15^(8/3),0)</f>
        <v>0</v>
      </c>
      <c r="Y15">
        <f>'Stage-Q'!$I$2*IF(D15&lt;&gt;0,D15^(8/3),0)</f>
        <v>0.0001924129522154736</v>
      </c>
      <c r="Z15">
        <f>'Stage-Q'!$I$2*IF(E15&lt;&gt;0,E15^(8/3),0)</f>
        <v>0.0001860543187102595</v>
      </c>
      <c r="AA15" s="1">
        <v>7</v>
      </c>
      <c r="AB15">
        <f>X15*'Preliminary calcs'!$B$39</f>
        <v>0</v>
      </c>
      <c r="AC15">
        <f t="shared" si="0"/>
        <v>0.0001924129522154736</v>
      </c>
      <c r="AD15">
        <f t="shared" si="1"/>
        <v>0.0001860543187102595</v>
      </c>
    </row>
    <row r="16" spans="1:30" ht="12.75">
      <c r="A16">
        <v>0.8</v>
      </c>
      <c r="B16" s="1">
        <v>8</v>
      </c>
      <c r="C16">
        <v>0</v>
      </c>
      <c r="D16">
        <v>0.016553521326837562</v>
      </c>
      <c r="E16">
        <v>0.01631171583028006</v>
      </c>
      <c r="F16">
        <f>'Preliminary calcs'!K11</f>
        <v>0.050417672229331884</v>
      </c>
      <c r="G16" s="1">
        <v>8</v>
      </c>
      <c r="H16">
        <f>IF(D16&lt;&gt;0,AVERAGE('Stage-Q'!$I$2*C15^(8/3),'Stage-Q'!$I$2*C16^(8/3))*360+AVERAGE($F15,$F16)*360,0)</f>
        <v>17.280994327007257</v>
      </c>
      <c r="I16">
        <f>IF(E16&lt;&gt;0,AVERAGE('Stage-Q'!$I$2*D15^(8/3),'Stage-Q'!$I$2*D16^(8/3))*360+AVERAGE($F15,$F16)*360,0)</f>
        <v>17.37456437667111</v>
      </c>
      <c r="J16" s="1">
        <v>8</v>
      </c>
      <c r="K16">
        <f>AVERAGE('Stage-Q'!$I$2*IF(D15&lt;&gt;0,D15^(8/3),0),'Stage-Q'!$I$2*IF(D16&lt;&gt;0,D16^(8/3),0))*360+('Preliminary calcs'!$B$34*Q16*0.25*(IF(C15&lt;&gt;0,C15^1.5,0)+IF(D15&lt;&gt;0,D15^1.5,0)+IF(C16&lt;&gt;0,C16^1.5,0)+IF(D16&lt;&gt;0,D16^1.5,0))*'Preliminary calcs'!$B$20*360)+(1-'Preliminary calcs'!$B$39)*$F16*360</f>
        <v>6.02401611802359</v>
      </c>
      <c r="L16">
        <f>AVERAGE('Stage-Q'!$I$2*IF(E15&lt;&gt;0,E15^(8/3),0),'Stage-Q'!$I$2*IF(E16&lt;&gt;0,E16^(8/3),0))*360+('Preliminary calcs'!$B$34*R16*0.25*(IF(D15&lt;&gt;0,D15^1.5,0)+IF(E15&lt;&gt;0,E15^1.5,0)+IF(D16&lt;&gt;0,D16^1.5,0)+IF(E16&lt;&gt;0,E16^1.5,0))*'Preliminary calcs'!$B$20*360)+(1-'Preliminary calcs'!$B$39)*$F16*360</f>
        <v>6.467293907617485</v>
      </c>
      <c r="M16" s="1">
        <v>8</v>
      </c>
      <c r="N16">
        <f>0.5*(1/(2*'Preliminary calcs'!$B$14)*(D16^2-D15^2)*'Preliminary calcs'!$B$20+1/(2*'Preliminary calcs'!$B$14)*(C16^2-C15^2))*'Preliminary calcs'!$B$20</f>
        <v>11.26248953576463</v>
      </c>
      <c r="O16">
        <f>0.5*(1/(2*'Preliminary calcs'!$B$14)*(E16^2-E15^2)*'Preliminary calcs'!$B$20+1/(2*'Preliminary calcs'!$B$14)*(D16^2-D15^2))*'Preliminary calcs'!$B$20</f>
        <v>10.897621348697127</v>
      </c>
      <c r="P16" s="1">
        <v>8</v>
      </c>
      <c r="Q16">
        <f>'Preliminary calcs'!$B$48*'Preliminary calcs'!$B$16^'Preliminary calcs'!$B$46*AVERAGE(P49:Q50)^'Preliminary calcs'!$B$47</f>
        <v>0.05379352531076294</v>
      </c>
      <c r="R16">
        <f>'Preliminary calcs'!$B$48*'Preliminary calcs'!$B$16^'Preliminary calcs'!$B$46*AVERAGE(Q49:R50)^'Preliminary calcs'!$B$47</f>
        <v>0.07846462144564935</v>
      </c>
      <c r="S16" s="1">
        <v>8</v>
      </c>
      <c r="T16">
        <v>0</v>
      </c>
      <c r="U16">
        <f>Q16*IF(D16&lt;&gt;0,D16^1.5,0)*'Preliminary calcs'!$B$34*'Preliminary calcs'!$B$20</f>
        <v>0.0015100141104004432</v>
      </c>
      <c r="V16">
        <f>R16*IF(E16&lt;&gt;0,E16^1.5,0)*'Preliminary calcs'!$B$34*'Preliminary calcs'!$B$20</f>
        <v>0.002154461632655891</v>
      </c>
      <c r="W16" s="1">
        <v>8</v>
      </c>
      <c r="X16">
        <f>'Stage-Q'!$I$2*IF(C16&lt;&gt;0,C16^(8/3),0)</f>
        <v>0</v>
      </c>
      <c r="Y16">
        <f>'Stage-Q'!$I$2*IF(D16&lt;&gt;0,D16^(8/3),0)</f>
        <v>0.0003274206570281477</v>
      </c>
      <c r="Z16">
        <f>'Stage-Q'!$I$2*IF(E16&lt;&gt;0,E16^(8/3),0)</f>
        <v>0.0003148212847653994</v>
      </c>
      <c r="AA16" s="1">
        <v>8</v>
      </c>
      <c r="AB16">
        <f>X16*'Preliminary calcs'!$B$39</f>
        <v>0</v>
      </c>
      <c r="AC16">
        <f t="shared" si="0"/>
        <v>0.0003274206570281477</v>
      </c>
      <c r="AD16">
        <f t="shared" si="1"/>
        <v>0.0003148212847653994</v>
      </c>
    </row>
    <row r="17" spans="1:30" ht="12.75">
      <c r="A17">
        <v>0.9</v>
      </c>
      <c r="B17" s="1">
        <v>9</v>
      </c>
      <c r="C17">
        <v>0</v>
      </c>
      <c r="D17">
        <v>0.019278697200777354</v>
      </c>
      <c r="E17">
        <v>0.018949515623178776</v>
      </c>
      <c r="F17">
        <f>'Preliminary calcs'!K12</f>
        <v>0.05399510224010758</v>
      </c>
      <c r="G17" s="1">
        <v>9</v>
      </c>
      <c r="H17">
        <f>IF(D17&lt;&gt;0,AVERAGE('Stage-Q'!$I$2*C16^(8/3),'Stage-Q'!$I$2*C17^(8/3))*360+AVERAGE($F16,$F17)*360,0)</f>
        <v>18.794299404499107</v>
      </c>
      <c r="I17">
        <f>IF(E17&lt;&gt;0,AVERAGE('Stage-Q'!$I$2*D16^(8/3),'Stage-Q'!$I$2*D17^(8/3))*360+AVERAGE($F16,$F17)*360,0)</f>
        <v>18.941721826937</v>
      </c>
      <c r="J17" s="1">
        <v>9</v>
      </c>
      <c r="K17">
        <f>AVERAGE('Stage-Q'!$I$2*IF(D16&lt;&gt;0,D16^(8/3),0),'Stage-Q'!$I$2*IF(D17&lt;&gt;0,D17^(8/3),0))*360+('Preliminary calcs'!$B$34*Q17*0.25*(IF(C16&lt;&gt;0,C16^1.5,0)+IF(D16&lt;&gt;0,D16^1.5,0)+IF(C17&lt;&gt;0,C17^1.5,0)+IF(D17&lt;&gt;0,D17^1.5,0))*'Preliminary calcs'!$B$20*360)+(1-'Preliminary calcs'!$B$39)*$F17*360</f>
        <v>6.593579793811503</v>
      </c>
      <c r="L17">
        <f>AVERAGE('Stage-Q'!$I$2*IF(E16&lt;&gt;0,E16^(8/3),0),'Stage-Q'!$I$2*IF(E17&lt;&gt;0,E17^(8/3),0))*360+('Preliminary calcs'!$B$34*R17*0.25*(IF(D16&lt;&gt;0,D16^1.5,0)+IF(E16&lt;&gt;0,E16^1.5,0)+IF(D17&lt;&gt;0,D17^1.5,0)+IF(E17&lt;&gt;0,E17^1.5,0))*'Preliminary calcs'!$B$20*360)+(1-'Preliminary calcs'!$B$39)*$F17*360</f>
        <v>7.24230413327305</v>
      </c>
      <c r="M17" s="1">
        <v>9</v>
      </c>
      <c r="N17">
        <f>0.5*(1/(2*'Preliminary calcs'!$B$14)*(D17^2-D16^2)*'Preliminary calcs'!$B$20+1/(2*'Preliminary calcs'!$B$14)*(C17^2-C16^2))*'Preliminary calcs'!$B$20</f>
        <v>12.206137180149318</v>
      </c>
      <c r="O17">
        <f>0.5*(1/(2*'Preliminary calcs'!$B$14)*(E17^2-E16^2)*'Preliminary calcs'!$B$20+1/(2*'Preliminary calcs'!$B$14)*(D17^2-D16^2))*'Preliminary calcs'!$B$20</f>
        <v>11.68753931406167</v>
      </c>
      <c r="P17" s="1">
        <v>9</v>
      </c>
      <c r="Q17">
        <f>'Preliminary calcs'!$B$48*'Preliminary calcs'!$B$16^'Preliminary calcs'!$B$46*AVERAGE(P50:Q51)^'Preliminary calcs'!$B$47</f>
        <v>0.061102855991537336</v>
      </c>
      <c r="R17">
        <f>'Preliminary calcs'!$B$48*'Preliminary calcs'!$B$16^'Preliminary calcs'!$B$46*AVERAGE(Q50:R51)^'Preliminary calcs'!$B$47</f>
        <v>0.08905164987153612</v>
      </c>
      <c r="S17" s="1">
        <v>9</v>
      </c>
      <c r="T17">
        <v>0</v>
      </c>
      <c r="U17">
        <f>Q17*IF(D17&lt;&gt;0,D17^1.5,0)*'Preliminary calcs'!$B$34*'Preliminary calcs'!$B$20</f>
        <v>0.002155725422929956</v>
      </c>
      <c r="V17">
        <f>R17*IF(E17&lt;&gt;0,E17^1.5,0)*'Preliminary calcs'!$B$34*'Preliminary calcs'!$B$20</f>
        <v>0.0030616430100845293</v>
      </c>
      <c r="W17" s="1">
        <v>9</v>
      </c>
      <c r="X17">
        <f>'Stage-Q'!$I$2*IF(C17&lt;&gt;0,C17^(8/3),0)</f>
        <v>0</v>
      </c>
      <c r="Y17">
        <f>'Stage-Q'!$I$2*IF(D17&lt;&gt;0,D17^(8/3),0)</f>
        <v>0.0004915928009601306</v>
      </c>
      <c r="Z17">
        <f>'Stage-Q'!$I$2*IF(E17&lt;&gt;0,E17^(8/3),0)</f>
        <v>0.0004695263793262855</v>
      </c>
      <c r="AA17" s="1">
        <v>9</v>
      </c>
      <c r="AB17">
        <f>X17*'Preliminary calcs'!$B$39</f>
        <v>0</v>
      </c>
      <c r="AC17">
        <f t="shared" si="0"/>
        <v>0.0004915928009601306</v>
      </c>
      <c r="AD17">
        <f t="shared" si="1"/>
        <v>0.0004695263793262855</v>
      </c>
    </row>
    <row r="18" spans="1:30" ht="12.75">
      <c r="A18">
        <v>1</v>
      </c>
      <c r="B18" s="1">
        <v>10</v>
      </c>
      <c r="C18">
        <v>0</v>
      </c>
      <c r="D18">
        <v>0.02178140727572118</v>
      </c>
      <c r="E18">
        <v>0.021351579769612505</v>
      </c>
      <c r="F18">
        <f>'Preliminary calcs'!K13</f>
        <v>0.05671869260190264</v>
      </c>
      <c r="G18" s="1">
        <v>10</v>
      </c>
      <c r="H18">
        <f>IF(D18&lt;&gt;0,AVERAGE('Stage-Q'!$I$2*C17^(8/3),'Stage-Q'!$I$2*C18^(8/3))*360+AVERAGE($F17,$F18)*360,0)</f>
        <v>19.92848307156184</v>
      </c>
      <c r="I18">
        <f>IF(E18&lt;&gt;0,AVERAGE('Stage-Q'!$I$2*D17^(8/3),'Stage-Q'!$I$2*D18^(8/3))*360+AVERAGE($F17,$F18)*360,0)</f>
        <v>20.139497216383784</v>
      </c>
      <c r="J18" s="1">
        <v>10</v>
      </c>
      <c r="K18">
        <f>AVERAGE('Stage-Q'!$I$2*IF(D17&lt;&gt;0,D17^(8/3),0),'Stage-Q'!$I$2*IF(D18&lt;&gt;0,D18^(8/3),0))*360+('Preliminary calcs'!$B$34*Q18*0.25*(IF(C17&lt;&gt;0,C17^1.5,0)+IF(D17&lt;&gt;0,D17^1.5,0)+IF(C18&lt;&gt;0,C18^1.5,0)+IF(D18&lt;&gt;0,D18^1.5,0))*'Preliminary calcs'!$B$20*360)+(1-'Preliminary calcs'!$B$39)*$F18*360</f>
        <v>7.08827274563141</v>
      </c>
      <c r="L18">
        <f>AVERAGE('Stage-Q'!$I$2*IF(E17&lt;&gt;0,E17^(8/3),0),'Stage-Q'!$I$2*IF(E18&lt;&gt;0,E18^(8/3),0))*360+('Preliminary calcs'!$B$34*R18*0.25*(IF(D17&lt;&gt;0,D17^1.5,0)+IF(E17&lt;&gt;0,E17^1.5,0)+IF(D18&lt;&gt;0,D18^1.5,0)+IF(E18&lt;&gt;0,E18^1.5,0))*'Preliminary calcs'!$B$20*360)+(1-'Preliminary calcs'!$B$39)*$F18*360</f>
        <v>7.961264372507513</v>
      </c>
      <c r="M18" s="1">
        <v>10</v>
      </c>
      <c r="N18">
        <f>0.5*(1/(2*'Preliminary calcs'!$B$14)*(D18^2-D17^2)*'Preliminary calcs'!$B$20+1/(2*'Preliminary calcs'!$B$14)*(C18^2-C17^2))*'Preliminary calcs'!$B$20</f>
        <v>12.845192143947385</v>
      </c>
      <c r="O18">
        <f>0.5*(1/(2*'Preliminary calcs'!$B$14)*(E18^2-E17^2)*'Preliminary calcs'!$B$20+1/(2*'Preliminary calcs'!$B$14)*(D18^2-D17^2))*'Preliminary calcs'!$B$20</f>
        <v>12.16495299884842</v>
      </c>
      <c r="P18" s="1">
        <v>10</v>
      </c>
      <c r="Q18">
        <f>'Preliminary calcs'!$B$48*'Preliminary calcs'!$B$16^'Preliminary calcs'!$B$46*AVERAGE(P51:Q52)^'Preliminary calcs'!$B$47</f>
        <v>0.06752664237557146</v>
      </c>
      <c r="R18">
        <f>'Preliminary calcs'!$B$48*'Preliminary calcs'!$B$16^'Preliminary calcs'!$B$46*AVERAGE(Q51:R52)^'Preliminary calcs'!$B$47</f>
        <v>0.09832103411114661</v>
      </c>
      <c r="S18" s="1">
        <v>10</v>
      </c>
      <c r="T18">
        <v>0</v>
      </c>
      <c r="U18">
        <f>Q18*IF(D18&lt;&gt;0,D18^1.5,0)*'Preliminary calcs'!$B$34*'Preliminary calcs'!$B$20</f>
        <v>0.0028610106181617577</v>
      </c>
      <c r="V18">
        <f>R18*IF(E18&lt;&gt;0,E18^1.5,0)*'Preliminary calcs'!$B$34*'Preliminary calcs'!$B$20</f>
        <v>0.0040430291064735705</v>
      </c>
      <c r="W18" s="1">
        <v>10</v>
      </c>
      <c r="X18">
        <f>'Stage-Q'!$I$2*IF(C18&lt;&gt;0,C18^(8/3),0)</f>
        <v>0</v>
      </c>
      <c r="Y18">
        <f>'Stage-Q'!$I$2*IF(D18&lt;&gt;0,D18^(8/3),0)</f>
        <v>0.0006807080036062395</v>
      </c>
      <c r="Z18">
        <f>'Stage-Q'!$I$2*IF(E18&lt;&gt;0,E18^(8/3),0)</f>
        <v>0.000645473470845623</v>
      </c>
      <c r="AA18" s="1">
        <v>10</v>
      </c>
      <c r="AB18">
        <f>X18*'Preliminary calcs'!$B$39</f>
        <v>0</v>
      </c>
      <c r="AC18">
        <f t="shared" si="0"/>
        <v>0.0006807080036062395</v>
      </c>
      <c r="AD18">
        <f t="shared" si="1"/>
        <v>0.000645473470845623</v>
      </c>
    </row>
    <row r="19" spans="1:30" ht="12.75">
      <c r="A19">
        <v>1.1</v>
      </c>
      <c r="B19" s="1">
        <v>11</v>
      </c>
      <c r="C19">
        <v>0</v>
      </c>
      <c r="D19">
        <v>0.029545126674192276</v>
      </c>
      <c r="E19">
        <v>0.029048502677094176</v>
      </c>
      <c r="F19">
        <f>'Preliminary calcs'!K14</f>
        <v>0.6080514080804792</v>
      </c>
      <c r="G19" s="1">
        <v>11</v>
      </c>
      <c r="H19">
        <f>IF(D19&lt;&gt;0,AVERAGE('Stage-Q'!$I$2*C18^(8/3),'Stage-Q'!$I$2*C19^(8/3))*360+AVERAGE($F18,$F19)*360,0)</f>
        <v>119.65861812282873</v>
      </c>
      <c r="I19">
        <f>IF(E19&lt;&gt;0,AVERAGE('Stage-Q'!$I$2*D18^(8/3),'Stage-Q'!$I$2*D19^(8/3))*360+AVERAGE($F18,$F19)*360,0)</f>
        <v>120.05739399266822</v>
      </c>
      <c r="J19" s="1">
        <v>11</v>
      </c>
      <c r="K19">
        <f>AVERAGE('Stage-Q'!$I$2*IF(D18&lt;&gt;0,D18^(8/3),0),'Stage-Q'!$I$2*IF(D19&lt;&gt;0,D19^(8/3),0))*360+('Preliminary calcs'!$B$34*Q19*0.25*(IF(C18&lt;&gt;0,C18^1.5,0)+IF(D18&lt;&gt;0,D18^1.5,0)+IF(C19&lt;&gt;0,C19^1.5,0)+IF(D19&lt;&gt;0,D19^1.5,0))*'Preliminary calcs'!$B$20*360)+(1-'Preliminary calcs'!$B$39)*$F19*360</f>
        <v>69.8519101872647</v>
      </c>
      <c r="L19">
        <f>AVERAGE('Stage-Q'!$I$2*IF(E18&lt;&gt;0,E18^(8/3),0),'Stage-Q'!$I$2*IF(E19&lt;&gt;0,E19^(8/3),0))*360+('Preliminary calcs'!$B$34*R19*0.25*(IF(D18&lt;&gt;0,D18^1.5,0)+IF(E18&lt;&gt;0,E18^1.5,0)+IF(D19&lt;&gt;0,D19^1.5,0)+IF(E19&lt;&gt;0,E19^1.5,0))*'Preliminary calcs'!$B$20*360)+(1-'Preliminary calcs'!$B$39)*$F19*360</f>
        <v>71.30353999262947</v>
      </c>
      <c r="M19" s="1">
        <v>11</v>
      </c>
      <c r="N19">
        <f>0.5*(1/(2*'Preliminary calcs'!$B$14)*(D19^2-D18^2)*'Preliminary calcs'!$B$20+1/(2*'Preliminary calcs'!$B$14)*(C19^2-C18^2))*'Preliminary calcs'!$B$20</f>
        <v>49.810600910403544</v>
      </c>
      <c r="O19">
        <f>0.5*(1/(2*'Preliminary calcs'!$B$14)*(E19^2-E18^2)*'Preliminary calcs'!$B$20+1/(2*'Preliminary calcs'!$B$14)*(D19^2-D18^2))*'Preliminary calcs'!$B$20</f>
        <v>48.73974664492972</v>
      </c>
      <c r="P19" s="1">
        <v>11</v>
      </c>
      <c r="Q19">
        <f>'Preliminary calcs'!$B$48*'Preliminary calcs'!$B$16^'Preliminary calcs'!$B$46*AVERAGE(P52:Q53)^'Preliminary calcs'!$B$47</f>
        <v>0.07976585894050914</v>
      </c>
      <c r="R19">
        <f>'Preliminary calcs'!$B$48*'Preliminary calcs'!$B$16^'Preliminary calcs'!$B$46*AVERAGE(Q52:R53)^'Preliminary calcs'!$B$47</f>
        <v>0.11616470497289051</v>
      </c>
      <c r="S19" s="1">
        <v>11</v>
      </c>
      <c r="T19">
        <v>0</v>
      </c>
      <c r="U19">
        <f>Q19*IF(D19&lt;&gt;0,D19^1.5,0)*'Preliminary calcs'!$B$34*'Preliminary calcs'!$B$20</f>
        <v>0.00533901622844643</v>
      </c>
      <c r="V19">
        <f>R19*IF(E19&lt;&gt;0,E19^1.5,0)*'Preliminary calcs'!$B$34*'Preliminary calcs'!$B$20</f>
        <v>0.007580105165383001</v>
      </c>
      <c r="W19" s="1">
        <v>11</v>
      </c>
      <c r="X19">
        <f>'Stage-Q'!$I$2*IF(C19&lt;&gt;0,C19^(8/3),0)</f>
        <v>0</v>
      </c>
      <c r="Y19">
        <f>'Stage-Q'!$I$2*IF(D19&lt;&gt;0,D19^(8/3),0)</f>
        <v>0.0015347134955020726</v>
      </c>
      <c r="Z19">
        <f>'Stage-Q'!$I$2*IF(E19&lt;&gt;0,E19^(8/3),0)</f>
        <v>0.0014668815022465182</v>
      </c>
      <c r="AA19" s="1">
        <v>11</v>
      </c>
      <c r="AB19">
        <f>X19*'Preliminary calcs'!$B$39</f>
        <v>0</v>
      </c>
      <c r="AC19">
        <f t="shared" si="0"/>
        <v>0.0015347134955020726</v>
      </c>
      <c r="AD19">
        <f t="shared" si="1"/>
        <v>0.0014668815022465182</v>
      </c>
    </row>
    <row r="20" spans="1:30" ht="12.75">
      <c r="A20">
        <v>1.2</v>
      </c>
      <c r="B20" s="1">
        <v>12</v>
      </c>
      <c r="C20">
        <v>0</v>
      </c>
      <c r="D20">
        <v>0.04554117316546946</v>
      </c>
      <c r="E20">
        <v>0.04494768095326555</v>
      </c>
      <c r="F20">
        <f>'Preliminary calcs'!K15</f>
        <v>0.6514670908469914</v>
      </c>
      <c r="G20" s="1">
        <v>12</v>
      </c>
      <c r="H20">
        <f>IF(D20&lt;&gt;0,AVERAGE('Stage-Q'!$I$2*C19^(8/3),'Stage-Q'!$I$2*C20^(8/3))*360+AVERAGE($F19,$F20)*360,0)</f>
        <v>226.7133298069447</v>
      </c>
      <c r="I20">
        <f>IF(E20&lt;&gt;0,AVERAGE('Stage-Q'!$I$2*D19^(8/3),'Stage-Q'!$I$2*D20^(8/3))*360+AVERAGE($F19,$F20)*360,0)</f>
        <v>227.8653994046447</v>
      </c>
      <c r="J20" s="1">
        <v>12</v>
      </c>
      <c r="K20">
        <f>AVERAGE('Stage-Q'!$I$2*IF(D19&lt;&gt;0,D19^(8/3),0),'Stage-Q'!$I$2*IF(D20&lt;&gt;0,D20^(8/3),0))*360+('Preliminary calcs'!$B$34*Q20*0.25*(IF(C19&lt;&gt;0,C19^1.5,0)+IF(D19&lt;&gt;0,D19^1.5,0)+IF(C20&lt;&gt;0,C20^1.5,0)+IF(D20&lt;&gt;0,D20^1.5,0))*'Preliminary calcs'!$B$20*360)+(1-'Preliminary calcs'!$B$39)*$F20*360</f>
        <v>76.58104432868586</v>
      </c>
      <c r="L20">
        <f>AVERAGE('Stage-Q'!$I$2*IF(E19&lt;&gt;0,E19^(8/3),0),'Stage-Q'!$I$2*IF(E20&lt;&gt;0,E20^(8/3),0))*360+('Preliminary calcs'!$B$34*R20*0.25*(IF(D19&lt;&gt;0,D19^1.5,0)+IF(E19&lt;&gt;0,E19^1.5,0)+IF(D20&lt;&gt;0,D20^1.5,0)+IF(E20&lt;&gt;0,E20^1.5,0))*'Preliminary calcs'!$B$20*360)+(1-'Preliminary calcs'!$B$39)*$F20*360</f>
        <v>80.04062906124645</v>
      </c>
      <c r="M20" s="1">
        <v>12</v>
      </c>
      <c r="N20">
        <f>0.5*(1/(2*'Preliminary calcs'!$B$14)*(D20^2-D19^2)*'Preliminary calcs'!$B$20+1/(2*'Preliminary calcs'!$B$14)*(C20^2-C19^2))*'Preliminary calcs'!$B$20</f>
        <v>150.13549288665098</v>
      </c>
      <c r="O20">
        <f>0.5*(1/(2*'Preliminary calcs'!$B$14)*(E20^2-E19^2)*'Preliminary calcs'!$B$20+1/(2*'Preliminary calcs'!$B$14)*(D20^2-D19^2))*'Preliminary calcs'!$B$20</f>
        <v>147.81049187635858</v>
      </c>
      <c r="P20" s="1">
        <v>12</v>
      </c>
      <c r="Q20">
        <f>'Preliminary calcs'!$B$48*'Preliminary calcs'!$B$16^'Preliminary calcs'!$B$46*AVERAGE(P53:Q54)^'Preliminary calcs'!$B$47</f>
        <v>0.10582622002091811</v>
      </c>
      <c r="R20">
        <f>'Preliminary calcs'!$B$48*'Preliminary calcs'!$B$16^'Preliminary calcs'!$B$46*AVERAGE(Q53:R54)^'Preliminary calcs'!$B$47</f>
        <v>0.15432165007781137</v>
      </c>
      <c r="S20" s="1">
        <v>12</v>
      </c>
      <c r="T20">
        <v>0</v>
      </c>
      <c r="U20">
        <f>Q20*IF(D20&lt;&gt;0,D20^1.5,0)*'Preliminary calcs'!$B$34*'Preliminary calcs'!$B$20</f>
        <v>0.013555483582235362</v>
      </c>
      <c r="V20">
        <f>R20*IF(E20&lt;&gt;0,E20^1.5,0)*'Preliminary calcs'!$B$34*'Preliminary calcs'!$B$20</f>
        <v>0.019382205900690227</v>
      </c>
      <c r="W20" s="1">
        <v>12</v>
      </c>
      <c r="X20">
        <f>'Stage-Q'!$I$2*IF(C20&lt;&gt;0,C20^(8/3),0)</f>
        <v>0</v>
      </c>
      <c r="Y20">
        <f>'Stage-Q'!$I$2*IF(D20&lt;&gt;0,D20^(8/3),0)</f>
        <v>0.0048656731583868375</v>
      </c>
      <c r="Z20">
        <f>'Stage-Q'!$I$2*IF(E20&lt;&gt;0,E20^(8/3),0)</f>
        <v>0.004698412398074836</v>
      </c>
      <c r="AA20" s="1">
        <v>12</v>
      </c>
      <c r="AB20">
        <f>X20*'Preliminary calcs'!$B$39</f>
        <v>0</v>
      </c>
      <c r="AC20">
        <f t="shared" si="0"/>
        <v>0.0048656731583868375</v>
      </c>
      <c r="AD20">
        <f t="shared" si="1"/>
        <v>0.004698412398074836</v>
      </c>
    </row>
    <row r="21" spans="1:30" ht="12.75">
      <c r="A21">
        <v>1.3</v>
      </c>
      <c r="B21" s="1">
        <v>13</v>
      </c>
      <c r="C21">
        <v>0</v>
      </c>
      <c r="D21">
        <v>0.057609870933295906</v>
      </c>
      <c r="E21">
        <v>0.05677629957367127</v>
      </c>
      <c r="F21">
        <f>'Preliminary calcs'!K16</f>
        <v>0.6646942219372768</v>
      </c>
      <c r="G21" s="1">
        <v>13</v>
      </c>
      <c r="H21">
        <f>IF(D21&lt;&gt;0,AVERAGE('Stage-Q'!$I$2*C20^(8/3),'Stage-Q'!$I$2*C21^(8/3))*360+AVERAGE($F20,$F21)*360,0)</f>
        <v>236.90903630116827</v>
      </c>
      <c r="I21">
        <f>IF(E21&lt;&gt;0,AVERAGE('Stage-Q'!$I$2*D20^(8/3),'Stage-Q'!$I$2*D21^(8/3))*360+AVERAGE($F20,$F21)*360,0)</f>
        <v>239.42417320014283</v>
      </c>
      <c r="J21" s="1">
        <v>13</v>
      </c>
      <c r="K21">
        <f>AVERAGE('Stage-Q'!$I$2*IF(D20&lt;&gt;0,D20^(8/3),0),'Stage-Q'!$I$2*IF(D21&lt;&gt;0,D21^(8/3),0))*360+('Preliminary calcs'!$B$34*Q21*0.25*(IF(C20&lt;&gt;0,C20^1.5,0)+IF(D20&lt;&gt;0,D20^1.5,0)+IF(C21&lt;&gt;0,C21^1.5,0)+IF(D21&lt;&gt;0,D21^1.5,0))*'Preliminary calcs'!$B$20*360)+(1-'Preliminary calcs'!$B$39)*$F21*360</f>
        <v>81.29977118292278</v>
      </c>
      <c r="L21">
        <f>AVERAGE('Stage-Q'!$I$2*IF(E20&lt;&gt;0,E20^(8/3),0),'Stage-Q'!$I$2*IF(E21&lt;&gt;0,E21^(8/3),0))*360+('Preliminary calcs'!$B$34*R21*0.25*(IF(D20&lt;&gt;0,D20^1.5,0)+IF(E20&lt;&gt;0,E20^1.5,0)+IF(D21&lt;&gt;0,D21^1.5,0)+IF(E21&lt;&gt;0,E21^1.5,0))*'Preliminary calcs'!$B$20*360)+(1-'Preliminary calcs'!$B$39)*$F21*360</f>
        <v>88.22501164132402</v>
      </c>
      <c r="M21" s="1">
        <v>13</v>
      </c>
      <c r="N21">
        <f>0.5*(1/(2*'Preliminary calcs'!$B$14)*(D21^2-D20^2)*'Preliminary calcs'!$B$20+1/(2*'Preliminary calcs'!$B$14)*(C21^2-C20^2))*'Preliminary calcs'!$B$20</f>
        <v>155.61234695796708</v>
      </c>
      <c r="O21">
        <f>0.5*(1/(2*'Preliminary calcs'!$B$14)*(E21^2-E20^2)*'Preliminary calcs'!$B$20+1/(2*'Preliminary calcs'!$B$14)*(D21^2-D20^2))*'Preliminary calcs'!$B$20</f>
        <v>151.1848330101291</v>
      </c>
      <c r="P21" s="1">
        <v>13</v>
      </c>
      <c r="Q21">
        <f>'Preliminary calcs'!$B$48*'Preliminary calcs'!$B$16^'Preliminary calcs'!$B$46*AVERAGE(P54:Q55)^'Preliminary calcs'!$B$47</f>
        <v>0.13316568499125528</v>
      </c>
      <c r="R21">
        <f>'Preliminary calcs'!$B$48*'Preliminary calcs'!$B$16^'Preliminary calcs'!$B$46*AVERAGE(Q54:R55)^'Preliminary calcs'!$B$47</f>
        <v>0.19422744500743405</v>
      </c>
      <c r="S21" s="1">
        <v>13</v>
      </c>
      <c r="T21">
        <v>0</v>
      </c>
      <c r="U21">
        <f>Q21*IF(D21&lt;&gt;0,D21^1.5,0)*'Preliminary calcs'!$B$34*'Preliminary calcs'!$B$20</f>
        <v>0.024269067580951955</v>
      </c>
      <c r="V21">
        <f>R21*IF(E21&lt;&gt;0,E21^1.5,0)*'Preliminary calcs'!$B$34*'Preliminary calcs'!$B$20</f>
        <v>0.034631925062791745</v>
      </c>
      <c r="W21" s="1">
        <v>13</v>
      </c>
      <c r="X21">
        <f>'Stage-Q'!$I$2*IF(C21&lt;&gt;0,C21^(8/3),0)</f>
        <v>0</v>
      </c>
      <c r="Y21">
        <f>'Stage-Q'!$I$2*IF(D21&lt;&gt;0,D21^(8/3),0)</f>
        <v>0.009107309613693979</v>
      </c>
      <c r="Z21">
        <f>'Stage-Q'!$I$2*IF(E21&lt;&gt;0,E21^(8/3),0)</f>
        <v>0.008760130685684568</v>
      </c>
      <c r="AA21" s="1">
        <v>13</v>
      </c>
      <c r="AB21">
        <f>X21*'Preliminary calcs'!$B$39</f>
        <v>0</v>
      </c>
      <c r="AC21">
        <f t="shared" si="0"/>
        <v>0.009107309613693979</v>
      </c>
      <c r="AD21">
        <f t="shared" si="1"/>
        <v>0.008760130685684568</v>
      </c>
    </row>
    <row r="22" spans="1:30" ht="12.75">
      <c r="A22">
        <v>1.4</v>
      </c>
      <c r="B22" s="1">
        <v>14</v>
      </c>
      <c r="C22">
        <v>0</v>
      </c>
      <c r="D22">
        <v>0.06750580679276988</v>
      </c>
      <c r="E22">
        <v>0.06636291913974775</v>
      </c>
      <c r="F22">
        <f>'Preliminary calcs'!K17</f>
        <v>0.6704546574093645</v>
      </c>
      <c r="G22" s="1">
        <v>14</v>
      </c>
      <c r="H22">
        <f>IF(D22&lt;&gt;0,AVERAGE('Stage-Q'!$I$2*C21^(8/3),'Stage-Q'!$I$2*C22^(8/3))*360+AVERAGE($F21,$F22)*360,0)</f>
        <v>240.32679828239543</v>
      </c>
      <c r="I22">
        <f>IF(E22&lt;&gt;0,AVERAGE('Stage-Q'!$I$2*D21^(8/3),'Stage-Q'!$I$2*D22^(8/3))*360+AVERAGE($F21,$F22)*360,0)</f>
        <v>244.467883084244</v>
      </c>
      <c r="J22" s="1">
        <v>14</v>
      </c>
      <c r="K22">
        <f>AVERAGE('Stage-Q'!$I$2*IF(D21&lt;&gt;0,D21^(8/3),0),'Stage-Q'!$I$2*IF(D22&lt;&gt;0,D22^(8/3),0))*360+('Preliminary calcs'!$B$34*Q22*0.25*(IF(C21&lt;&gt;0,C21^1.5,0)+IF(D21&lt;&gt;0,D21^1.5,0)+IF(C22&lt;&gt;0,C22^1.5,0)+IF(D22&lt;&gt;0,D22^1.5,0))*'Preliminary calcs'!$B$20*360)+(1-'Preliminary calcs'!$B$39)*$F22*360</f>
        <v>85.56269960025502</v>
      </c>
      <c r="L22">
        <f>AVERAGE('Stage-Q'!$I$2*IF(E21&lt;&gt;0,E21^(8/3),0),'Stage-Q'!$I$2*IF(E22&lt;&gt;0,E22^(8/3),0))*360+('Preliminary calcs'!$B$34*R22*0.25*(IF(D21&lt;&gt;0,D21^1.5,0)+IF(E21&lt;&gt;0,E21^1.5,0)+IF(D22&lt;&gt;0,D22^1.5,0)+IF(E22&lt;&gt;0,E22^1.5,0))*'Preliminary calcs'!$B$20*360)+(1-'Preliminary calcs'!$B$39)*$F22*360</f>
        <v>96.11840774121836</v>
      </c>
      <c r="M22" s="1">
        <v>14</v>
      </c>
      <c r="N22">
        <f>0.5*(1/(2*'Preliminary calcs'!$B$14)*(D22^2-D21^2)*'Preliminary calcs'!$B$20+1/(2*'Preliminary calcs'!$B$14)*(C22^2-C21^2))*'Preliminary calcs'!$B$20</f>
        <v>154.76709022397037</v>
      </c>
      <c r="O22">
        <f>0.5*(1/(2*'Preliminary calcs'!$B$14)*(E22^2-E21^2)*'Preliminary calcs'!$B$20+1/(2*'Preliminary calcs'!$B$14)*(D22^2-D21^2))*'Preliminary calcs'!$B$20</f>
        <v>148.33494088479904</v>
      </c>
      <c r="P22" s="1">
        <v>14</v>
      </c>
      <c r="Q22">
        <f>'Preliminary calcs'!$B$48*'Preliminary calcs'!$B$16^'Preliminary calcs'!$B$46*AVERAGE(P55:Q56)^'Preliminary calcs'!$B$47</f>
        <v>0.15335227350517688</v>
      </c>
      <c r="R22">
        <f>'Preliminary calcs'!$B$48*'Preliminary calcs'!$B$16^'Preliminary calcs'!$B$46*AVERAGE(Q55:R56)^'Preliminary calcs'!$B$47</f>
        <v>0.22350778661902207</v>
      </c>
      <c r="S22" s="1">
        <v>14</v>
      </c>
      <c r="T22">
        <v>0</v>
      </c>
      <c r="U22">
        <f>Q22*IF(D22&lt;&gt;0,D22^1.5,0)*'Preliminary calcs'!$B$34*'Preliminary calcs'!$B$20</f>
        <v>0.03545008879443908</v>
      </c>
      <c r="V22">
        <f>R22*IF(E22&lt;&gt;0,E22^1.5,0)*'Preliminary calcs'!$B$34*'Preliminary calcs'!$B$20</f>
        <v>0.050361225527227986</v>
      </c>
      <c r="W22" s="1">
        <v>14</v>
      </c>
      <c r="X22">
        <f>'Stage-Q'!$I$2*IF(C22&lt;&gt;0,C22^(8/3),0)</f>
        <v>0</v>
      </c>
      <c r="Y22">
        <f>'Stage-Q'!$I$2*IF(D22&lt;&gt;0,D22^(8/3),0)</f>
        <v>0.013898717063242553</v>
      </c>
      <c r="Z22">
        <f>'Stage-Q'!$I$2*IF(E22&lt;&gt;0,E22^(8/3),0)</f>
        <v>0.013280048016920289</v>
      </c>
      <c r="AA22" s="1">
        <v>14</v>
      </c>
      <c r="AB22">
        <f>X22*'Preliminary calcs'!$B$39</f>
        <v>0</v>
      </c>
      <c r="AC22">
        <f t="shared" si="0"/>
        <v>0.013898717063242553</v>
      </c>
      <c r="AD22">
        <f t="shared" si="1"/>
        <v>0.013280048016920289</v>
      </c>
    </row>
    <row r="23" spans="1:30" ht="12.75">
      <c r="A23">
        <v>1.5</v>
      </c>
      <c r="B23" s="1">
        <v>15</v>
      </c>
      <c r="C23">
        <v>0</v>
      </c>
      <c r="D23">
        <v>0.07394161248546813</v>
      </c>
      <c r="E23">
        <v>0.07242479416500407</v>
      </c>
      <c r="F23">
        <f>'Preliminary calcs'!K18</f>
        <v>0.09376282560792402</v>
      </c>
      <c r="G23" s="1">
        <v>15</v>
      </c>
      <c r="H23">
        <f>IF(D23&lt;&gt;0,AVERAGE('Stage-Q'!$I$2*C22^(8/3),'Stage-Q'!$I$2*C23^(8/3))*360+AVERAGE($F22,$F23)*360,0)</f>
        <v>137.55914694311193</v>
      </c>
      <c r="I23">
        <f>IF(E23&lt;&gt;0,AVERAGE('Stage-Q'!$I$2*D22^(8/3),'Stage-Q'!$I$2*D23^(8/3))*360+AVERAGE($F22,$F23)*360,0)</f>
        <v>143.25030859490428</v>
      </c>
      <c r="J23" s="1">
        <v>15</v>
      </c>
      <c r="K23">
        <f>AVERAGE('Stage-Q'!$I$2*IF(D22&lt;&gt;0,D22^(8/3),0),'Stage-Q'!$I$2*IF(D23&lt;&gt;0,D23^(8/3),0))*360+('Preliminary calcs'!$B$34*Q23*0.25*(IF(C22&lt;&gt;0,C22^1.5,0)+IF(D22&lt;&gt;0,D22^1.5,0)+IF(C23&lt;&gt;0,C23^1.5,0)+IF(D23&lt;&gt;0,D23^1.5,0))*'Preliminary calcs'!$B$20*360)+(1-'Preliminary calcs'!$B$39)*$F23*360</f>
        <v>23.77114797696796</v>
      </c>
      <c r="L23">
        <f>AVERAGE('Stage-Q'!$I$2*IF(E22&lt;&gt;0,E22^(8/3),0),'Stage-Q'!$I$2*IF(E23&lt;&gt;0,E23^(8/3),0))*360+('Preliminary calcs'!$B$34*R23*0.25*(IF(D22&lt;&gt;0,D22^1.5,0)+IF(E22&lt;&gt;0,E22^1.5,0)+IF(D23&lt;&gt;0,D23^1.5,0)+IF(E23&lt;&gt;0,E23^1.5,0))*'Preliminary calcs'!$B$20*360)+(1-'Preliminary calcs'!$B$39)*$F23*360</f>
        <v>37.50251386364803</v>
      </c>
      <c r="M23" s="1">
        <v>15</v>
      </c>
      <c r="N23">
        <f>0.5*(1/(2*'Preliminary calcs'!$B$14)*(D23^2-D22^2)*'Preliminary calcs'!$B$20+1/(2*'Preliminary calcs'!$B$14)*(C23^2-C22^2))*'Preliminary calcs'!$B$20</f>
        <v>113.7910132760451</v>
      </c>
      <c r="O23">
        <f>0.5*(1/(2*'Preliminary calcs'!$B$14)*(E23^2-E22^2)*'Preliminary calcs'!$B$20+1/(2*'Preliminary calcs'!$B$14)*(D23^2-D22^2))*'Preliminary calcs'!$B$20</f>
        <v>105.73317670319386</v>
      </c>
      <c r="P23" s="1">
        <v>15</v>
      </c>
      <c r="Q23">
        <f>'Preliminary calcs'!$B$48*'Preliminary calcs'!$B$16^'Preliminary calcs'!$B$46*AVERAGE(P56:Q57)^'Preliminary calcs'!$B$47</f>
        <v>0.16775547697352108</v>
      </c>
      <c r="R23">
        <f>'Preliminary calcs'!$B$48*'Preliminary calcs'!$B$16^'Preliminary calcs'!$B$46*AVERAGE(Q56:R57)^'Preliminary calcs'!$B$47</f>
        <v>0.24422877833652373</v>
      </c>
      <c r="S23" s="1">
        <v>15</v>
      </c>
      <c r="T23">
        <v>0</v>
      </c>
      <c r="U23">
        <f>Q23*IF(D23&lt;&gt;0,D23^1.5,0)*'Preliminary calcs'!$B$34*'Preliminary calcs'!$B$20</f>
        <v>0.04445549949523078</v>
      </c>
      <c r="V23">
        <f>R23*IF(E23&lt;&gt;0,E23^1.5,0)*'Preliminary calcs'!$B$34*'Preliminary calcs'!$B$20</f>
        <v>0.06273980314663156</v>
      </c>
      <c r="W23" s="1">
        <v>15</v>
      </c>
      <c r="X23">
        <f>'Stage-Q'!$I$2*IF(C23&lt;&gt;0,C23^(8/3),0)</f>
        <v>0</v>
      </c>
      <c r="Y23">
        <f>'Stage-Q'!$I$2*IF(D23&lt;&gt;0,D23^(8/3),0)</f>
        <v>0.017718847668937256</v>
      </c>
      <c r="Z23">
        <f>'Stage-Q'!$I$2*IF(E23&lt;&gt;0,E23^(8/3),0)</f>
        <v>0.016766062498837057</v>
      </c>
      <c r="AA23" s="1">
        <v>15</v>
      </c>
      <c r="AB23">
        <f>X23*'Preliminary calcs'!$B$39</f>
        <v>0</v>
      </c>
      <c r="AC23">
        <f t="shared" si="0"/>
        <v>0.017718847668937256</v>
      </c>
      <c r="AD23">
        <f t="shared" si="1"/>
        <v>0.016766062498837057</v>
      </c>
    </row>
    <row r="24" spans="1:30" ht="12.75">
      <c r="A24">
        <v>1.6</v>
      </c>
      <c r="B24" s="1">
        <v>16</v>
      </c>
      <c r="C24">
        <v>0</v>
      </c>
      <c r="D24">
        <v>0.07443735351881697</v>
      </c>
      <c r="E24">
        <v>0.07245304265929559</v>
      </c>
      <c r="F24">
        <f>'Preliminary calcs'!K19</f>
        <v>0.10554561167145157</v>
      </c>
      <c r="G24" s="1">
        <v>16</v>
      </c>
      <c r="H24">
        <f>IF(D24&lt;&gt;0,AVERAGE('Stage-Q'!$I$2*C23^(8/3),'Stage-Q'!$I$2*C24^(8/3))*360+AVERAGE($F23,$F24)*360,0)</f>
        <v>35.87551871028761</v>
      </c>
      <c r="I24">
        <f>IF(E24&lt;&gt;0,AVERAGE('Stage-Q'!$I$2*D23^(8/3),'Stage-Q'!$I$2*D24^(8/3))*360+AVERAGE($F23,$F24)*360,0)</f>
        <v>42.31164496042958</v>
      </c>
      <c r="J24" s="1">
        <v>16</v>
      </c>
      <c r="K24">
        <f>AVERAGE('Stage-Q'!$I$2*IF(D23&lt;&gt;0,D23^(8/3),0),'Stage-Q'!$I$2*IF(D24&lt;&gt;0,D24^(8/3),0))*360+('Preliminary calcs'!$B$34*Q24*0.25*(IF(C23&lt;&gt;0,C23^1.5,0)+IF(D23&lt;&gt;0,D23^1.5,0)+IF(C24&lt;&gt;0,C24^1.5,0)+IF(D24&lt;&gt;0,D24^1.5,0))*'Preliminary calcs'!$B$20*360)+(1-'Preliminary calcs'!$B$39)*$F24*360</f>
        <v>26.683965788320073</v>
      </c>
      <c r="L24">
        <f>AVERAGE('Stage-Q'!$I$2*IF(E23&lt;&gt;0,E23^(8/3),0),'Stage-Q'!$I$2*IF(E24&lt;&gt;0,E24^(8/3),0))*360+('Preliminary calcs'!$B$34*R24*0.25*(IF(D23&lt;&gt;0,D23^1.5,0)+IF(E23&lt;&gt;0,E23^1.5,0)+IF(D24&lt;&gt;0,D24^1.5,0)+IF(E24&lt;&gt;0,E24^1.5,0))*'Preliminary calcs'!$B$20*360)+(1-'Preliminary calcs'!$B$39)*$F24*360</f>
        <v>41.7395849438459</v>
      </c>
      <c r="M24" s="1">
        <v>16</v>
      </c>
      <c r="N24">
        <f>0.5*(1/(2*'Preliminary calcs'!$B$14)*(D24^2-D23^2)*'Preliminary calcs'!$B$20+1/(2*'Preliminary calcs'!$B$14)*(C24^2-C23^2))*'Preliminary calcs'!$B$20</f>
        <v>9.194692741774663</v>
      </c>
      <c r="O24">
        <f>0.5*(1/(2*'Preliminary calcs'!$B$14)*(E24^2-E23^2)*'Preliminary calcs'!$B$20+1/(2*'Preliminary calcs'!$B$14)*(D24^2-D23^2))*'Preliminary calcs'!$B$20</f>
        <v>0.5575460570211789</v>
      </c>
      <c r="P24" s="1">
        <v>16</v>
      </c>
      <c r="Q24">
        <f>'Preliminary calcs'!$B$48*'Preliminary calcs'!$B$16^'Preliminary calcs'!$B$46*AVERAGE(P57:Q58)^'Preliminary calcs'!$B$47</f>
        <v>0.1737226200947727</v>
      </c>
      <c r="R24">
        <f>'Preliminary calcs'!$B$48*'Preliminary calcs'!$B$16^'Preliminary calcs'!$B$46*AVERAGE(Q57:R58)^'Preliminary calcs'!$B$47</f>
        <v>0.25246971626036147</v>
      </c>
      <c r="S24" s="1">
        <v>16</v>
      </c>
      <c r="T24">
        <v>0</v>
      </c>
      <c r="U24">
        <f>Q24*IF(D24&lt;&gt;0,D24^1.5,0)*'Preliminary calcs'!$B$34*'Preliminary calcs'!$B$20</f>
        <v>0.046500558317482996</v>
      </c>
      <c r="V24">
        <f>R24*IF(E24&lt;&gt;0,E24^1.5,0)*'Preliminary calcs'!$B$34*'Preliminary calcs'!$B$20</f>
        <v>0.064894762109982</v>
      </c>
      <c r="W24" s="1">
        <v>16</v>
      </c>
      <c r="X24">
        <f>'Stage-Q'!$I$2*IF(C24&lt;&gt;0,C24^(8/3),0)</f>
        <v>0</v>
      </c>
      <c r="Y24">
        <f>'Stage-Q'!$I$2*IF(D24&lt;&gt;0,D24^(8/3),0)</f>
        <v>0.01803740927629592</v>
      </c>
      <c r="Z24">
        <f>'Stage-Q'!$I$2*IF(E24&lt;&gt;0,E24^(8/3),0)</f>
        <v>0.0167835066160603</v>
      </c>
      <c r="AA24" s="1">
        <v>16</v>
      </c>
      <c r="AB24">
        <f>X24*'Preliminary calcs'!$B$39</f>
        <v>0</v>
      </c>
      <c r="AC24">
        <f t="shared" si="0"/>
        <v>0.01803740927629592</v>
      </c>
      <c r="AD24">
        <f t="shared" si="1"/>
        <v>0.0167835066160603</v>
      </c>
    </row>
    <row r="25" spans="1:30" ht="12.75">
      <c r="A25">
        <v>1.7</v>
      </c>
      <c r="B25" s="1">
        <v>17</v>
      </c>
      <c r="C25">
        <v>0</v>
      </c>
      <c r="D25">
        <v>0.07502910526790357</v>
      </c>
      <c r="E25">
        <v>0.07259128790447635</v>
      </c>
      <c r="F25">
        <f>'Preliminary calcs'!K20</f>
        <v>0.10560664513379492</v>
      </c>
      <c r="G25" s="1">
        <v>17</v>
      </c>
      <c r="H25">
        <f>IF(D25&lt;&gt;0,AVERAGE('Stage-Q'!$I$2*C24^(8/3),'Stage-Q'!$I$2*C25^(8/3))*360+AVERAGE($F24,$F25)*360,0)</f>
        <v>38.00740622494437</v>
      </c>
      <c r="I25">
        <f>IF(E25&lt;&gt;0,AVERAGE('Stage-Q'!$I$2*D24^(8/3),'Stage-Q'!$I$2*D25^(8/3))*360+AVERAGE($F24,$F25)*360,0)</f>
        <v>44.57015815568441</v>
      </c>
      <c r="J25" s="1">
        <v>17</v>
      </c>
      <c r="K25">
        <f>AVERAGE('Stage-Q'!$I$2*IF(D24&lt;&gt;0,D24^(8/3),0),'Stage-Q'!$I$2*IF(D25&lt;&gt;0,D25^(8/3),0))*360+('Preliminary calcs'!$B$34*Q25*0.25*(IF(C24&lt;&gt;0,C24^1.5,0)+IF(D24&lt;&gt;0,D24^1.5,0)+IF(C25&lt;&gt;0,C25^1.5,0)+IF(D25&lt;&gt;0,D25^1.5,0))*'Preliminary calcs'!$B$20*360)+(1-'Preliminary calcs'!$B$39)*$F25*360</f>
        <v>26.954598588717708</v>
      </c>
      <c r="L25">
        <f>AVERAGE('Stage-Q'!$I$2*IF(E24&lt;&gt;0,E24^(8/3),0),'Stage-Q'!$I$2*IF(E25&lt;&gt;0,E25^(8/3),0))*360+('Preliminary calcs'!$B$34*R25*0.25*(IF(D24&lt;&gt;0,D24^1.5,0)+IF(E24&lt;&gt;0,E24^1.5,0)+IF(D25&lt;&gt;0,D25^1.5,0)+IF(E25&lt;&gt;0,E25^1.5,0))*'Preliminary calcs'!$B$20*360)+(1-'Preliminary calcs'!$B$39)*$F25*360</f>
        <v>41.99400343482522</v>
      </c>
      <c r="M25" s="1">
        <v>17</v>
      </c>
      <c r="N25">
        <f>0.5*(1/(2*'Preliminary calcs'!$B$14)*(D25^2-D24^2)*'Preliminary calcs'!$B$20+1/(2*'Preliminary calcs'!$B$14)*(C25^2-C24^2))*'Preliminary calcs'!$B$20</f>
        <v>11.055879802102748</v>
      </c>
      <c r="O25">
        <f>0.5*(1/(2*'Preliminary calcs'!$B$14)*(E25^2-E24^2)*'Preliminary calcs'!$B$20+1/(2*'Preliminary calcs'!$B$14)*(D25^2-D24^2))*'Preliminary calcs'!$B$20</f>
        <v>2.5617405291189965</v>
      </c>
      <c r="P25" s="1">
        <v>17</v>
      </c>
      <c r="Q25">
        <f>'Preliminary calcs'!$B$48*'Preliminary calcs'!$B$16^'Preliminary calcs'!$B$46*AVERAGE(P58:Q59)^'Preliminary calcs'!$B$47</f>
        <v>0.17465874781330365</v>
      </c>
      <c r="R25">
        <f>'Preliminary calcs'!$B$48*'Preliminary calcs'!$B$16^'Preliminary calcs'!$B$46*AVERAGE(Q58:R59)^'Preliminary calcs'!$B$47</f>
        <v>0.2532663550282519</v>
      </c>
      <c r="S25" s="1">
        <v>17</v>
      </c>
      <c r="T25">
        <v>0</v>
      </c>
      <c r="U25">
        <f>Q25*IF(D25&lt;&gt;0,D25^1.5,0)*'Preliminary calcs'!$B$34*'Preliminary calcs'!$B$20</f>
        <v>0.047309722829471976</v>
      </c>
      <c r="V25">
        <f>R25*IF(E25&lt;&gt;0,E25^1.5,0)*'Preliminary calcs'!$B$34*'Preliminary calcs'!$B$20</f>
        <v>0.0652859401970612</v>
      </c>
      <c r="W25" s="1">
        <v>17</v>
      </c>
      <c r="X25">
        <f>'Stage-Q'!$I$2*IF(C25&lt;&gt;0,C25^(8/3),0)</f>
        <v>0</v>
      </c>
      <c r="Y25">
        <f>'Stage-Q'!$I$2*IF(D25&lt;&gt;0,D25^(8/3),0)</f>
        <v>0.018422323672259856</v>
      </c>
      <c r="Z25">
        <f>'Stage-Q'!$I$2*IF(E25&lt;&gt;0,E25^(8/3),0)</f>
        <v>0.016869039931677137</v>
      </c>
      <c r="AA25" s="1">
        <v>17</v>
      </c>
      <c r="AB25">
        <f>X25*'Preliminary calcs'!$B$39</f>
        <v>0</v>
      </c>
      <c r="AC25">
        <f t="shared" si="0"/>
        <v>0.018422323672259856</v>
      </c>
      <c r="AD25">
        <f t="shared" si="1"/>
        <v>0.016869039931677137</v>
      </c>
    </row>
    <row r="26" spans="1:30" ht="12.75">
      <c r="A26">
        <v>1.8</v>
      </c>
      <c r="B26" s="1">
        <v>18</v>
      </c>
      <c r="C26">
        <v>0</v>
      </c>
      <c r="D26">
        <v>0.07560190041498799</v>
      </c>
      <c r="E26">
        <v>0.0727215921072423</v>
      </c>
      <c r="F26">
        <f>'Preliminary calcs'!K21</f>
        <v>0.10566283063296128</v>
      </c>
      <c r="G26" s="1">
        <v>18</v>
      </c>
      <c r="H26">
        <f>IF(D26&lt;&gt;0,AVERAGE('Stage-Q'!$I$2*C25^(8/3),'Stage-Q'!$I$2*C26^(8/3))*360+AVERAGE($F25,$F26)*360,0)</f>
        <v>38.028505638016114</v>
      </c>
      <c r="I26">
        <f>IF(E26&lt;&gt;0,AVERAGE('Stage-Q'!$I$2*D25^(8/3),'Stage-Q'!$I$2*D26^(8/3))*360+AVERAGE($F25,$F26)*360,0)</f>
        <v>44.728480363540065</v>
      </c>
      <c r="J26" s="1">
        <v>18</v>
      </c>
      <c r="K26">
        <f>AVERAGE('Stage-Q'!$I$2*IF(D25&lt;&gt;0,D25^(8/3),0),'Stage-Q'!$I$2*IF(D26&lt;&gt;0,D26^(8/3),0))*360+('Preliminary calcs'!$B$34*Q26*0.25*(IF(C25&lt;&gt;0,C25^1.5,0)+IF(D25&lt;&gt;0,D25^1.5,0)+IF(C26&lt;&gt;0,C26^1.5,0)+IF(D26&lt;&gt;0,D26^1.5,0))*'Preliminary calcs'!$B$20*360)+(1-'Preliminary calcs'!$B$39)*$F26*360</f>
        <v>27.24634410525956</v>
      </c>
      <c r="L26">
        <f>AVERAGE('Stage-Q'!$I$2*IF(E25&lt;&gt;0,E25^(8/3),0),'Stage-Q'!$I$2*IF(E26&lt;&gt;0,E26^(8/3),0))*360+('Preliminary calcs'!$B$34*R26*0.25*(IF(D25&lt;&gt;0,D25^1.5,0)+IF(E25&lt;&gt;0,E25^1.5,0)+IF(D26&lt;&gt;0,D26^1.5,0)+IF(E26&lt;&gt;0,E26^1.5,0))*'Preliminary calcs'!$B$20*360)+(1-'Preliminary calcs'!$B$39)*$F26*360</f>
        <v>42.29348169334459</v>
      </c>
      <c r="M26" s="1">
        <v>18</v>
      </c>
      <c r="N26">
        <f>0.5*(1/(2*'Preliminary calcs'!$B$14)*(D26^2-D25^2)*'Preliminary calcs'!$B$20+1/(2*'Preliminary calcs'!$B$14)*(C26^2-C25^2))*'Preliminary calcs'!$B$20</f>
        <v>10.785088631950655</v>
      </c>
      <c r="O26">
        <f>0.5*(1/(2*'Preliminary calcs'!$B$14)*(E26^2-E25^2)*'Preliminary calcs'!$B$20+1/(2*'Preliminary calcs'!$B$14)*(D26^2-D25^2))*'Preliminary calcs'!$B$20</f>
        <v>2.4207853158536996</v>
      </c>
      <c r="P26" s="1">
        <v>18</v>
      </c>
      <c r="Q26">
        <f>'Preliminary calcs'!$B$48*'Preliminary calcs'!$B$16^'Preliminary calcs'!$B$46*AVERAGE(P59:Q60)^'Preliminary calcs'!$B$47</f>
        <v>0.17565908336595729</v>
      </c>
      <c r="R26">
        <f>'Preliminary calcs'!$B$48*'Preliminary calcs'!$B$16^'Preliminary calcs'!$B$46*AVERAGE(Q59:R60)^'Preliminary calcs'!$B$47</f>
        <v>0.2541756737418888</v>
      </c>
      <c r="S26" s="1">
        <v>18</v>
      </c>
      <c r="T26">
        <v>0</v>
      </c>
      <c r="U26">
        <f>Q26*IF(D26&lt;&gt;0,D26^1.5,0)*'Preliminary calcs'!$B$34*'Preliminary calcs'!$B$20</f>
        <v>0.04812659003732486</v>
      </c>
      <c r="V26">
        <f>R26*IF(E26&lt;&gt;0,E26^1.5,0)*'Preliminary calcs'!$B$34*'Preliminary calcs'!$B$20</f>
        <v>0.06569683707508574</v>
      </c>
      <c r="W26" s="1">
        <v>18</v>
      </c>
      <c r="X26">
        <f>'Stage-Q'!$I$2*IF(C26&lt;&gt;0,C26^(8/3),0)</f>
        <v>0</v>
      </c>
      <c r="Y26">
        <f>'Stage-Q'!$I$2*IF(D26&lt;&gt;0,D26^(8/3),0)</f>
        <v>0.018799758136206532</v>
      </c>
      <c r="Z26">
        <f>'Stage-Q'!$I$2*IF(E26&lt;&gt;0,E26^(8/3),0)</f>
        <v>0.01694990900004758</v>
      </c>
      <c r="AA26" s="1">
        <v>18</v>
      </c>
      <c r="AB26">
        <f>X26*'Preliminary calcs'!$B$39</f>
        <v>0</v>
      </c>
      <c r="AC26">
        <f t="shared" si="0"/>
        <v>0.018799758136206532</v>
      </c>
      <c r="AD26">
        <f t="shared" si="1"/>
        <v>0.01694990900004758</v>
      </c>
    </row>
    <row r="27" spans="1:30" ht="12.75">
      <c r="A27">
        <v>1.9</v>
      </c>
      <c r="B27" s="1">
        <v>19</v>
      </c>
      <c r="C27">
        <v>0</v>
      </c>
      <c r="D27">
        <v>0.07615642320827466</v>
      </c>
      <c r="E27">
        <v>0.0728443215567784</v>
      </c>
      <c r="F27">
        <f>'Preliminary calcs'!K22</f>
        <v>0.10571466836481767</v>
      </c>
      <c r="G27" s="1">
        <v>19</v>
      </c>
      <c r="H27">
        <f>IF(D27&lt;&gt;0,AVERAGE('Stage-Q'!$I$2*C26^(8/3),'Stage-Q'!$I$2*C27^(8/3))*360+AVERAGE($F26,$F27)*360,0)</f>
        <v>38.04794981960021</v>
      </c>
      <c r="I27">
        <f>IF(E27&lt;&gt;0,AVERAGE('Stage-Q'!$I$2*D26^(8/3),'Stage-Q'!$I$2*D27^(8/3))*360+AVERAGE($F26,$F27)*360,0)</f>
        <v>44.88245611201591</v>
      </c>
      <c r="J27" s="1">
        <v>19</v>
      </c>
      <c r="K27">
        <f>AVERAGE('Stage-Q'!$I$2*IF(D26&lt;&gt;0,D26^(8/3),0),'Stage-Q'!$I$2*IF(D27&lt;&gt;0,D27^(8/3),0))*360+('Preliminary calcs'!$B$34*Q27*0.25*(IF(C26&lt;&gt;0,C26^1.5,0)+IF(D26&lt;&gt;0,D26^1.5,0)+IF(C27&lt;&gt;0,C27^1.5,0)+IF(D27&lt;&gt;0,D27^1.5,0))*'Preliminary calcs'!$B$20*360)+(1-'Preliminary calcs'!$B$39)*$F27*360</f>
        <v>27.531525584984987</v>
      </c>
      <c r="L27">
        <f>AVERAGE('Stage-Q'!$I$2*IF(E26&lt;&gt;0,E26^(8/3),0),'Stage-Q'!$I$2*IF(E27&lt;&gt;0,E27^(8/3),0))*360+('Preliminary calcs'!$B$34*R27*0.25*(IF(D26&lt;&gt;0,D26^1.5,0)+IF(E26&lt;&gt;0,E26^1.5,0)+IF(D27&lt;&gt;0,D27^1.5,0)+IF(E27&lt;&gt;0,E27^1.5,0))*'Preliminary calcs'!$B$20*360)+(1-'Preliminary calcs'!$B$39)*$F27*360</f>
        <v>42.582855179244135</v>
      </c>
      <c r="M27" s="1">
        <v>19</v>
      </c>
      <c r="N27">
        <f>0.5*(1/(2*'Preliminary calcs'!$B$14)*(D27^2-D26^2)*'Preliminary calcs'!$B$20+1/(2*'Preliminary calcs'!$B$14)*(C27^2-C26^2))*'Preliminary calcs'!$B$20</f>
        <v>10.519181190009352</v>
      </c>
      <c r="O27">
        <f>0.5*(1/(2*'Preliminary calcs'!$B$14)*(E27^2-E26^2)*'Preliminary calcs'!$B$20+1/(2*'Preliminary calcs'!$B$14)*(D27^2-D26^2))*'Preliminary calcs'!$B$20</f>
        <v>2.2857489628507817</v>
      </c>
      <c r="P27" s="1">
        <v>19</v>
      </c>
      <c r="Q27">
        <f>'Preliminary calcs'!$B$48*'Preliminary calcs'!$B$16^'Preliminary calcs'!$B$46*AVERAGE(P60:Q61)^'Preliminary calcs'!$B$47</f>
        <v>0.17662549663272467</v>
      </c>
      <c r="R27">
        <f>'Preliminary calcs'!$B$48*'Preliminary calcs'!$B$16^'Preliminary calcs'!$B$46*AVERAGE(Q60:R61)^'Preliminary calcs'!$B$47</f>
        <v>0.25505098185576863</v>
      </c>
      <c r="S27" s="1">
        <v>19</v>
      </c>
      <c r="T27">
        <v>0</v>
      </c>
      <c r="U27">
        <f>Q27*IF(D27&lt;&gt;0,D27^1.5,0)*'Preliminary calcs'!$B$34*'Preliminary calcs'!$B$20</f>
        <v>0.04892474989194581</v>
      </c>
      <c r="V27">
        <f>R27*IF(E27&lt;&gt;0,E27^1.5,0)*'Preliminary calcs'!$B$34*'Preliminary calcs'!$B$20</f>
        <v>0.06609003231518172</v>
      </c>
      <c r="W27" s="1">
        <v>19</v>
      </c>
      <c r="X27">
        <f>'Stage-Q'!$I$2*IF(C27&lt;&gt;0,C27^(8/3),0)</f>
        <v>0</v>
      </c>
      <c r="Y27">
        <f>'Stage-Q'!$I$2*IF(D27&lt;&gt;0,D27^(8/3),0)</f>
        <v>0.01916972126610288</v>
      </c>
      <c r="Z27">
        <f>'Stage-Q'!$I$2*IF(E27&lt;&gt;0,E27^(8/3),0)</f>
        <v>0.017026298223629405</v>
      </c>
      <c r="AA27" s="1">
        <v>19</v>
      </c>
      <c r="AB27">
        <f>X27*'Preliminary calcs'!$B$39</f>
        <v>0</v>
      </c>
      <c r="AC27">
        <f t="shared" si="0"/>
        <v>0.01916972126610288</v>
      </c>
      <c r="AD27">
        <f t="shared" si="1"/>
        <v>0.017026298223629405</v>
      </c>
    </row>
    <row r="28" spans="1:30" ht="12.75">
      <c r="A28">
        <v>2</v>
      </c>
      <c r="B28" s="1">
        <v>20</v>
      </c>
      <c r="C28">
        <v>0</v>
      </c>
      <c r="D28">
        <v>0.07669332926510938</v>
      </c>
      <c r="E28">
        <v>0.0729598278952163</v>
      </c>
      <c r="F28">
        <f>'Preliminary calcs'!K23</f>
        <v>0.10576259563680869</v>
      </c>
      <c r="G28" s="1">
        <v>20</v>
      </c>
      <c r="H28">
        <f>IF(D28&lt;&gt;0,AVERAGE('Stage-Q'!$I$2*C27^(8/3),'Stage-Q'!$I$2*C28^(8/3))*360+AVERAGE($F27,$F28)*360,0)</f>
        <v>38.06590752029275</v>
      </c>
      <c r="I28">
        <f>IF(E28&lt;&gt;0,AVERAGE('Stage-Q'!$I$2*D27^(8/3),'Stage-Q'!$I$2*D28^(8/3))*360+AVERAGE($F27,$F28)*360,0)</f>
        <v>45.03225962294848</v>
      </c>
      <c r="J28" s="1">
        <v>20</v>
      </c>
      <c r="K28">
        <f>AVERAGE('Stage-Q'!$I$2*IF(D27&lt;&gt;0,D27^(8/3),0),'Stage-Q'!$I$2*IF(D28&lt;&gt;0,D28^(8/3),0))*360+('Preliminary calcs'!$B$34*Q28*0.25*(IF(C27&lt;&gt;0,C27^1.5,0)+IF(D27&lt;&gt;0,D27^1.5,0)+IF(C28&lt;&gt;0,C28^1.5,0)+IF(D28&lt;&gt;0,D28^1.5,0))*'Preliminary calcs'!$B$20*360)+(1-'Preliminary calcs'!$B$39)*$F28*360</f>
        <v>27.81024245741142</v>
      </c>
      <c r="L28">
        <f>AVERAGE('Stage-Q'!$I$2*IF(E27&lt;&gt;0,E27^(8/3),0),'Stage-Q'!$I$2*IF(E28&lt;&gt;0,E28^(8/3),0))*360+('Preliminary calcs'!$B$34*R28*0.25*(IF(D27&lt;&gt;0,D27^1.5,0)+IF(E27&lt;&gt;0,E27^1.5,0)+IF(D28&lt;&gt;0,D28^1.5,0)+IF(E28&lt;&gt;0,E28^1.5,0))*'Preliminary calcs'!$B$20*360)+(1-'Preliminary calcs'!$B$39)*$F28*360</f>
        <v>42.86244064954897</v>
      </c>
      <c r="M28" s="1">
        <v>20</v>
      </c>
      <c r="N28">
        <f>0.5*(1/(2*'Preliminary calcs'!$B$14)*(D28^2-D27^2)*'Preliminary calcs'!$B$20+1/(2*'Preliminary calcs'!$B$14)*(C28^2-C27^2))*'Preliminary calcs'!$B$20</f>
        <v>10.258244736080979</v>
      </c>
      <c r="O28">
        <f>0.5*(1/(2*'Preliminary calcs'!$B$14)*(E28^2-E27^2)*'Preliminary calcs'!$B$20+1/(2*'Preliminary calcs'!$B$14)*(D28^2-D27^2))*'Preliminary calcs'!$B$20</f>
        <v>2.15645415271175</v>
      </c>
      <c r="P28" s="1">
        <v>20</v>
      </c>
      <c r="Q28">
        <f>'Preliminary calcs'!$B$48*'Preliminary calcs'!$B$16^'Preliminary calcs'!$B$46*AVERAGE(P61:Q62)^'Preliminary calcs'!$B$47</f>
        <v>0.17755933933726525</v>
      </c>
      <c r="R28">
        <f>'Preliminary calcs'!$B$48*'Preliminary calcs'!$B$16^'Preliminary calcs'!$B$46*AVERAGE(Q61:R62)^'Preliminary calcs'!$B$47</f>
        <v>0.2558936632327771</v>
      </c>
      <c r="S28" s="1">
        <v>20</v>
      </c>
      <c r="T28">
        <v>0</v>
      </c>
      <c r="U28">
        <f>Q28*IF(D28&lt;&gt;0,D28^1.5,0)*'Preliminary calcs'!$B$34*'Preliminary calcs'!$B$20</f>
        <v>0.04970445510391976</v>
      </c>
      <c r="V28">
        <f>R28*IF(E28&lt;&gt;0,E28^1.5,0)*'Preliminary calcs'!$B$34*'Preliminary calcs'!$B$20</f>
        <v>0.06646616831723735</v>
      </c>
      <c r="W28" s="1">
        <v>20</v>
      </c>
      <c r="X28">
        <f>'Stage-Q'!$I$2*IF(C28&lt;&gt;0,C28^(8/3),0)</f>
        <v>0</v>
      </c>
      <c r="Y28">
        <f>'Stage-Q'!$I$2*IF(D28&lt;&gt;0,D28^(8/3),0)</f>
        <v>0.019532234859762316</v>
      </c>
      <c r="Z28">
        <f>'Stage-Q'!$I$2*IF(E28&lt;&gt;0,E28^(8/3),0)</f>
        <v>0.017098387850059103</v>
      </c>
      <c r="AA28" s="1">
        <v>20</v>
      </c>
      <c r="AB28">
        <f>X28*'Preliminary calcs'!$B$39</f>
        <v>0</v>
      </c>
      <c r="AC28">
        <f t="shared" si="0"/>
        <v>0.019532234859762316</v>
      </c>
      <c r="AD28">
        <f t="shared" si="1"/>
        <v>0.017098387850059103</v>
      </c>
    </row>
    <row r="29" spans="1:30" ht="12.75">
      <c r="A29">
        <v>2.1</v>
      </c>
      <c r="B29" s="1">
        <v>21</v>
      </c>
      <c r="C29">
        <v>0</v>
      </c>
      <c r="D29">
        <v>0.07703665516536233</v>
      </c>
      <c r="E29">
        <v>0.07288392182056073</v>
      </c>
      <c r="F29">
        <f>'Preliminary calcs'!K24</f>
        <v>0.054368188428081804</v>
      </c>
      <c r="G29" s="1">
        <v>21</v>
      </c>
      <c r="H29">
        <f>IF(D29&lt;&gt;0,AVERAGE('Stage-Q'!$I$2*C28^(8/3),'Stage-Q'!$I$2*C29^(8/3))*360+AVERAGE($F28,$F29)*360,0)</f>
        <v>28.82354113168029</v>
      </c>
      <c r="I29">
        <f>IF(E29&lt;&gt;0,AVERAGE('Stage-Q'!$I$2*D28^(8/3),'Stage-Q'!$I$2*D29^(8/3))*360+AVERAGE($F28,$F29)*360,0)</f>
        <v>35.89727271492238</v>
      </c>
      <c r="J29" s="1">
        <v>21</v>
      </c>
      <c r="K29">
        <f>AVERAGE('Stage-Q'!$I$2*IF(D28&lt;&gt;0,D28^(8/3),0),'Stage-Q'!$I$2*IF(D29&lt;&gt;0,D29^(8/3),0))*360+('Preliminary calcs'!$B$34*Q29*0.25*(IF(C28&lt;&gt;0,C28^1.5,0)+IF(D28&lt;&gt;0,D28^1.5,0)+IF(C29&lt;&gt;0,C29^1.5,0)+IF(D29&lt;&gt;0,D29^1.5,0))*'Preliminary calcs'!$B$20*360)+(1-'Preliminary calcs'!$B$39)*$F29*360</f>
        <v>22.228518262013573</v>
      </c>
      <c r="L29">
        <f>AVERAGE('Stage-Q'!$I$2*IF(E28&lt;&gt;0,E28^(8/3),0),'Stage-Q'!$I$2*IF(E29&lt;&gt;0,E29^(8/3),0))*360+('Preliminary calcs'!$B$34*R29*0.25*(IF(D28&lt;&gt;0,D28^1.5,0)+IF(E28&lt;&gt;0,E28^1.5,0)+IF(D29&lt;&gt;0,D29^1.5,0)+IF(E29&lt;&gt;0,E29^1.5,0))*'Preliminary calcs'!$B$20*360)+(1-'Preliminary calcs'!$B$39)*$F29*360</f>
        <v>37.23539701402273</v>
      </c>
      <c r="M29" s="1">
        <v>21</v>
      </c>
      <c r="N29">
        <f>0.5*(1/(2*'Preliminary calcs'!$B$14)*(D29^2-D28^2)*'Preliminary calcs'!$B$20+1/(2*'Preliminary calcs'!$B$14)*(C29^2-C28^2))*'Preliminary calcs'!$B$20</f>
        <v>6.5974356625579</v>
      </c>
      <c r="O29">
        <f>0.5*(1/(2*'Preliminary calcs'!$B$14)*(E29^2-E28^2)*'Preliminary calcs'!$B$20+1/(2*'Preliminary calcs'!$B$14)*(D29^2-D28^2))*'Preliminary calcs'!$B$20</f>
        <v>-1.35081614093382</v>
      </c>
      <c r="P29" s="1">
        <v>21</v>
      </c>
      <c r="Q29">
        <f>'Preliminary calcs'!$B$48*'Preliminary calcs'!$B$16^'Preliminary calcs'!$B$46*AVERAGE(P62:Q63)^'Preliminary calcs'!$B$47</f>
        <v>0.17831105318346324</v>
      </c>
      <c r="R29">
        <f>'Preliminary calcs'!$B$48*'Preliminary calcs'!$B$16^'Preliminary calcs'!$B$46*AVERAGE(Q62:R63)^'Preliminary calcs'!$B$47</f>
        <v>0.2564775567003042</v>
      </c>
      <c r="S29" s="1">
        <v>21</v>
      </c>
      <c r="T29">
        <v>0</v>
      </c>
      <c r="U29">
        <f>Q29*IF(D29&lt;&gt;0,D29^1.5,0)*'Preliminary calcs'!$B$34*'Preliminary calcs'!$B$20</f>
        <v>0.0502504323127074</v>
      </c>
      <c r="V29">
        <f>R29*IF(E29&lt;&gt;0,E29^1.5,0)*'Preliminary calcs'!$B$34*'Preliminary calcs'!$B$20</f>
        <v>0.0665138946829016</v>
      </c>
      <c r="W29" s="1">
        <v>21</v>
      </c>
      <c r="X29">
        <f>'Stage-Q'!$I$2*IF(C29&lt;&gt;0,C29^(8/3),0)</f>
        <v>0</v>
      </c>
      <c r="Y29">
        <f>'Stage-Q'!$I$2*IF(D29&lt;&gt;0,D29^(8/3),0)</f>
        <v>0.019766273936027055</v>
      </c>
      <c r="Z29">
        <f>'Stage-Q'!$I$2*IF(E29&lt;&gt;0,E29^(8/3),0)</f>
        <v>0.017050992031754034</v>
      </c>
      <c r="AA29" s="1">
        <v>21</v>
      </c>
      <c r="AB29">
        <f>X29*'Preliminary calcs'!$B$39</f>
        <v>0</v>
      </c>
      <c r="AC29">
        <f t="shared" si="0"/>
        <v>0.019766273936027055</v>
      </c>
      <c r="AD29">
        <f t="shared" si="1"/>
        <v>0.017050992031754034</v>
      </c>
    </row>
    <row r="30" spans="1:30" ht="12.75">
      <c r="A30">
        <v>2.2</v>
      </c>
      <c r="B30" s="1">
        <v>22</v>
      </c>
      <c r="C30">
        <v>0</v>
      </c>
      <c r="D30">
        <v>0.07689610588277859</v>
      </c>
      <c r="E30">
        <v>0.07231043487676475</v>
      </c>
      <c r="F30">
        <f>'Preliminary calcs'!K25</f>
        <v>0.05437946544327177</v>
      </c>
      <c r="G30" s="1">
        <v>22</v>
      </c>
      <c r="H30">
        <f>IF(D30&lt;&gt;0,AVERAGE('Stage-Q'!$I$2*C29^(8/3),'Stage-Q'!$I$2*C30^(8/3))*360+AVERAGE($F29,$F30)*360,0)</f>
        <v>19.574577696843644</v>
      </c>
      <c r="I30">
        <f>IF(E30&lt;&gt;0,AVERAGE('Stage-Q'!$I$2*D29^(8/3),'Stage-Q'!$I$2*D30^(8/3))*360+AVERAGE($F29,$F30)*360,0)</f>
        <v>26.67315261304715</v>
      </c>
      <c r="J30" s="1">
        <v>22</v>
      </c>
      <c r="K30">
        <f>AVERAGE('Stage-Q'!$I$2*IF(D29&lt;&gt;0,D29^(8/3),0),'Stage-Q'!$I$2*IF(D30&lt;&gt;0,D30^(8/3),0))*360+('Preliminary calcs'!$B$34*Q30*0.25*(IF(C29&lt;&gt;0,C29^1.5,0)+IF(D29&lt;&gt;0,D29^1.5,0)+IF(C30&lt;&gt;0,C30^1.5,0)+IF(D30&lt;&gt;0,D30^1.5,0))*'Preliminary calcs'!$B$20*360)+(1-'Preliminary calcs'!$B$39)*$F30*360</f>
        <v>22.281224851566673</v>
      </c>
      <c r="L30">
        <f>AVERAGE('Stage-Q'!$I$2*IF(E29&lt;&gt;0,E29^(8/3),0),'Stage-Q'!$I$2*IF(E30&lt;&gt;0,E30^(8/3),0))*360+('Preliminary calcs'!$B$34*R30*0.25*(IF(D29&lt;&gt;0,D29^1.5,0)+IF(E29&lt;&gt;0,E29^1.5,0)+IF(D30&lt;&gt;0,D30^1.5,0)+IF(E30&lt;&gt;0,E30^1.5,0))*'Preliminary calcs'!$B$20*360)+(1-'Preliminary calcs'!$B$39)*$F30*360</f>
        <v>37.0831250365238</v>
      </c>
      <c r="M30" s="1">
        <v>22</v>
      </c>
      <c r="N30">
        <f>0.5*(1/(2*'Preliminary calcs'!$B$14)*(D30^2-D29^2)*'Preliminary calcs'!$B$20+1/(2*'Preliminary calcs'!$B$14)*(C30^2-C29^2))*'Preliminary calcs'!$B$20</f>
        <v>-2.704392391431271</v>
      </c>
      <c r="O30">
        <f>0.5*(1/(2*'Preliminary calcs'!$B$14)*(E30^2-E29^2)*'Preliminary calcs'!$B$20+1/(2*'Preliminary calcs'!$B$14)*(D30^2-D29^2))*'Preliminary calcs'!$B$20</f>
        <v>-10.421905446803734</v>
      </c>
      <c r="P30" s="1">
        <v>22</v>
      </c>
      <c r="Q30">
        <f>'Preliminary calcs'!$B$48*'Preliminary calcs'!$B$16^'Preliminary calcs'!$B$46*AVERAGE(P63:Q64)^'Preliminary calcs'!$B$47</f>
        <v>0.17848400805453446</v>
      </c>
      <c r="R30">
        <f>'Preliminary calcs'!$B$48*'Preliminary calcs'!$B$16^'Preliminary calcs'!$B$46*AVERAGE(Q63:R64)^'Preliminary calcs'!$B$47</f>
        <v>0.25620133405898404</v>
      </c>
      <c r="S30" s="1">
        <v>22</v>
      </c>
      <c r="T30">
        <v>0</v>
      </c>
      <c r="U30">
        <f>Q30*IF(D30&lt;&gt;0,D30^1.5,0)*'Preliminary calcs'!$B$34*'Preliminary calcs'!$B$20</f>
        <v>0.05016158385322292</v>
      </c>
      <c r="V30">
        <f>R30*IF(E30&lt;&gt;0,E30^1.5,0)*'Preliminary calcs'!$B$34*'Preliminary calcs'!$B$20</f>
        <v>0.06565960370511799</v>
      </c>
      <c r="W30" s="1">
        <v>22</v>
      </c>
      <c r="X30">
        <f>'Stage-Q'!$I$2*IF(C30&lt;&gt;0,C30^(8/3),0)</f>
        <v>0</v>
      </c>
      <c r="Y30">
        <f>'Stage-Q'!$I$2*IF(D30&lt;&gt;0,D30^(8/3),0)</f>
        <v>0.01967025337621464</v>
      </c>
      <c r="Z30">
        <f>'Stage-Q'!$I$2*IF(E30&lt;&gt;0,E30^(8/3),0)</f>
        <v>0.016695558727306055</v>
      </c>
      <c r="AA30" s="1">
        <v>22</v>
      </c>
      <c r="AB30">
        <f>X30*'Preliminary calcs'!$B$39</f>
        <v>0</v>
      </c>
      <c r="AC30">
        <f t="shared" si="0"/>
        <v>0.01967025337621464</v>
      </c>
      <c r="AD30">
        <f t="shared" si="1"/>
        <v>0.016695558727306055</v>
      </c>
    </row>
    <row r="31" spans="1:30" ht="12.75">
      <c r="A31">
        <v>2.3</v>
      </c>
      <c r="B31" s="1">
        <v>23</v>
      </c>
      <c r="C31">
        <v>0</v>
      </c>
      <c r="D31">
        <v>0.07675910781481651</v>
      </c>
      <c r="E31">
        <v>0.07175208134026013</v>
      </c>
      <c r="F31">
        <f>'Preliminary calcs'!K26</f>
        <v>0.054390321608292214</v>
      </c>
      <c r="G31" s="1">
        <v>23</v>
      </c>
      <c r="H31">
        <f>IF(D31&lt;&gt;0,AVERAGE('Stage-Q'!$I$2*C30^(8/3),'Stage-Q'!$I$2*C31^(8/3))*360+AVERAGE($F30,$F31)*360,0)</f>
        <v>19.578561669281516</v>
      </c>
      <c r="I31">
        <f>IF(E31&lt;&gt;0,AVERAGE('Stage-Q'!$I$2*D30^(8/3),'Stage-Q'!$I$2*D31^(8/3))*360+AVERAGE($F30,$F31)*360,0)</f>
        <v>26.643056481916155</v>
      </c>
      <c r="J31" s="1">
        <v>23</v>
      </c>
      <c r="K31">
        <f>AVERAGE('Stage-Q'!$I$2*IF(D30&lt;&gt;0,D30^(8/3),0),'Stage-Q'!$I$2*IF(D31&lt;&gt;0,D31^(8/3),0))*360+('Preliminary calcs'!$B$34*Q31*0.25*(IF(C30&lt;&gt;0,C30^1.5,0)+IF(D30&lt;&gt;0,D30^1.5,0)+IF(C31&lt;&gt;0,C31^1.5,0)+IF(D31&lt;&gt;0,D31^1.5,0))*'Preliminary calcs'!$B$20*360)+(1-'Preliminary calcs'!$B$39)*$F31*360</f>
        <v>22.21196174558687</v>
      </c>
      <c r="L31">
        <f>AVERAGE('Stage-Q'!$I$2*IF(E30&lt;&gt;0,E30^(8/3),0),'Stage-Q'!$I$2*IF(E31&lt;&gt;0,E31^(8/3),0))*360+('Preliminary calcs'!$B$34*R31*0.25*(IF(D30&lt;&gt;0,D30^1.5,0)+IF(E30&lt;&gt;0,E30^1.5,0)+IF(D31&lt;&gt;0,D31^1.5,0)+IF(E31&lt;&gt;0,E31^1.5,0))*'Preliminary calcs'!$B$20*360)+(1-'Preliminary calcs'!$B$39)*$F31*360</f>
        <v>36.69993987567271</v>
      </c>
      <c r="M31" s="1">
        <v>23</v>
      </c>
      <c r="N31">
        <f>0.5*(1/(2*'Preliminary calcs'!$B$14)*(D31^2-D30^2)*'Preliminary calcs'!$B$20+1/(2*'Preliminary calcs'!$B$14)*(C31^2-C30^2))*'Preliminary calcs'!$B$20</f>
        <v>-2.6313084261088804</v>
      </c>
      <c r="O31">
        <f>0.5*(1/(2*'Preliminary calcs'!$B$14)*(E31^2-E30^2)*'Preliminary calcs'!$B$20+1/(2*'Preliminary calcs'!$B$14)*(D31^2-D30^2))*'Preliminary calcs'!$B$20</f>
        <v>-10.067883468071761</v>
      </c>
      <c r="P31" s="1">
        <v>23</v>
      </c>
      <c r="Q31">
        <f>'Preliminary calcs'!$B$48*'Preliminary calcs'!$B$16^'Preliminary calcs'!$B$46*AVERAGE(P64:Q65)^'Preliminary calcs'!$B$47</f>
        <v>0.17824713835941505</v>
      </c>
      <c r="R31">
        <f>'Preliminary calcs'!$B$48*'Preliminary calcs'!$B$16^'Preliminary calcs'!$B$46*AVERAGE(Q64:R65)^'Preliminary calcs'!$B$47</f>
        <v>0.255318264775782</v>
      </c>
      <c r="S31" s="1">
        <v>23</v>
      </c>
      <c r="T31">
        <v>0</v>
      </c>
      <c r="U31">
        <f>Q31*IF(D31&lt;&gt;0,D31^1.5,0)*'Preliminary calcs'!$B$34*'Preliminary calcs'!$B$20</f>
        <v>0.049961199177305286</v>
      </c>
      <c r="V31">
        <f>R31*IF(E31&lt;&gt;0,E31^1.5,0)*'Preliminary calcs'!$B$34*'Preliminary calcs'!$B$20</f>
        <v>0.0646768782080312</v>
      </c>
      <c r="W31" s="1">
        <v>23</v>
      </c>
      <c r="X31">
        <f>'Stage-Q'!$I$2*IF(C31&lt;&gt;0,C31^(8/3),0)</f>
        <v>0</v>
      </c>
      <c r="Y31">
        <f>'Stage-Q'!$I$2*IF(D31&lt;&gt;0,D31^(8/3),0)</f>
        <v>0.019576940027311127</v>
      </c>
      <c r="Z31">
        <f>'Stage-Q'!$I$2*IF(E31&lt;&gt;0,E31^(8/3),0)</f>
        <v>0.016353989104137105</v>
      </c>
      <c r="AA31" s="1">
        <v>23</v>
      </c>
      <c r="AB31">
        <f>X31*'Preliminary calcs'!$B$39</f>
        <v>0</v>
      </c>
      <c r="AC31">
        <f t="shared" si="0"/>
        <v>0.019576940027311127</v>
      </c>
      <c r="AD31">
        <f t="shared" si="1"/>
        <v>0.016353989104137105</v>
      </c>
    </row>
    <row r="32" spans="1:30" ht="12.75">
      <c r="A32">
        <v>2.4</v>
      </c>
      <c r="B32" s="1">
        <v>24</v>
      </c>
      <c r="C32">
        <v>0</v>
      </c>
      <c r="D32">
        <v>0.07662557358291232</v>
      </c>
      <c r="E32">
        <v>0.07120852187389762</v>
      </c>
      <c r="F32">
        <f>'Preliminary calcs'!K27</f>
        <v>0.05440077760694842</v>
      </c>
      <c r="G32" s="1">
        <v>24</v>
      </c>
      <c r="H32">
        <f>IF(D32&lt;&gt;0,AVERAGE('Stage-Q'!$I$2*C31^(8/3),'Stage-Q'!$I$2*C32^(8/3))*360+AVERAGE($F31,$F32)*360,0)</f>
        <v>19.582397858743313</v>
      </c>
      <c r="I32">
        <f>IF(E32&lt;&gt;0,AVERAGE('Stage-Q'!$I$2*D31^(8/3),'Stage-Q'!$I$2*D32^(8/3))*360+AVERAGE($F31,$F32)*360,0)</f>
        <v>26.613772556432025</v>
      </c>
      <c r="J32" s="1">
        <v>24</v>
      </c>
      <c r="K32">
        <f>AVERAGE('Stage-Q'!$I$2*IF(D31&lt;&gt;0,D31^(8/3),0),'Stage-Q'!$I$2*IF(D32&lt;&gt;0,D32^(8/3),0))*360+('Preliminary calcs'!$B$34*Q32*0.25*(IF(C31&lt;&gt;0,C31^1.5,0)+IF(D31&lt;&gt;0,D31^1.5,0)+IF(C32&lt;&gt;0,C32^1.5,0)+IF(D32&lt;&gt;0,D32^1.5,0))*'Preliminary calcs'!$B$20*360)+(1-'Preliminary calcs'!$B$39)*$F32*360</f>
        <v>22.144611819105602</v>
      </c>
      <c r="L32">
        <f>AVERAGE('Stage-Q'!$I$2*IF(E31&lt;&gt;0,E31^(8/3),0),'Stage-Q'!$I$2*IF(E32&lt;&gt;0,E32^(8/3),0))*360+('Preliminary calcs'!$B$34*R32*0.25*(IF(D31&lt;&gt;0,D31^1.5,0)+IF(E31&lt;&gt;0,E31^1.5,0)+IF(D32&lt;&gt;0,D32^1.5,0)+IF(E32&lt;&gt;0,E32^1.5,0))*'Preliminary calcs'!$B$20*360)+(1-'Preliminary calcs'!$B$39)*$F32*360</f>
        <v>36.33003402060419</v>
      </c>
      <c r="M32" s="1">
        <v>24</v>
      </c>
      <c r="N32">
        <f>0.5*(1/(2*'Preliminary calcs'!$B$14)*(D32^2-D31^2)*'Preliminary calcs'!$B$20+1/(2*'Preliminary calcs'!$B$14)*(C32^2-C31^2))*'Preliminary calcs'!$B$20</f>
        <v>-2.5602632020394576</v>
      </c>
      <c r="O32">
        <f>0.5*(1/(2*'Preliminary calcs'!$B$14)*(E32^2-E31^2)*'Preliminary calcs'!$B$20+1/(2*'Preliminary calcs'!$B$14)*(D32^2-D31^2))*'Preliminary calcs'!$B$20</f>
        <v>-9.7262499652541</v>
      </c>
      <c r="P32" s="1">
        <v>24</v>
      </c>
      <c r="Q32">
        <f>'Preliminary calcs'!$B$48*'Preliminary calcs'!$B$16^'Preliminary calcs'!$B$46*AVERAGE(P65:Q66)^'Preliminary calcs'!$B$47</f>
        <v>0.1780161468127387</v>
      </c>
      <c r="R32">
        <f>'Preliminary calcs'!$B$48*'Preliminary calcs'!$B$16^'Preliminary calcs'!$B$46*AVERAGE(Q65:R66)^'Preliminary calcs'!$B$47</f>
        <v>0.25445783413126477</v>
      </c>
      <c r="S32" s="1">
        <v>24</v>
      </c>
      <c r="T32">
        <v>0</v>
      </c>
      <c r="U32">
        <f>Q32*IF(D32&lt;&gt;0,D32^1.5,0)*'Preliminary calcs'!$B$34*'Preliminary calcs'!$B$20</f>
        <v>0.04976630700687836</v>
      </c>
      <c r="V32">
        <f>R32*IF(E32&lt;&gt;0,E32^1.5,0)*'Preliminary calcs'!$B$34*'Preliminary calcs'!$B$20</f>
        <v>0.06372783914795951</v>
      </c>
      <c r="W32" s="1">
        <v>24</v>
      </c>
      <c r="X32">
        <f>'Stage-Q'!$I$2*IF(C32&lt;&gt;0,C32^(8/3),0)</f>
        <v>0</v>
      </c>
      <c r="Y32">
        <f>'Stage-Q'!$I$2*IF(D32&lt;&gt;0,D32^(8/3),0)</f>
        <v>0.019486252737626157</v>
      </c>
      <c r="Z32">
        <f>'Stage-Q'!$I$2*IF(E32&lt;&gt;0,E32^(8/3),0)</f>
        <v>0.01602569787429195</v>
      </c>
      <c r="AA32" s="1">
        <v>24</v>
      </c>
      <c r="AB32">
        <f>X32*'Preliminary calcs'!$B$39</f>
        <v>0</v>
      </c>
      <c r="AC32">
        <f t="shared" si="0"/>
        <v>0.019486252737626157</v>
      </c>
      <c r="AD32">
        <f t="shared" si="1"/>
        <v>0.01602569787429195</v>
      </c>
    </row>
    <row r="33" spans="1:30" ht="12.75">
      <c r="A33">
        <v>2.5</v>
      </c>
      <c r="B33" s="1">
        <v>25</v>
      </c>
      <c r="C33">
        <v>0</v>
      </c>
      <c r="D33">
        <v>0.07649541618663842</v>
      </c>
      <c r="E33">
        <v>0.07067942570338864</v>
      </c>
      <c r="F33">
        <f>'Preliminary calcs'!K28</f>
        <v>0.054410852867762954</v>
      </c>
      <c r="G33" s="1">
        <v>25</v>
      </c>
      <c r="H33">
        <f>IF(D33&lt;&gt;0,AVERAGE('Stage-Q'!$I$2*C32^(8/3),'Stage-Q'!$I$2*C33^(8/3))*360+AVERAGE($F32,$F33)*360,0)</f>
        <v>19.586093485448046</v>
      </c>
      <c r="I33">
        <f>IF(E33&lt;&gt;0,AVERAGE('Stage-Q'!$I$2*D32^(8/3),'Stage-Q'!$I$2*D33^(8/3))*360+AVERAGE($F32,$F33)*360,0)</f>
        <v>26.585279118354705</v>
      </c>
      <c r="J33" s="1">
        <v>25</v>
      </c>
      <c r="K33">
        <f>AVERAGE('Stage-Q'!$I$2*IF(D32&lt;&gt;0,D32^(8/3),0),'Stage-Q'!$I$2*IF(D33&lt;&gt;0,D33^(8/3),0))*360+('Preliminary calcs'!$B$34*Q33*0.25*(IF(C32&lt;&gt;0,C32^1.5,0)+IF(D32&lt;&gt;0,D32^1.5,0)+IF(C33&lt;&gt;0,C33^1.5,0)+IF(D33&lt;&gt;0,D33^1.5,0))*'Preliminary calcs'!$B$20*360)+(1-'Preliminary calcs'!$B$39)*$F33*360</f>
        <v>22.079119544637564</v>
      </c>
      <c r="L33">
        <f>AVERAGE('Stage-Q'!$I$2*IF(E32&lt;&gt;0,E32^(8/3),0),'Stage-Q'!$I$2*IF(E33&lt;&gt;0,E33^(8/3),0))*360+('Preliminary calcs'!$B$34*R33*0.25*(IF(D32&lt;&gt;0,D32^1.5,0)+IF(E32&lt;&gt;0,E32^1.5,0)+IF(D33&lt;&gt;0,D33^1.5,0)+IF(E33&lt;&gt;0,E33^1.5,0))*'Preliminary calcs'!$B$20*360)+(1-'Preliminary calcs'!$B$39)*$F33*360</f>
        <v>35.972917211231234</v>
      </c>
      <c r="M33" s="1">
        <v>25</v>
      </c>
      <c r="N33">
        <f>0.5*(1/(2*'Preliminary calcs'!$B$14)*(D33^2-D32^2)*'Preliminary calcs'!$B$20+1/(2*'Preliminary calcs'!$B$14)*(C33^2-C32^2))*'Preliminary calcs'!$B$20</f>
        <v>-2.491228667910752</v>
      </c>
      <c r="O33">
        <f>0.5*(1/(2*'Preliminary calcs'!$B$14)*(E33^2-E32^2)*'Preliminary calcs'!$B$20+1/(2*'Preliminary calcs'!$B$14)*(D33^2-D32^2))*'Preliminary calcs'!$B$20</f>
        <v>-9.39650235640459</v>
      </c>
      <c r="P33" s="1">
        <v>25</v>
      </c>
      <c r="Q33">
        <f>'Preliminary calcs'!$B$48*'Preliminary calcs'!$B$16^'Preliminary calcs'!$B$46*AVERAGE(P66:Q67)^'Preliminary calcs'!$B$47</f>
        <v>0.17779089254354624</v>
      </c>
      <c r="R33">
        <f>'Preliminary calcs'!$B$48*'Preliminary calcs'!$B$16^'Preliminary calcs'!$B$46*AVERAGE(Q66:R67)^'Preliminary calcs'!$B$47</f>
        <v>0.25361955474654824</v>
      </c>
      <c r="S33" s="1">
        <v>25</v>
      </c>
      <c r="T33">
        <v>0</v>
      </c>
      <c r="U33">
        <f>Q33*IF(D33&lt;&gt;0,D33^1.5,0)*'Preliminary calcs'!$B$34*'Preliminary calcs'!$B$20</f>
        <v>0.04957674828259314</v>
      </c>
      <c r="V33">
        <f>R33*IF(E33&lt;&gt;0,E33^1.5,0)*'Preliminary calcs'!$B$34*'Preliminary calcs'!$B$20</f>
        <v>0.06281128293978352</v>
      </c>
      <c r="W33" s="1">
        <v>25</v>
      </c>
      <c r="X33">
        <f>'Stage-Q'!$I$2*IF(C33&lt;&gt;0,C33^(8/3),0)</f>
        <v>0</v>
      </c>
      <c r="Y33">
        <f>'Stage-Q'!$I$2*IF(D33&lt;&gt;0,D33^(8/3),0)</f>
        <v>0.01939811188963305</v>
      </c>
      <c r="Z33">
        <f>'Stage-Q'!$I$2*IF(E33&lt;&gt;0,E33^(8/3),0)</f>
        <v>0.015710128136524424</v>
      </c>
      <c r="AA33" s="1">
        <v>25</v>
      </c>
      <c r="AB33">
        <f>X33*'Preliminary calcs'!$B$39</f>
        <v>0</v>
      </c>
      <c r="AC33">
        <f t="shared" si="0"/>
        <v>0.01939811188963305</v>
      </c>
      <c r="AD33">
        <f t="shared" si="1"/>
        <v>0.015710128136524424</v>
      </c>
    </row>
    <row r="34" spans="1:30" ht="12.75">
      <c r="A34">
        <v>2.6</v>
      </c>
      <c r="B34" s="1">
        <v>26</v>
      </c>
      <c r="C34" s="4">
        <v>0</v>
      </c>
      <c r="D34">
        <v>0.07631753569180898</v>
      </c>
      <c r="E34">
        <v>0.07010955481121177</v>
      </c>
      <c r="F34">
        <f>'Preliminary calcs'!K29</f>
        <v>0.039711637070906115</v>
      </c>
      <c r="G34" s="1">
        <v>26</v>
      </c>
      <c r="H34">
        <f>IF(D34&lt;&gt;0,AVERAGE('Stage-Q'!$I$2*C33^(8/3),'Stage-Q'!$I$2*C34^(8/3))*360+AVERAGE($F33,$F34)*360,0)</f>
        <v>16.94204818896043</v>
      </c>
      <c r="I34">
        <f>IF(E34&lt;&gt;0,AVERAGE('Stage-Q'!$I$2*D33^(8/3),'Stage-Q'!$I$2*D34^(8/3))*360+AVERAGE($F33,$F34)*360,0)</f>
        <v>23.903758624184768</v>
      </c>
      <c r="J34" s="1">
        <v>26</v>
      </c>
      <c r="K34">
        <f>AVERAGE('Stage-Q'!$I$2*IF(D33&lt;&gt;0,D33^(8/3),0),'Stage-Q'!$I$2*IF(D34&lt;&gt;0,D34^(8/3),0))*360+('Preliminary calcs'!$B$34*Q34*0.25*(IF(C33&lt;&gt;0,C33^1.5,0)+IF(D33&lt;&gt;0,D33^1.5,0)+IF(C34&lt;&gt;0,C34^1.5,0)+IF(D34&lt;&gt;0,D34^1.5,0))*'Preliminary calcs'!$B$20*360)+(1-'Preliminary calcs'!$B$39)*$F34*360</f>
        <v>20.341495080741005</v>
      </c>
      <c r="L34">
        <f>AVERAGE('Stage-Q'!$I$2*IF(E33&lt;&gt;0,E33^(8/3),0),'Stage-Q'!$I$2*IF(E34&lt;&gt;0,E34^(8/3),0))*360+('Preliminary calcs'!$B$34*R34*0.25*(IF(D33&lt;&gt;0,D33^1.5,0)+IF(E33&lt;&gt;0,E33^1.5,0)+IF(D34&lt;&gt;0,D34^1.5,0)+IF(E34&lt;&gt;0,E34^1.5,0))*'Preliminary calcs'!$B$20*360)+(1-'Preliminary calcs'!$B$39)*$F34*360</f>
        <v>33.942021855947125</v>
      </c>
      <c r="M34" s="1">
        <v>26</v>
      </c>
      <c r="N34">
        <f>0.5*(1/(2*'Preliminary calcs'!$B$14)*(D34^2-D33^2)*'Preliminary calcs'!$B$20+1/(2*'Preliminary calcs'!$B$14)*(C34^2-C33^2))*'Preliminary calcs'!$B$20</f>
        <v>-3.3978054370608324</v>
      </c>
      <c r="O34">
        <f>0.5*(1/(2*'Preliminary calcs'!$B$14)*(E34^2-E33^2)*'Preliminary calcs'!$B$20+1/(2*'Preliminary calcs'!$B$14)*(D34^2-D33^2))*'Preliminary calcs'!$B$20</f>
        <v>-10.045931769001266</v>
      </c>
      <c r="P34" s="1">
        <v>26</v>
      </c>
      <c r="Q34">
        <f>'Preliminary calcs'!$B$48*'Preliminary calcs'!$B$16^'Preliminary calcs'!$B$46*AVERAGE(P67:Q68)^'Preliminary calcs'!$B$47</f>
        <v>0.17752764107332156</v>
      </c>
      <c r="R34">
        <f>'Preliminary calcs'!$B$48*'Preliminary calcs'!$B$16^'Preliminary calcs'!$B$46*AVERAGE(Q67:R68)^'Preliminary calcs'!$B$47</f>
        <v>0.25273597725108204</v>
      </c>
      <c r="S34" s="1">
        <v>26</v>
      </c>
      <c r="T34">
        <v>0</v>
      </c>
      <c r="U34">
        <f>Q34*IF(D34&lt;&gt;0,D34^1.5,0)*'Preliminary calcs'!$B$34*'Preliminary calcs'!$B$20</f>
        <v>0.04933077067390272</v>
      </c>
      <c r="V34">
        <f>R34*IF(E34&lt;&gt;0,E34^1.5,0)*'Preliminary calcs'!$B$34*'Preliminary calcs'!$B$20</f>
        <v>0.06183698308436537</v>
      </c>
      <c r="W34" s="1">
        <v>26</v>
      </c>
      <c r="X34">
        <f>'Stage-Q'!$I$2*IF(C34&lt;&gt;0,C34^(8/3),0)</f>
        <v>0</v>
      </c>
      <c r="Y34">
        <f>'Stage-Q'!$I$2*IF(D34&lt;&gt;0,D34^(8/3),0)</f>
        <v>0.019278057194946588</v>
      </c>
      <c r="Z34">
        <f>'Stage-Q'!$I$2*IF(E34&lt;&gt;0,E34^(8/3),0)</f>
        <v>0.015374615150741688</v>
      </c>
      <c r="AA34" s="1">
        <v>26</v>
      </c>
      <c r="AB34">
        <f>X34*'Preliminary calcs'!$B$39</f>
        <v>0</v>
      </c>
      <c r="AC34">
        <f t="shared" si="0"/>
        <v>0.019278057194946588</v>
      </c>
      <c r="AD34">
        <f t="shared" si="1"/>
        <v>0.015374615150741688</v>
      </c>
    </row>
    <row r="35" spans="1:30" ht="12.75">
      <c r="A35">
        <v>2.7</v>
      </c>
      <c r="B35" s="1">
        <v>27</v>
      </c>
      <c r="C35" s="4">
        <v>0</v>
      </c>
      <c r="D35">
        <v>0.07600657647832804</v>
      </c>
      <c r="E35">
        <v>0.06940598824390085</v>
      </c>
      <c r="F35">
        <f>'Preliminary calcs'!K30</f>
        <v>0.03971667379536255</v>
      </c>
      <c r="G35" s="1">
        <v>27</v>
      </c>
      <c r="H35">
        <f>IF(D35&lt;&gt;0,AVERAGE('Stage-Q'!$I$2*C34^(8/3),'Stage-Q'!$I$2*C35^(8/3))*360+AVERAGE($F34,$F35)*360,0)</f>
        <v>14.297095955928361</v>
      </c>
      <c r="I35">
        <f>IF(E35&lt;&gt;0,AVERAGE('Stage-Q'!$I$2*D34^(8/3),'Stage-Q'!$I$2*D35^(8/3))*360+AVERAGE($F34,$F35)*360,0)</f>
        <v>21.199620784095377</v>
      </c>
      <c r="J35" s="1">
        <v>27</v>
      </c>
      <c r="K35">
        <f>AVERAGE('Stage-Q'!$I$2*IF(D34&lt;&gt;0,D34^(8/3),0),'Stage-Q'!$I$2*IF(D35&lt;&gt;0,D35^(8/3),0))*360+('Preliminary calcs'!$B$34*Q35*0.25*(IF(C34&lt;&gt;0,C34^1.5,0)+IF(D34&lt;&gt;0,D34^1.5,0)+IF(C35&lt;&gt;0,C35^1.5,0)+IF(D35&lt;&gt;0,D35^1.5,0))*'Preliminary calcs'!$B$20*360)+(1-'Preliminary calcs'!$B$39)*$F35*360</f>
        <v>20.219395211850557</v>
      </c>
      <c r="L35">
        <f>AVERAGE('Stage-Q'!$I$2*IF(E34&lt;&gt;0,E34^(8/3),0),'Stage-Q'!$I$2*IF(E35&lt;&gt;0,E35^(8/3),0))*360+('Preliminary calcs'!$B$34*R35*0.25*(IF(D34&lt;&gt;0,D34^1.5,0)+IF(E34&lt;&gt;0,E34^1.5,0)+IF(D35&lt;&gt;0,D35^1.5,0)+IF(E35&lt;&gt;0,E35^1.5,0))*'Preliminary calcs'!$B$20*360)+(1-'Preliminary calcs'!$B$39)*$F35*360</f>
        <v>33.49269414224995</v>
      </c>
      <c r="M35" s="1">
        <v>27</v>
      </c>
      <c r="N35">
        <f>0.5*(1/(2*'Preliminary calcs'!$B$14)*(D35^2-D34^2)*'Preliminary calcs'!$B$20+1/(2*'Preliminary calcs'!$B$14)*(C35^2-C34^2))*'Preliminary calcs'!$B$20</f>
        <v>-5.920823264326039</v>
      </c>
      <c r="O35">
        <f>0.5*(1/(2*'Preliminary calcs'!$B$14)*(E35^2-E34^2)*'Preliminary calcs'!$B$20+1/(2*'Preliminary calcs'!$B$14)*(D35^2-D34^2))*'Preliminary calcs'!$B$20</f>
        <v>-12.29941308054729</v>
      </c>
      <c r="P35" s="1">
        <v>27</v>
      </c>
      <c r="Q35">
        <f>'Preliminary calcs'!$B$48*'Preliminary calcs'!$B$16^'Preliminary calcs'!$B$46*AVERAGE(P68:Q69)^'Preliminary calcs'!$B$47</f>
        <v>0.17710962628539467</v>
      </c>
      <c r="R35">
        <f>'Preliminary calcs'!$B$48*'Preliminary calcs'!$B$16^'Preliminary calcs'!$B$46*AVERAGE(Q68:R69)^'Preliminary calcs'!$B$47</f>
        <v>0.2516266510990414</v>
      </c>
      <c r="S35" s="1">
        <v>27</v>
      </c>
      <c r="T35">
        <v>0</v>
      </c>
      <c r="U35">
        <f>Q35*IF(D35&lt;&gt;0,D35^1.5,0)*'Preliminary calcs'!$B$34*'Preliminary calcs'!$B$20</f>
        <v>0.04891413004544814</v>
      </c>
      <c r="V35">
        <f>R35*IF(E35&lt;&gt;0,E35^1.5,0)*'Preliminary calcs'!$B$34*'Preliminary calcs'!$B$20</f>
        <v>0.060641154568609454</v>
      </c>
      <c r="W35" s="1">
        <v>27</v>
      </c>
      <c r="X35">
        <f>'Stage-Q'!$I$2*IF(C35&lt;&gt;0,C35^(8/3),0)</f>
        <v>0</v>
      </c>
      <c r="Y35">
        <f>'Stage-Q'!$I$2*IF(D35&lt;&gt;0,D35^(8/3),0)</f>
        <v>0.019069302961536833</v>
      </c>
      <c r="Z35">
        <f>'Stage-Q'!$I$2*IF(E35&lt;&gt;0,E35^(8/3),0)</f>
        <v>0.014966613427661996</v>
      </c>
      <c r="AA35" s="1">
        <v>27</v>
      </c>
      <c r="AB35">
        <f>X35*'Preliminary calcs'!$B$39</f>
        <v>0</v>
      </c>
      <c r="AC35">
        <f t="shared" si="0"/>
        <v>0.019069302961536833</v>
      </c>
      <c r="AD35">
        <f t="shared" si="1"/>
        <v>0.014966613427661996</v>
      </c>
    </row>
    <row r="36" spans="1:30" ht="12.75">
      <c r="A36">
        <v>2.8</v>
      </c>
      <c r="B36" s="1">
        <v>28</v>
      </c>
      <c r="C36" s="4">
        <v>0</v>
      </c>
      <c r="D36">
        <v>0.07570251118661642</v>
      </c>
      <c r="E36">
        <v>0.06872016903671012</v>
      </c>
      <c r="F36">
        <f>'Preliminary calcs'!K31</f>
        <v>0.0397215801487018</v>
      </c>
      <c r="G36" s="1">
        <v>28</v>
      </c>
      <c r="H36">
        <f>IF(D36&lt;&gt;0,AVERAGE('Stage-Q'!$I$2*C35^(8/3),'Stage-Q'!$I$2*C36^(8/3))*360+AVERAGE($F35,$F36)*360,0)</f>
        <v>14.298885709931582</v>
      </c>
      <c r="I36">
        <f>IF(E36&lt;&gt;0,AVERAGE('Stage-Q'!$I$2*D35^(8/3),'Stage-Q'!$I$2*D36^(8/3))*360+AVERAGE($F35,$F36)*360,0)</f>
        <v>21.127338985724514</v>
      </c>
      <c r="J36" s="1">
        <v>28</v>
      </c>
      <c r="K36">
        <f>AVERAGE('Stage-Q'!$I$2*IF(D35&lt;&gt;0,D35^(8/3),0),'Stage-Q'!$I$2*IF(D36&lt;&gt;0,D36^(8/3),0))*360+('Preliminary calcs'!$B$34*Q36*0.25*(IF(C35&lt;&gt;0,C35^1.5,0)+IF(D35&lt;&gt;0,D35^1.5,0)+IF(C36&lt;&gt;0,C36^1.5,0)+IF(D36&lt;&gt;0,D36^1.5,0))*'Preliminary calcs'!$B$20*360)+(1-'Preliminary calcs'!$B$39)*$F36*360</f>
        <v>20.06634839393007</v>
      </c>
      <c r="L36">
        <f>AVERAGE('Stage-Q'!$I$2*IF(E35&lt;&gt;0,E35^(8/3),0),'Stage-Q'!$I$2*IF(E36&lt;&gt;0,E36^(8/3),0))*360+('Preliminary calcs'!$B$34*R36*0.25*(IF(D35&lt;&gt;0,D35^1.5,0)+IF(E35&lt;&gt;0,E35^1.5,0)+IF(D36&lt;&gt;0,D36^1.5,0)+IF(E36&lt;&gt;0,E36^1.5,0))*'Preliminary calcs'!$B$20*360)+(1-'Preliminary calcs'!$B$39)*$F36*360</f>
        <v>32.99246631495209</v>
      </c>
      <c r="M36" s="1">
        <v>28</v>
      </c>
      <c r="N36">
        <f>0.5*(1/(2*'Preliminary calcs'!$B$14)*(D36^2-D35^2)*'Preliminary calcs'!$B$20+1/(2*'Preliminary calcs'!$B$14)*(C36^2-C35^2))*'Preliminary calcs'!$B$20</f>
        <v>-5.766183499518137</v>
      </c>
      <c r="O36">
        <f>0.5*(1/(2*'Preliminary calcs'!$B$14)*(E36^2-E35^2)*'Preliminary calcs'!$B$20+1/(2*'Preliminary calcs'!$B$14)*(D36^2-D35^2))*'Preliminary calcs'!$B$20</f>
        <v>-11.870027377308858</v>
      </c>
      <c r="P36" s="1">
        <v>28</v>
      </c>
      <c r="Q36">
        <f>'Preliminary calcs'!$B$48*'Preliminary calcs'!$B$16^'Preliminary calcs'!$B$46*AVERAGE(P69:Q70)^'Preliminary calcs'!$B$47</f>
        <v>0.17658312472664228</v>
      </c>
      <c r="R36">
        <f>'Preliminary calcs'!$B$48*'Preliminary calcs'!$B$16^'Preliminary calcs'!$B$46*AVERAGE(Q69:R70)^'Preliminary calcs'!$B$47</f>
        <v>0.25036203013278907</v>
      </c>
      <c r="S36" s="1">
        <v>28</v>
      </c>
      <c r="T36">
        <v>0</v>
      </c>
      <c r="U36">
        <f>Q36*IF(D36&lt;&gt;0,D36^1.5,0)*'Preliminary calcs'!$B$34*'Preliminary calcs'!$B$20</f>
        <v>0.04847636389986634</v>
      </c>
      <c r="V36">
        <f>R36*IF(E36&lt;&gt;0,E36^1.5,0)*'Preliminary calcs'!$B$34*'Preliminary calcs'!$B$20</f>
        <v>0.05944429809909457</v>
      </c>
      <c r="W36" s="1">
        <v>28</v>
      </c>
      <c r="X36">
        <f>'Stage-Q'!$I$2*IF(C36&lt;&gt;0,C36^(8/3),0)</f>
        <v>0</v>
      </c>
      <c r="Y36">
        <f>'Stage-Q'!$I$2*IF(D36&lt;&gt;0,D36^(8/3),0)</f>
        <v>0.01886654857064611</v>
      </c>
      <c r="Z36">
        <f>'Stage-Q'!$I$2*IF(E36&lt;&gt;0,E36^(8/3),0)</f>
        <v>0.014575482692587254</v>
      </c>
      <c r="AA36" s="1">
        <v>28</v>
      </c>
      <c r="AB36">
        <f>X36*'Preliminary calcs'!$B$39</f>
        <v>0</v>
      </c>
      <c r="AC36">
        <f t="shared" si="0"/>
        <v>0.01886654857064611</v>
      </c>
      <c r="AD36">
        <f t="shared" si="1"/>
        <v>0.014575482692587254</v>
      </c>
    </row>
    <row r="37" spans="1:30" ht="12.75">
      <c r="A37">
        <v>2.9</v>
      </c>
      <c r="B37" s="1">
        <v>29</v>
      </c>
      <c r="C37" s="4">
        <v>0</v>
      </c>
      <c r="D37">
        <v>0.0754051962931536</v>
      </c>
      <c r="E37">
        <v>0.06805172859269422</v>
      </c>
      <c r="F37">
        <f>'Preliminary calcs'!K32</f>
        <v>0.03972636059182216</v>
      </c>
      <c r="G37" s="1">
        <v>29</v>
      </c>
      <c r="H37">
        <f>IF(D37&lt;&gt;0,AVERAGE('Stage-Q'!$I$2*C36^(8/3),'Stage-Q'!$I$2*C37^(8/3))*360+AVERAGE($F36,$F37)*360,0)</f>
        <v>14.300629333294314</v>
      </c>
      <c r="I37">
        <f>IF(E37&lt;&gt;0,AVERAGE('Stage-Q'!$I$2*D36^(8/3),'Stage-Q'!$I$2*D37^(8/3))*360+AVERAGE($F36,$F37)*360,0)</f>
        <v>21.057136706803146</v>
      </c>
      <c r="J37" s="1">
        <v>29</v>
      </c>
      <c r="K37">
        <f>AVERAGE('Stage-Q'!$I$2*IF(D36&lt;&gt;0,D36^(8/3),0),'Stage-Q'!$I$2*IF(D37&lt;&gt;0,D37^(8/3),0))*360+('Preliminary calcs'!$B$34*Q37*0.25*(IF(C36&lt;&gt;0,C36^1.5,0)+IF(D36&lt;&gt;0,D36^1.5,0)+IF(C37&lt;&gt;0,C37^1.5,0)+IF(D37&lt;&gt;0,D37^1.5,0))*'Preliminary calcs'!$B$20*360)+(1-'Preliminary calcs'!$B$39)*$F37*360</f>
        <v>19.917561712930365</v>
      </c>
      <c r="L37">
        <f>AVERAGE('Stage-Q'!$I$2*IF(E36&lt;&gt;0,E36^(8/3),0),'Stage-Q'!$I$2*IF(E37&lt;&gt;0,E37^(8/3),0))*360+('Preliminary calcs'!$B$34*R37*0.25*(IF(D36&lt;&gt;0,D36^1.5,0)+IF(E36&lt;&gt;0,E36^1.5,0)+IF(D37&lt;&gt;0,D37^1.5,0)+IF(E37&lt;&gt;0,E37^1.5,0))*'Preliminary calcs'!$B$20*360)+(1-'Preliminary calcs'!$B$39)*$F37*360</f>
        <v>32.50993750227802</v>
      </c>
      <c r="M37" s="1">
        <v>29</v>
      </c>
      <c r="N37">
        <f>0.5*(1/(2*'Preliminary calcs'!$B$14)*(D37^2-D36^2)*'Preliminary calcs'!$B$20+1/(2*'Preliminary calcs'!$B$14)*(C37^2-C36^2))*'Preliminary calcs'!$B$20</f>
        <v>-5.615821493844677</v>
      </c>
      <c r="O37">
        <f>0.5*(1/(2*'Preliminary calcs'!$B$14)*(E37^2-E36^2)*'Preliminary calcs'!$B$20+1/(2*'Preliminary calcs'!$B$14)*(D37^2-D36^2))*'Preliminary calcs'!$B$20</f>
        <v>-11.456062605006267</v>
      </c>
      <c r="P37" s="1">
        <v>29</v>
      </c>
      <c r="Q37">
        <f>'Preliminary calcs'!$B$48*'Preliminary calcs'!$B$16^'Preliminary calcs'!$B$46*AVERAGE(P70:Q71)^'Preliminary calcs'!$B$47</f>
        <v>0.17606775823283496</v>
      </c>
      <c r="R37">
        <f>'Preliminary calcs'!$B$48*'Preliminary calcs'!$B$16^'Preliminary calcs'!$B$46*AVERAGE(Q70:R71)^'Preliminary calcs'!$B$47</f>
        <v>0.24912647025243143</v>
      </c>
      <c r="S37" s="1">
        <v>29</v>
      </c>
      <c r="T37">
        <v>0</v>
      </c>
      <c r="U37">
        <f>Q37*IF(D37&lt;&gt;0,D37^1.5,0)*'Preliminary calcs'!$B$34*'Preliminary calcs'!$B$20</f>
        <v>0.048050416575309327</v>
      </c>
      <c r="V37">
        <f>R37*IF(E37&lt;&gt;0,E37^1.5,0)*'Preliminary calcs'!$B$34*'Preliminary calcs'!$B$20</f>
        <v>0.05828999618734333</v>
      </c>
      <c r="W37" s="1">
        <v>29</v>
      </c>
      <c r="X37">
        <f>'Stage-Q'!$I$2*IF(C37&lt;&gt;0,C37^(8/3),0)</f>
        <v>0</v>
      </c>
      <c r="Y37">
        <f>'Stage-Q'!$I$2*IF(D37&lt;&gt;0,D37^(8/3),0)</f>
        <v>0.018669603504402953</v>
      </c>
      <c r="Z37">
        <f>'Stage-Q'!$I$2*IF(E37&lt;&gt;0,E37^(8/3),0)</f>
        <v>0.014200472393118311</v>
      </c>
      <c r="AA37" s="1">
        <v>29</v>
      </c>
      <c r="AB37">
        <f>X37*'Preliminary calcs'!$B$39</f>
        <v>0</v>
      </c>
      <c r="AC37">
        <f t="shared" si="0"/>
        <v>0.018669603504402953</v>
      </c>
      <c r="AD37">
        <f t="shared" si="1"/>
        <v>0.014200472393118311</v>
      </c>
    </row>
    <row r="38" spans="1:30" ht="12.75">
      <c r="A38">
        <v>3</v>
      </c>
      <c r="B38" s="1">
        <v>30</v>
      </c>
      <c r="C38" s="4">
        <v>0</v>
      </c>
      <c r="D38">
        <v>0.07511449284521464</v>
      </c>
      <c r="E38">
        <v>0.06740031251556663</v>
      </c>
      <c r="F38">
        <f>'Preliminary calcs'!K33</f>
        <v>0.0397310193964449</v>
      </c>
      <c r="G38" s="1">
        <v>30</v>
      </c>
      <c r="H38">
        <f>IF(D38&lt;&gt;0,AVERAGE('Stage-Q'!$I$2*C37^(8/3),'Stage-Q'!$I$2*C38^(8/3))*360+AVERAGE($F37,$F38)*360,0)</f>
        <v>14.30232839788807</v>
      </c>
      <c r="I38">
        <f>IF(E38&lt;&gt;0,AVERAGE('Stage-Q'!$I$2*D37^(8/3),'Stage-Q'!$I$2*D38^(8/3))*360+AVERAGE($F37,$F38)*360,0)</f>
        <v>20.98894837138186</v>
      </c>
      <c r="J38" s="1">
        <v>30</v>
      </c>
      <c r="K38">
        <f>AVERAGE('Stage-Q'!$I$2*IF(D37&lt;&gt;0,D37^(8/3),0),'Stage-Q'!$I$2*IF(D38&lt;&gt;0,D38^(8/3),0))*360+('Preliminary calcs'!$B$34*Q38*0.25*(IF(C37&lt;&gt;0,C37^1.5,0)+IF(D37&lt;&gt;0,D37^1.5,0)+IF(C38&lt;&gt;0,C38^1.5,0)+IF(D38&lt;&gt;0,D38^1.5,0))*'Preliminary calcs'!$B$20*360)+(1-'Preliminary calcs'!$B$39)*$F38*360</f>
        <v>19.772906209003473</v>
      </c>
      <c r="L38">
        <f>AVERAGE('Stage-Q'!$I$2*IF(E37&lt;&gt;0,E37^(8/3),0),'Stage-Q'!$I$2*IF(E38&lt;&gt;0,E38^(8/3),0))*360+('Preliminary calcs'!$B$34*R38*0.25*(IF(D37&lt;&gt;0,D37^1.5,0)+IF(E37&lt;&gt;0,E37^1.5,0)+IF(D38&lt;&gt;0,D38^1.5,0)+IF(E38&lt;&gt;0,E38^1.5,0))*'Preliminary calcs'!$B$20*360)+(1-'Preliminary calcs'!$B$39)*$F38*360</f>
        <v>32.044434423209985</v>
      </c>
      <c r="M38" s="1">
        <v>30</v>
      </c>
      <c r="N38">
        <f>0.5*(1/(2*'Preliminary calcs'!$B$14)*(D38^2-D37^2)*'Preliminary calcs'!$B$20+1/(2*'Preliminary calcs'!$B$14)*(C38^2-C37^2))*'Preliminary calcs'!$B$20</f>
        <v>-5.469574076903119</v>
      </c>
      <c r="O38">
        <f>0.5*(1/(2*'Preliminary calcs'!$B$14)*(E38^2-E37^2)*'Preliminary calcs'!$B$20+1/(2*'Preliminary calcs'!$B$14)*(D38^2-D37^2))*'Preliminary calcs'!$B$20</f>
        <v>-11.056802527592955</v>
      </c>
      <c r="P38" s="1">
        <v>30</v>
      </c>
      <c r="Q38">
        <f>'Preliminary calcs'!$B$48*'Preliminary calcs'!$B$16^'Preliminary calcs'!$B$46*AVERAGE(P71:Q72)^'Preliminary calcs'!$B$47</f>
        <v>0.17556331843454284</v>
      </c>
      <c r="R38">
        <f>'Preliminary calcs'!$B$48*'Preliminary calcs'!$B$16^'Preliminary calcs'!$B$46*AVERAGE(Q71:R72)^'Preliminary calcs'!$B$47</f>
        <v>0.24791944994352383</v>
      </c>
      <c r="S38" s="1">
        <v>30</v>
      </c>
      <c r="T38">
        <v>0</v>
      </c>
      <c r="U38">
        <f>Q38*IF(D38&lt;&gt;0,D38^1.5,0)*'Preliminary calcs'!$B$34*'Preliminary calcs'!$B$20</f>
        <v>0.04763594667172466</v>
      </c>
      <c r="V38">
        <f>R38*IF(E38&lt;&gt;0,E38^1.5,0)*'Preliminary calcs'!$B$34*'Preliminary calcs'!$B$20</f>
        <v>0.05717667224680526</v>
      </c>
      <c r="W38" s="1">
        <v>30</v>
      </c>
      <c r="X38">
        <f>'Stage-Q'!$I$2*IF(C38&lt;&gt;0,C38^(8/3),0)</f>
        <v>0</v>
      </c>
      <c r="Y38">
        <f>'Stage-Q'!$I$2*IF(D38&lt;&gt;0,D38^(8/3),0)</f>
        <v>0.018478285237229213</v>
      </c>
      <c r="Z38">
        <f>'Stage-Q'!$I$2*IF(E38&lt;&gt;0,E38^(8/3),0)</f>
        <v>0.013840872110922763</v>
      </c>
      <c r="AA38" s="1">
        <v>30</v>
      </c>
      <c r="AB38">
        <f>X38*'Preliminary calcs'!$B$39</f>
        <v>0</v>
      </c>
      <c r="AC38">
        <f t="shared" si="0"/>
        <v>0.018478285237229213</v>
      </c>
      <c r="AD38">
        <f t="shared" si="1"/>
        <v>0.013840872110922763</v>
      </c>
    </row>
    <row r="39" spans="2:16" ht="12.75">
      <c r="B39" s="1"/>
      <c r="C39" s="4"/>
      <c r="D39" s="4"/>
      <c r="E39" s="4"/>
      <c r="G39" s="1"/>
      <c r="J39" s="1"/>
      <c r="M39" s="1"/>
      <c r="P39" s="1"/>
    </row>
    <row r="41" spans="2:49" ht="12.75">
      <c r="B41" t="s">
        <v>10</v>
      </c>
      <c r="C41" s="1">
        <v>0</v>
      </c>
      <c r="D41" s="1">
        <v>1</v>
      </c>
      <c r="E41" s="1">
        <v>2</v>
      </c>
      <c r="F41" t="s">
        <v>11</v>
      </c>
      <c r="G41" s="1">
        <v>0</v>
      </c>
      <c r="H41" s="1">
        <v>1</v>
      </c>
      <c r="I41" s="1">
        <v>2</v>
      </c>
      <c r="J41">
        <f>SUM(J43:J72)</f>
        <v>0.004079514124072787</v>
      </c>
      <c r="K41" t="s">
        <v>1</v>
      </c>
      <c r="L41" s="1">
        <v>0</v>
      </c>
      <c r="M41" s="1">
        <v>1</v>
      </c>
      <c r="N41" s="1">
        <v>2</v>
      </c>
      <c r="O41" t="s">
        <v>17</v>
      </c>
      <c r="P41" s="1">
        <v>0</v>
      </c>
      <c r="Q41" s="1">
        <v>1</v>
      </c>
      <c r="R41" s="1">
        <v>2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2.75">
      <c r="A42">
        <v>0</v>
      </c>
      <c r="B42" s="1">
        <v>0</v>
      </c>
      <c r="C42">
        <v>0</v>
      </c>
      <c r="D42">
        <v>0</v>
      </c>
      <c r="E42">
        <v>0</v>
      </c>
      <c r="F42" s="1">
        <v>0</v>
      </c>
      <c r="G42">
        <v>0</v>
      </c>
      <c r="H42">
        <v>0</v>
      </c>
      <c r="I42">
        <v>0</v>
      </c>
      <c r="K42" s="1">
        <v>0</v>
      </c>
      <c r="L42">
        <f>0.5*C8*C8/'Preliminary calcs'!$B$14</f>
        <v>0</v>
      </c>
      <c r="M42">
        <f>0.5*D8*D8/'Preliminary calcs'!$B$14</f>
        <v>0</v>
      </c>
      <c r="N42">
        <f>0.5*E8*E8/'Preliminary calcs'!$B$14</f>
        <v>0</v>
      </c>
      <c r="O42" s="1">
        <v>0</v>
      </c>
      <c r="P42" s="4">
        <f aca="true" t="shared" si="2" ref="P42:P72">IF(L42&lt;&gt;0,(X8/L42)^2/(2*32.2),0)</f>
        <v>0</v>
      </c>
      <c r="Q42" s="4">
        <f aca="true" t="shared" si="3" ref="Q42:Q72">IF(M42&lt;&gt;0,(Y8/M42)^2/(2*32.2),0)</f>
        <v>0</v>
      </c>
      <c r="R42" s="4">
        <f aca="true" t="shared" si="4" ref="R42:R72">IF(N42&lt;&gt;0,(Z8/N42)^2/(2*32.2),0)</f>
        <v>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2.75">
      <c r="A43">
        <v>0.1</v>
      </c>
      <c r="B43" s="1">
        <v>1</v>
      </c>
      <c r="C43">
        <v>0</v>
      </c>
      <c r="D43">
        <f aca="true" t="shared" si="5" ref="D43:D72">H9-K9-N9</f>
        <v>5.4524064173606196E-05</v>
      </c>
      <c r="E43">
        <f aca="true" t="shared" si="6" ref="E43:E72">I9-L9-O9</f>
        <v>5.44841525121229E-05</v>
      </c>
      <c r="F43" s="1">
        <v>1</v>
      </c>
      <c r="G43">
        <v>0</v>
      </c>
      <c r="H43">
        <f aca="true" t="shared" si="7" ref="H43:H72">D43^2</f>
        <v>2.9728735740075266E-09</v>
      </c>
      <c r="I43">
        <f aca="true" t="shared" si="8" ref="I43:I72">E43^2</f>
        <v>2.9685228749642684E-09</v>
      </c>
      <c r="J43">
        <f>G43+H43+I43</f>
        <v>5.9413964489717945E-09</v>
      </c>
      <c r="K43" s="1">
        <v>1</v>
      </c>
      <c r="L43">
        <f>0.5*C9*C9/'Preliminary calcs'!$B$14</f>
        <v>0</v>
      </c>
      <c r="M43">
        <f>0.5*D9*D9/'Preliminary calcs'!$B$14</f>
        <v>6.268726717188417E-10</v>
      </c>
      <c r="N43">
        <f>0.5*E9*E9/'Preliminary calcs'!$B$14</f>
        <v>6.251317739210389E-10</v>
      </c>
      <c r="O43" s="1">
        <v>1</v>
      </c>
      <c r="P43" s="4">
        <f t="shared" si="2"/>
        <v>0</v>
      </c>
      <c r="Q43" s="4">
        <f t="shared" si="3"/>
        <v>2.9041365653825313E-08</v>
      </c>
      <c r="R43" s="4">
        <f t="shared" si="4"/>
        <v>2.8987573252648833E-08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2.75">
      <c r="A44">
        <v>0.2</v>
      </c>
      <c r="B44" s="1">
        <v>2</v>
      </c>
      <c r="C44">
        <v>0</v>
      </c>
      <c r="D44">
        <f t="shared" si="5"/>
        <v>0.006518022247335088</v>
      </c>
      <c r="E44">
        <f t="shared" si="6"/>
        <v>-0.0029749032525989427</v>
      </c>
      <c r="F44" s="1">
        <v>2</v>
      </c>
      <c r="G44">
        <v>0</v>
      </c>
      <c r="H44">
        <f t="shared" si="7"/>
        <v>4.2484614016755153E-05</v>
      </c>
      <c r="I44">
        <f t="shared" si="8"/>
        <v>8.850049362323768E-06</v>
      </c>
      <c r="J44">
        <f aca="true" t="shared" si="9" ref="J44:J72">G44+H44+I44</f>
        <v>5.133466337907892E-05</v>
      </c>
      <c r="K44" s="1">
        <v>2</v>
      </c>
      <c r="L44">
        <f>0.5*C10*C10/'Preliminary calcs'!$B$14</f>
        <v>0</v>
      </c>
      <c r="M44">
        <f>0.5*D10*D10/'Preliminary calcs'!$B$14</f>
        <v>1.4921684463943374E-06</v>
      </c>
      <c r="N44">
        <f>0.5*E10*E10/'Preliminary calcs'!$B$14</f>
        <v>1.9548824722585073E-06</v>
      </c>
      <c r="O44" s="1">
        <v>2</v>
      </c>
      <c r="P44" s="4">
        <f t="shared" si="2"/>
        <v>0</v>
      </c>
      <c r="Q44" s="4">
        <f t="shared" si="3"/>
        <v>5.177372089169661E-06</v>
      </c>
      <c r="R44" s="4">
        <f t="shared" si="4"/>
        <v>6.198851681172374E-06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2.75">
      <c r="A45">
        <v>0.3</v>
      </c>
      <c r="B45" s="1">
        <v>3</v>
      </c>
      <c r="C45">
        <v>0</v>
      </c>
      <c r="D45">
        <f t="shared" si="5"/>
        <v>0.0008280923522590022</v>
      </c>
      <c r="E45">
        <f t="shared" si="6"/>
        <v>0.01453240386899679</v>
      </c>
      <c r="F45" s="1">
        <v>3</v>
      </c>
      <c r="G45">
        <v>0</v>
      </c>
      <c r="H45">
        <f t="shared" si="7"/>
        <v>6.857369438698475E-07</v>
      </c>
      <c r="I45">
        <f t="shared" si="8"/>
        <v>0.00021119076221163288</v>
      </c>
      <c r="J45">
        <f t="shared" si="9"/>
        <v>0.00021187649915550274</v>
      </c>
      <c r="K45" s="1">
        <v>3</v>
      </c>
      <c r="L45">
        <f>0.5*C11*C11/'Preliminary calcs'!$B$14</f>
        <v>0</v>
      </c>
      <c r="M45">
        <f>0.5*D11*D11/'Preliminary calcs'!$B$14</f>
        <v>3.202466624339441E-05</v>
      </c>
      <c r="N45">
        <f>0.5*E11*E11/'Preliminary calcs'!$B$14</f>
        <v>3.153084003898906E-05</v>
      </c>
      <c r="O45" s="1">
        <v>3</v>
      </c>
      <c r="P45" s="4">
        <f t="shared" si="2"/>
        <v>0</v>
      </c>
      <c r="Q45" s="4">
        <f t="shared" si="3"/>
        <v>3.9984090176645924E-05</v>
      </c>
      <c r="R45" s="4">
        <f t="shared" si="4"/>
        <v>3.9571985165175015E-05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2.75">
      <c r="A46">
        <v>0.4</v>
      </c>
      <c r="B46" s="1">
        <v>4</v>
      </c>
      <c r="C46">
        <v>0</v>
      </c>
      <c r="D46">
        <f t="shared" si="5"/>
        <v>-0.0035911763333489333</v>
      </c>
      <c r="E46">
        <f t="shared" si="6"/>
        <v>0.007208937060944276</v>
      </c>
      <c r="F46" s="1">
        <v>4</v>
      </c>
      <c r="G46">
        <v>0</v>
      </c>
      <c r="H46">
        <f t="shared" si="7"/>
        <v>1.2896547457205489E-05</v>
      </c>
      <c r="I46">
        <f t="shared" si="8"/>
        <v>5.19687735486559E-05</v>
      </c>
      <c r="J46">
        <f t="shared" si="9"/>
        <v>6.486532100586139E-05</v>
      </c>
      <c r="K46" s="1">
        <v>4</v>
      </c>
      <c r="L46">
        <f>0.5*C12*C12/'Preliminary calcs'!$B$14</f>
        <v>0</v>
      </c>
      <c r="M46">
        <f>0.5*D12*D12/'Preliminary calcs'!$B$14</f>
        <v>0.000150519990753883</v>
      </c>
      <c r="N46">
        <f>0.5*E12*E12/'Preliminary calcs'!$B$14</f>
        <v>0.00014805657996266907</v>
      </c>
      <c r="O46" s="1">
        <v>4</v>
      </c>
      <c r="P46" s="4">
        <f t="shared" si="2"/>
        <v>0</v>
      </c>
      <c r="Q46" s="4">
        <f t="shared" si="3"/>
        <v>0.00011219158028940442</v>
      </c>
      <c r="R46" s="4">
        <f t="shared" si="4"/>
        <v>0.0001109641316265331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2.75">
      <c r="A47">
        <v>0.5</v>
      </c>
      <c r="B47" s="1">
        <v>5</v>
      </c>
      <c r="C47">
        <v>0</v>
      </c>
      <c r="D47">
        <f t="shared" si="5"/>
        <v>-0.003411602124785862</v>
      </c>
      <c r="E47">
        <f t="shared" si="6"/>
        <v>0.013319431235970125</v>
      </c>
      <c r="F47" s="1">
        <v>5</v>
      </c>
      <c r="G47">
        <v>0</v>
      </c>
      <c r="H47">
        <f t="shared" si="7"/>
        <v>1.1639029057843408E-05</v>
      </c>
      <c r="I47">
        <f t="shared" si="8"/>
        <v>0.00017740724844973665</v>
      </c>
      <c r="J47">
        <f t="shared" si="9"/>
        <v>0.00018904627750758005</v>
      </c>
      <c r="K47" s="1">
        <v>5</v>
      </c>
      <c r="L47">
        <f>0.5*C13*C13/'Preliminary calcs'!$B$14</f>
        <v>0</v>
      </c>
      <c r="M47">
        <f>0.5*D13*D13/'Preliminary calcs'!$B$14</f>
        <v>0.0003495187478308766</v>
      </c>
      <c r="N47">
        <f>0.5*E13*E13/'Preliminary calcs'!$B$14</f>
        <v>0.00034256724143335486</v>
      </c>
      <c r="O47" s="1">
        <v>5</v>
      </c>
      <c r="P47" s="4">
        <f t="shared" si="2"/>
        <v>0</v>
      </c>
      <c r="Q47" s="4">
        <f t="shared" si="3"/>
        <v>0.0001967332624401402</v>
      </c>
      <c r="R47" s="4">
        <f t="shared" si="4"/>
        <v>0.00019411601347824547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2.75">
      <c r="A48">
        <v>0.6</v>
      </c>
      <c r="B48" s="1">
        <v>6</v>
      </c>
      <c r="C48">
        <v>0</v>
      </c>
      <c r="D48">
        <f t="shared" si="5"/>
        <v>-0.004029334645833771</v>
      </c>
      <c r="E48">
        <f t="shared" si="6"/>
        <v>0.008731979760876918</v>
      </c>
      <c r="F48" s="1">
        <v>6</v>
      </c>
      <c r="G48">
        <v>0</v>
      </c>
      <c r="H48">
        <f t="shared" si="7"/>
        <v>1.623553768811636E-05</v>
      </c>
      <c r="I48">
        <f t="shared" si="8"/>
        <v>7.624747054436411E-05</v>
      </c>
      <c r="J48">
        <f t="shared" si="9"/>
        <v>9.248300823248047E-05</v>
      </c>
      <c r="K48" s="1">
        <v>6</v>
      </c>
      <c r="L48">
        <f>0.5*C14*C14/'Preliminary calcs'!$B$14</f>
        <v>0</v>
      </c>
      <c r="M48">
        <f>0.5*D14*D14/'Preliminary calcs'!$B$14</f>
        <v>0.000656357977577754</v>
      </c>
      <c r="N48">
        <f>0.5*E14*E14/'Preliminary calcs'!$B$14</f>
        <v>0.0006415304225858639</v>
      </c>
      <c r="O48" s="1">
        <v>6</v>
      </c>
      <c r="P48" s="4">
        <f t="shared" si="2"/>
        <v>0</v>
      </c>
      <c r="Q48" s="4">
        <f t="shared" si="3"/>
        <v>0.00029945023311245733</v>
      </c>
      <c r="R48" s="4">
        <f t="shared" si="4"/>
        <v>0.0002949232294949115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2.75">
      <c r="A49">
        <v>0.7</v>
      </c>
      <c r="B49" s="1">
        <v>7</v>
      </c>
      <c r="C49">
        <v>0</v>
      </c>
      <c r="D49">
        <f t="shared" si="5"/>
        <v>-0.005026521934086148</v>
      </c>
      <c r="E49">
        <f t="shared" si="6"/>
        <v>0.007816026765347317</v>
      </c>
      <c r="F49" s="1">
        <v>7</v>
      </c>
      <c r="G49">
        <v>0</v>
      </c>
      <c r="H49">
        <f t="shared" si="7"/>
        <v>2.5265922753849147E-05</v>
      </c>
      <c r="I49">
        <f t="shared" si="8"/>
        <v>6.109027439662565E-05</v>
      </c>
      <c r="J49">
        <f t="shared" si="9"/>
        <v>8.635619715047479E-05</v>
      </c>
      <c r="K49" s="1">
        <v>7</v>
      </c>
      <c r="L49">
        <f>0.5*C15*C15/'Preliminary calcs'!$B$14</f>
        <v>0</v>
      </c>
      <c r="M49">
        <f>0.5*D15*D15/'Preliminary calcs'!$B$14</f>
        <v>0.001149494700199681</v>
      </c>
      <c r="N49">
        <f>0.5*E15*E15/'Preliminary calcs'!$B$14</f>
        <v>0.0011208850132478918</v>
      </c>
      <c r="O49" s="1">
        <v>7</v>
      </c>
      <c r="P49" s="4">
        <f t="shared" si="2"/>
        <v>0</v>
      </c>
      <c r="Q49" s="4">
        <f t="shared" si="3"/>
        <v>0.0004350796717941819</v>
      </c>
      <c r="R49" s="4">
        <f t="shared" si="4"/>
        <v>0.0004278302795623905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2.75">
      <c r="A50">
        <v>0.8</v>
      </c>
      <c r="B50" s="1">
        <v>8</v>
      </c>
      <c r="C50">
        <v>0</v>
      </c>
      <c r="D50">
        <f t="shared" si="5"/>
        <v>-0.005511326780961667</v>
      </c>
      <c r="E50">
        <f t="shared" si="6"/>
        <v>0.009649120356497676</v>
      </c>
      <c r="F50" s="1">
        <v>8</v>
      </c>
      <c r="G50">
        <v>0</v>
      </c>
      <c r="H50">
        <f t="shared" si="7"/>
        <v>3.0374722886545295E-05</v>
      </c>
      <c r="I50">
        <f t="shared" si="8"/>
        <v>9.310552365417784E-05</v>
      </c>
      <c r="J50">
        <f t="shared" si="9"/>
        <v>0.00012348024654072314</v>
      </c>
      <c r="K50" s="1">
        <v>8</v>
      </c>
      <c r="L50">
        <f>0.5*C16*C16/'Preliminary calcs'!$B$14</f>
        <v>0</v>
      </c>
      <c r="M50">
        <f>0.5*D16*D16/'Preliminary calcs'!$B$14</f>
        <v>0.0017126191769879125</v>
      </c>
      <c r="N50">
        <f>0.5*E16*E16/'Preliminary calcs'!$B$14</f>
        <v>0.001662950458298807</v>
      </c>
      <c r="O50" s="1">
        <v>8</v>
      </c>
      <c r="P50" s="4">
        <f t="shared" si="2"/>
        <v>0</v>
      </c>
      <c r="Q50" s="4">
        <f t="shared" si="3"/>
        <v>0.0005675507194459605</v>
      </c>
      <c r="R50" s="4">
        <f t="shared" si="4"/>
        <v>0.0005565237260491626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2.75">
      <c r="A51">
        <v>0.9</v>
      </c>
      <c r="B51" s="1">
        <v>9</v>
      </c>
      <c r="C51">
        <v>0</v>
      </c>
      <c r="D51">
        <f t="shared" si="5"/>
        <v>-0.0054175694617146775</v>
      </c>
      <c r="E51">
        <f t="shared" si="6"/>
        <v>0.011878379602277889</v>
      </c>
      <c r="F51" s="1">
        <v>9</v>
      </c>
      <c r="G51">
        <v>0</v>
      </c>
      <c r="H51">
        <f t="shared" si="7"/>
        <v>2.935005887250346E-05</v>
      </c>
      <c r="I51">
        <f t="shared" si="8"/>
        <v>0.0001410959019758114</v>
      </c>
      <c r="J51">
        <f t="shared" si="9"/>
        <v>0.00017044596084831487</v>
      </c>
      <c r="K51" s="1">
        <v>9</v>
      </c>
      <c r="L51">
        <f>0.5*C17*C17/'Preliminary calcs'!$B$14</f>
        <v>0</v>
      </c>
      <c r="M51">
        <f>0.5*D17*D17/'Preliminary calcs'!$B$14</f>
        <v>0.0023229260359953784</v>
      </c>
      <c r="N51">
        <f>0.5*E17*E17/'Preliminary calcs'!$B$14</f>
        <v>0.0022442758897068533</v>
      </c>
      <c r="O51" s="1">
        <v>9</v>
      </c>
      <c r="P51" s="4">
        <f t="shared" si="2"/>
        <v>0</v>
      </c>
      <c r="Q51" s="4">
        <f t="shared" si="3"/>
        <v>0.0006954315631488065</v>
      </c>
      <c r="R51" s="4">
        <f t="shared" si="4"/>
        <v>0.0006796442379751124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2.75">
      <c r="A52">
        <v>1</v>
      </c>
      <c r="B52" s="1">
        <v>10</v>
      </c>
      <c r="C52">
        <v>0</v>
      </c>
      <c r="D52">
        <f t="shared" si="5"/>
        <v>-0.0049818180169562964</v>
      </c>
      <c r="E52">
        <f t="shared" si="6"/>
        <v>0.013279845027851067</v>
      </c>
      <c r="F52" s="1">
        <v>10</v>
      </c>
      <c r="G52">
        <v>0</v>
      </c>
      <c r="H52">
        <f t="shared" si="7"/>
        <v>2.4818510754070367E-05</v>
      </c>
      <c r="I52">
        <f t="shared" si="8"/>
        <v>0.00017635428396374072</v>
      </c>
      <c r="J52">
        <f t="shared" si="9"/>
        <v>0.0002011727947178111</v>
      </c>
      <c r="K52" s="1">
        <v>10</v>
      </c>
      <c r="L52">
        <f>0.5*C18*C18/'Preliminary calcs'!$B$14</f>
        <v>0</v>
      </c>
      <c r="M52">
        <f>0.5*D18*D18/'Preliminary calcs'!$B$14</f>
        <v>0.0029651856431927477</v>
      </c>
      <c r="N52">
        <f>0.5*E18*E18/'Preliminary calcs'!$B$14</f>
        <v>0.002849312241613287</v>
      </c>
      <c r="O52" s="1">
        <v>10</v>
      </c>
      <c r="P52" s="4">
        <f t="shared" si="2"/>
        <v>0</v>
      </c>
      <c r="Q52" s="4">
        <f t="shared" si="3"/>
        <v>0.0008183367767776362</v>
      </c>
      <c r="R52" s="4">
        <f t="shared" si="4"/>
        <v>0.000796876169294967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2.75">
      <c r="A53">
        <v>1.1</v>
      </c>
      <c r="B53" s="1">
        <v>11</v>
      </c>
      <c r="C53">
        <v>0</v>
      </c>
      <c r="D53">
        <f t="shared" si="5"/>
        <v>-0.0038929748395233332</v>
      </c>
      <c r="E53">
        <f t="shared" si="6"/>
        <v>0.014107355109040043</v>
      </c>
      <c r="F53" s="1">
        <v>11</v>
      </c>
      <c r="G53">
        <v>0</v>
      </c>
      <c r="H53">
        <f t="shared" si="7"/>
        <v>1.5155253101161723E-05</v>
      </c>
      <c r="I53">
        <f t="shared" si="8"/>
        <v>0.0001990174681725582</v>
      </c>
      <c r="J53">
        <f t="shared" si="9"/>
        <v>0.00021417272127371994</v>
      </c>
      <c r="K53" s="1">
        <v>11</v>
      </c>
      <c r="L53">
        <f>0.5*C19*C19/'Preliminary calcs'!$B$14</f>
        <v>0</v>
      </c>
      <c r="M53">
        <f>0.5*D19*D19/'Preliminary calcs'!$B$14</f>
        <v>0.005455715688712925</v>
      </c>
      <c r="N53">
        <f>0.5*E19*E19/'Preliminary calcs'!$B$14</f>
        <v>0.005273846923632172</v>
      </c>
      <c r="O53" s="1">
        <v>11</v>
      </c>
      <c r="P53" s="4">
        <f t="shared" si="2"/>
        <v>0</v>
      </c>
      <c r="Q53" s="4">
        <f t="shared" si="3"/>
        <v>0.001228754996328332</v>
      </c>
      <c r="R53" s="4">
        <f t="shared" si="4"/>
        <v>0.001201293581725903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2.75">
      <c r="A54">
        <v>1.2</v>
      </c>
      <c r="B54" s="1">
        <v>12</v>
      </c>
      <c r="C54">
        <v>0</v>
      </c>
      <c r="D54">
        <f t="shared" si="5"/>
        <v>-0.003207408392142952</v>
      </c>
      <c r="E54">
        <f t="shared" si="6"/>
        <v>0.014278467039673615</v>
      </c>
      <c r="F54" s="1">
        <v>12</v>
      </c>
      <c r="G54">
        <v>0</v>
      </c>
      <c r="H54">
        <f t="shared" si="7"/>
        <v>1.0287468593989036E-05</v>
      </c>
      <c r="I54">
        <f t="shared" si="8"/>
        <v>0.0002038746210030458</v>
      </c>
      <c r="J54">
        <f t="shared" si="9"/>
        <v>0.00021416208959703484</v>
      </c>
      <c r="K54" s="1">
        <v>12</v>
      </c>
      <c r="L54">
        <f>0.5*C20*C20/'Preliminary calcs'!$B$14</f>
        <v>0</v>
      </c>
      <c r="M54">
        <f>0.5*D20*D20/'Preliminary calcs'!$B$14</f>
        <v>0.012962490333045473</v>
      </c>
      <c r="N54">
        <f>0.5*E20*E20/'Preliminary calcs'!$B$14</f>
        <v>0.01262683764422844</v>
      </c>
      <c r="O54" s="1">
        <v>12</v>
      </c>
      <c r="P54" s="4">
        <f t="shared" si="2"/>
        <v>0</v>
      </c>
      <c r="Q54" s="4">
        <f t="shared" si="3"/>
        <v>0.002187878029106</v>
      </c>
      <c r="R54" s="4">
        <f t="shared" si="4"/>
        <v>0.0021499442956308436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2.75">
      <c r="A55">
        <v>1.3</v>
      </c>
      <c r="B55" s="1">
        <v>13</v>
      </c>
      <c r="C55">
        <v>0</v>
      </c>
      <c r="D55">
        <f t="shared" si="5"/>
        <v>-0.0030818397215739424</v>
      </c>
      <c r="E55">
        <f t="shared" si="6"/>
        <v>0.014328548689718446</v>
      </c>
      <c r="F55" s="1">
        <v>13</v>
      </c>
      <c r="G55">
        <v>0</v>
      </c>
      <c r="H55">
        <f t="shared" si="7"/>
        <v>9.497736069470955E-06</v>
      </c>
      <c r="I55">
        <f t="shared" si="8"/>
        <v>0.00020530730755363217</v>
      </c>
      <c r="J55">
        <f t="shared" si="9"/>
        <v>0.00021480504362310314</v>
      </c>
      <c r="K55" s="1">
        <v>13</v>
      </c>
      <c r="L55">
        <f>0.5*C21*C21/'Preliminary calcs'!$B$14</f>
        <v>0</v>
      </c>
      <c r="M55">
        <f>0.5*D21*D21/'Preliminary calcs'!$B$14</f>
        <v>0.02074310768094383</v>
      </c>
      <c r="N55">
        <f>0.5*E21*E21/'Preliminary calcs'!$B$14</f>
        <v>0.020147176207995405</v>
      </c>
      <c r="O55" s="1">
        <v>13</v>
      </c>
      <c r="P55" s="4">
        <f t="shared" si="2"/>
        <v>0</v>
      </c>
      <c r="Q55" s="4">
        <f t="shared" si="3"/>
        <v>0.0029932755021346655</v>
      </c>
      <c r="R55" s="4">
        <f t="shared" si="4"/>
        <v>0.0029356679621245583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2.75">
      <c r="A56">
        <v>1.4</v>
      </c>
      <c r="B56" s="1">
        <v>14</v>
      </c>
      <c r="C56">
        <v>0</v>
      </c>
      <c r="D56">
        <f t="shared" si="5"/>
        <v>-0.0029915418299708563</v>
      </c>
      <c r="E56">
        <f t="shared" si="6"/>
        <v>0.01453445822659205</v>
      </c>
      <c r="F56" s="1">
        <v>14</v>
      </c>
      <c r="G56">
        <v>0</v>
      </c>
      <c r="H56">
        <f t="shared" si="7"/>
        <v>8.949322520465379E-06</v>
      </c>
      <c r="I56">
        <f t="shared" si="8"/>
        <v>0.00021125047594054935</v>
      </c>
      <c r="J56">
        <f t="shared" si="9"/>
        <v>0.00022019979846101472</v>
      </c>
      <c r="K56" s="1">
        <v>14</v>
      </c>
      <c r="L56">
        <f>0.5*C22*C22/'Preliminary calcs'!$B$14</f>
        <v>0</v>
      </c>
      <c r="M56">
        <f>0.5*D22*D22/'Preliminary calcs'!$B$14</f>
        <v>0.028481462192142346</v>
      </c>
      <c r="N56">
        <f>0.5*E22*E22/'Preliminary calcs'!$B$14</f>
        <v>0.027525231479679363</v>
      </c>
      <c r="O56" s="1">
        <v>14</v>
      </c>
      <c r="P56" s="4">
        <f t="shared" si="2"/>
        <v>0</v>
      </c>
      <c r="Q56" s="4">
        <f t="shared" si="3"/>
        <v>0.003697762362912723</v>
      </c>
      <c r="R56" s="4">
        <f t="shared" si="4"/>
        <v>0.0036145269180733854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2.75">
      <c r="A57">
        <v>1.5</v>
      </c>
      <c r="B57" s="1">
        <v>15</v>
      </c>
      <c r="C57">
        <v>0</v>
      </c>
      <c r="D57">
        <f t="shared" si="5"/>
        <v>-0.0030143099011468166</v>
      </c>
      <c r="E57">
        <f t="shared" si="6"/>
        <v>0.014618028062386657</v>
      </c>
      <c r="F57" s="1">
        <v>15</v>
      </c>
      <c r="G57">
        <v>0</v>
      </c>
      <c r="H57">
        <f t="shared" si="7"/>
        <v>9.086064180151732E-06</v>
      </c>
      <c r="I57">
        <f t="shared" si="8"/>
        <v>0.00021368674443272378</v>
      </c>
      <c r="J57">
        <f t="shared" si="9"/>
        <v>0.0002227728086128755</v>
      </c>
      <c r="K57" s="1">
        <v>15</v>
      </c>
      <c r="L57">
        <f>0.5*C23*C23/'Preliminary calcs'!$B$14</f>
        <v>0</v>
      </c>
      <c r="M57">
        <f>0.5*D23*D23/'Preliminary calcs'!$B$14</f>
        <v>0.0341710128559446</v>
      </c>
      <c r="N57">
        <f>0.5*E23*E23/'Preliminary calcs'!$B$14</f>
        <v>0.03278344256152005</v>
      </c>
      <c r="O57" s="1">
        <v>15</v>
      </c>
      <c r="P57" s="4">
        <f t="shared" si="2"/>
        <v>0</v>
      </c>
      <c r="Q57" s="4">
        <f t="shared" si="3"/>
        <v>0.004175123995307899</v>
      </c>
      <c r="R57" s="4">
        <f t="shared" si="4"/>
        <v>0.004061319731246221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2.75">
      <c r="A58">
        <v>1.6</v>
      </c>
      <c r="B58" s="1">
        <v>16</v>
      </c>
      <c r="C58">
        <v>0</v>
      </c>
      <c r="D58">
        <f t="shared" si="5"/>
        <v>-0.0031398198071279637</v>
      </c>
      <c r="E58">
        <f t="shared" si="6"/>
        <v>0.01451395956250534</v>
      </c>
      <c r="F58" s="1">
        <v>16</v>
      </c>
      <c r="G58">
        <v>0</v>
      </c>
      <c r="H58">
        <f t="shared" si="7"/>
        <v>9.858468421233083E-06</v>
      </c>
      <c r="I58">
        <f t="shared" si="8"/>
        <v>0.00021065502218204022</v>
      </c>
      <c r="J58">
        <f t="shared" si="9"/>
        <v>0.0002205134906032733</v>
      </c>
      <c r="K58" s="1">
        <v>16</v>
      </c>
      <c r="L58">
        <f>0.5*C24*C24/'Preliminary calcs'!$B$14</f>
        <v>0</v>
      </c>
      <c r="M58">
        <f>0.5*D24*D24/'Preliminary calcs'!$B$14</f>
        <v>0.03463074749303333</v>
      </c>
      <c r="N58">
        <f>0.5*E24*E24/'Preliminary calcs'!$B$14</f>
        <v>0.03280902119118566</v>
      </c>
      <c r="O58" s="1">
        <v>16</v>
      </c>
      <c r="P58" s="4">
        <f t="shared" si="2"/>
        <v>0</v>
      </c>
      <c r="Q58" s="4">
        <f t="shared" si="3"/>
        <v>0.004212488425295882</v>
      </c>
      <c r="R58" s="4">
        <f t="shared" si="4"/>
        <v>0.004063431965983275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2.75">
      <c r="A59">
        <v>1.7</v>
      </c>
      <c r="B59" s="1">
        <v>17</v>
      </c>
      <c r="C59">
        <v>0</v>
      </c>
      <c r="D59">
        <f t="shared" si="5"/>
        <v>-0.003072165876087496</v>
      </c>
      <c r="E59">
        <f t="shared" si="6"/>
        <v>0.01441419174019698</v>
      </c>
      <c r="F59" s="1">
        <v>17</v>
      </c>
      <c r="G59">
        <v>0</v>
      </c>
      <c r="H59">
        <f t="shared" si="7"/>
        <v>9.438203170196451E-06</v>
      </c>
      <c r="I59">
        <f t="shared" si="8"/>
        <v>0.00020776892352316283</v>
      </c>
      <c r="J59">
        <f t="shared" si="9"/>
        <v>0.00021720712669335928</v>
      </c>
      <c r="K59" s="1">
        <v>17</v>
      </c>
      <c r="L59">
        <f>0.5*C25*C25/'Preliminary calcs'!$B$14</f>
        <v>0</v>
      </c>
      <c r="M59">
        <f>0.5*D25*D25/'Preliminary calcs'!$B$14</f>
        <v>0.03518354148313847</v>
      </c>
      <c r="N59">
        <f>0.5*E25*E25/'Preliminary calcs'!$B$14</f>
        <v>0.03293434424769109</v>
      </c>
      <c r="O59" s="1">
        <v>17</v>
      </c>
      <c r="P59" s="4">
        <f t="shared" si="2"/>
        <v>0</v>
      </c>
      <c r="Q59" s="4">
        <f t="shared" si="3"/>
        <v>0.004257197955478471</v>
      </c>
      <c r="R59" s="4">
        <f t="shared" si="4"/>
        <v>0.004073772984936647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2.75">
      <c r="A60">
        <v>1.8</v>
      </c>
      <c r="B60" s="1">
        <v>18</v>
      </c>
      <c r="C60">
        <v>0</v>
      </c>
      <c r="D60">
        <f t="shared" si="5"/>
        <v>-0.002927099194101501</v>
      </c>
      <c r="E60">
        <f t="shared" si="6"/>
        <v>0.014213354341776618</v>
      </c>
      <c r="F60" s="1">
        <v>18</v>
      </c>
      <c r="G60">
        <v>0</v>
      </c>
      <c r="H60">
        <f t="shared" si="7"/>
        <v>8.567909692109658E-06</v>
      </c>
      <c r="I60">
        <f t="shared" si="8"/>
        <v>0.00020201944164490026</v>
      </c>
      <c r="J60">
        <f t="shared" si="9"/>
        <v>0.00021058735133700992</v>
      </c>
      <c r="K60" s="1">
        <v>18</v>
      </c>
      <c r="L60">
        <f>0.5*C26*C26/'Preliminary calcs'!$B$14</f>
        <v>0</v>
      </c>
      <c r="M60">
        <f>0.5*D26*D26/'Preliminary calcs'!$B$14</f>
        <v>0.035722795914736004</v>
      </c>
      <c r="N60">
        <f>0.5*E26*E26/'Preliminary calcs'!$B$14</f>
        <v>0.03305268724132578</v>
      </c>
      <c r="O60" s="1">
        <v>18</v>
      </c>
      <c r="P60" s="4">
        <f t="shared" si="2"/>
        <v>0</v>
      </c>
      <c r="Q60" s="4">
        <f t="shared" si="3"/>
        <v>0.004300587335913285</v>
      </c>
      <c r="R60" s="4">
        <f t="shared" si="4"/>
        <v>0.0040835260100007586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2.75">
      <c r="A61">
        <v>1.9</v>
      </c>
      <c r="B61" s="1">
        <v>19</v>
      </c>
      <c r="C61">
        <v>0</v>
      </c>
      <c r="D61">
        <f t="shared" si="5"/>
        <v>-0.002756955394126237</v>
      </c>
      <c r="E61">
        <f t="shared" si="6"/>
        <v>0.01385196992099269</v>
      </c>
      <c r="F61" s="1">
        <v>19</v>
      </c>
      <c r="G61">
        <v>0</v>
      </c>
      <c r="H61">
        <f t="shared" si="7"/>
        <v>7.600803045201755E-06</v>
      </c>
      <c r="I61">
        <f t="shared" si="8"/>
        <v>0.00019187707069208624</v>
      </c>
      <c r="J61">
        <f t="shared" si="9"/>
        <v>0.000199477873737288</v>
      </c>
      <c r="K61" s="1">
        <v>19</v>
      </c>
      <c r="L61">
        <f>0.5*C27*C27/'Preliminary calcs'!$B$14</f>
        <v>0</v>
      </c>
      <c r="M61">
        <f>0.5*D27*D27/'Preliminary calcs'!$B$14</f>
        <v>0.03624875497423647</v>
      </c>
      <c r="N61">
        <f>0.5*E27*E27/'Preliminary calcs'!$B$14</f>
        <v>0.03316434489417082</v>
      </c>
      <c r="O61" s="1">
        <v>19</v>
      </c>
      <c r="P61" s="4">
        <f t="shared" si="2"/>
        <v>0</v>
      </c>
      <c r="Q61" s="4">
        <f t="shared" si="3"/>
        <v>0.004342697110889237</v>
      </c>
      <c r="R61" s="4">
        <f t="shared" si="4"/>
        <v>0.00409271740784709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2.75">
      <c r="A62">
        <v>2</v>
      </c>
      <c r="B62" s="1">
        <v>20</v>
      </c>
      <c r="C62">
        <v>0</v>
      </c>
      <c r="D62">
        <f t="shared" si="5"/>
        <v>-0.0025796731996514666</v>
      </c>
      <c r="E62">
        <f t="shared" si="6"/>
        <v>0.013364820687757906</v>
      </c>
      <c r="F62" s="1">
        <v>20</v>
      </c>
      <c r="G62">
        <v>0</v>
      </c>
      <c r="H62">
        <f t="shared" si="7"/>
        <v>6.654713817000035E-06</v>
      </c>
      <c r="I62">
        <f t="shared" si="8"/>
        <v>0.0001786184320159217</v>
      </c>
      <c r="J62">
        <f t="shared" si="9"/>
        <v>0.00018527314583292173</v>
      </c>
      <c r="K62" s="1">
        <v>20</v>
      </c>
      <c r="L62">
        <f>0.5*C28*C28/'Preliminary calcs'!$B$14</f>
        <v>0</v>
      </c>
      <c r="M62">
        <f>0.5*D28*D28/'Preliminary calcs'!$B$14</f>
        <v>0.03676166721104052</v>
      </c>
      <c r="N62">
        <f>0.5*E28*E28/'Preliminary calcs'!$B$14</f>
        <v>0.03326960304062239</v>
      </c>
      <c r="O62" s="1">
        <v>20</v>
      </c>
      <c r="P62" s="4">
        <f t="shared" si="2"/>
        <v>0</v>
      </c>
      <c r="Q62" s="4">
        <f t="shared" si="3"/>
        <v>0.004383566603345767</v>
      </c>
      <c r="R62" s="4">
        <f t="shared" si="4"/>
        <v>0.004101372572372064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2.75">
      <c r="A63">
        <v>2.1</v>
      </c>
      <c r="B63" s="1">
        <v>21</v>
      </c>
      <c r="C63">
        <v>0</v>
      </c>
      <c r="D63">
        <f t="shared" si="5"/>
        <v>-0.002412792891182569</v>
      </c>
      <c r="E63">
        <f t="shared" si="6"/>
        <v>0.012691841833469608</v>
      </c>
      <c r="F63" s="1">
        <v>21</v>
      </c>
      <c r="G63">
        <v>0</v>
      </c>
      <c r="H63">
        <f t="shared" si="7"/>
        <v>5.821569535741141E-06</v>
      </c>
      <c r="I63">
        <f t="shared" si="8"/>
        <v>0.0001610828491258092</v>
      </c>
      <c r="J63">
        <f t="shared" si="9"/>
        <v>0.00016690441866155033</v>
      </c>
      <c r="K63" s="1">
        <v>21</v>
      </c>
      <c r="L63">
        <f>0.5*C29*C29/'Preliminary calcs'!$B$14</f>
        <v>0</v>
      </c>
      <c r="M63">
        <f>0.5*D29*D29/'Preliminary calcs'!$B$14</f>
        <v>0.037091538994168415</v>
      </c>
      <c r="N63">
        <f>0.5*E29*E29/'Preliminary calcs'!$B$14</f>
        <v>0.03320041287466006</v>
      </c>
      <c r="O63" s="1">
        <v>21</v>
      </c>
      <c r="P63" s="4">
        <f t="shared" si="2"/>
        <v>0</v>
      </c>
      <c r="Q63" s="4">
        <f t="shared" si="3"/>
        <v>0.0044097507791387575</v>
      </c>
      <c r="R63" s="4">
        <f t="shared" si="4"/>
        <v>0.004095684234787256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2.75">
      <c r="A64">
        <v>2.2</v>
      </c>
      <c r="B64" s="1">
        <v>22</v>
      </c>
      <c r="C64">
        <v>0</v>
      </c>
      <c r="D64">
        <f t="shared" si="5"/>
        <v>-0.0022547632917584437</v>
      </c>
      <c r="E64">
        <f t="shared" si="6"/>
        <v>0.011933023327081571</v>
      </c>
      <c r="F64" s="1">
        <v>22</v>
      </c>
      <c r="G64">
        <v>0</v>
      </c>
      <c r="H64">
        <f t="shared" si="7"/>
        <v>5.083957501861373E-06</v>
      </c>
      <c r="I64">
        <f t="shared" si="8"/>
        <v>0.00014239704572467293</v>
      </c>
      <c r="J64">
        <f t="shared" si="9"/>
        <v>0.0001474810032265343</v>
      </c>
      <c r="K64" s="1">
        <v>22</v>
      </c>
      <c r="L64">
        <f>0.5*C30*C30/'Preliminary calcs'!$B$14</f>
        <v>0</v>
      </c>
      <c r="M64">
        <f>0.5*D30*D30/'Preliminary calcs'!$B$14</f>
        <v>0.036956319374596855</v>
      </c>
      <c r="N64">
        <f>0.5*E30*E30/'Preliminary calcs'!$B$14</f>
        <v>0.03267999370041773</v>
      </c>
      <c r="O64" s="1">
        <v>22</v>
      </c>
      <c r="P64" s="4">
        <f t="shared" si="2"/>
        <v>0</v>
      </c>
      <c r="Q64" s="4">
        <f t="shared" si="3"/>
        <v>0.004399026901108061</v>
      </c>
      <c r="R64" s="4">
        <f t="shared" si="4"/>
        <v>0.004052771510194272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2.75">
      <c r="A65">
        <v>2.3</v>
      </c>
      <c r="B65" s="1">
        <v>23</v>
      </c>
      <c r="C65">
        <v>0</v>
      </c>
      <c r="D65">
        <f t="shared" si="5"/>
        <v>-0.0020916501964727274</v>
      </c>
      <c r="E65">
        <f t="shared" si="6"/>
        <v>0.01100007431520389</v>
      </c>
      <c r="F65" s="1">
        <v>23</v>
      </c>
      <c r="G65">
        <v>0</v>
      </c>
      <c r="H65">
        <f t="shared" si="7"/>
        <v>4.375000544404399E-06</v>
      </c>
      <c r="I65">
        <f t="shared" si="8"/>
        <v>0.00012100163494000831</v>
      </c>
      <c r="J65">
        <f t="shared" si="9"/>
        <v>0.00012537663548441272</v>
      </c>
      <c r="K65" s="1">
        <v>23</v>
      </c>
      <c r="L65">
        <f>0.5*C31*C31/'Preliminary calcs'!$B$14</f>
        <v>0</v>
      </c>
      <c r="M65">
        <f>0.5*D31*D31/'Preliminary calcs'!$B$14</f>
        <v>0.036824753953291406</v>
      </c>
      <c r="N65">
        <f>0.5*E31*E31/'Preliminary calcs'!$B$14</f>
        <v>0.032177257354120664</v>
      </c>
      <c r="O65" s="1">
        <v>23</v>
      </c>
      <c r="P65" s="4">
        <f t="shared" si="2"/>
        <v>0</v>
      </c>
      <c r="Q65" s="4">
        <f t="shared" si="3"/>
        <v>0.004388580266057858</v>
      </c>
      <c r="R65" s="4">
        <f t="shared" si="4"/>
        <v>0.004011100030561268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2.75">
      <c r="A66">
        <v>2.4</v>
      </c>
      <c r="B66" s="1">
        <v>24</v>
      </c>
      <c r="C66">
        <v>0</v>
      </c>
      <c r="D66">
        <f t="shared" si="5"/>
        <v>-0.0019507583228315362</v>
      </c>
      <c r="E66">
        <f t="shared" si="6"/>
        <v>0.009988501081936718</v>
      </c>
      <c r="F66" s="1">
        <v>24</v>
      </c>
      <c r="G66">
        <v>0</v>
      </c>
      <c r="H66">
        <f t="shared" si="7"/>
        <v>3.805458034096508E-06</v>
      </c>
      <c r="I66">
        <f t="shared" si="8"/>
        <v>9.977015386385098E-05</v>
      </c>
      <c r="J66">
        <f t="shared" si="9"/>
        <v>0.0001035756118979475</v>
      </c>
      <c r="K66" s="1">
        <v>24</v>
      </c>
      <c r="L66">
        <f>0.5*C32*C32/'Preliminary calcs'!$B$14</f>
        <v>0</v>
      </c>
      <c r="M66">
        <f>0.5*D32*D32/'Preliminary calcs'!$B$14</f>
        <v>0.036696740793189436</v>
      </c>
      <c r="N66">
        <f>0.5*E32*E32/'Preliminary calcs'!$B$14</f>
        <v>0.031691584921658474</v>
      </c>
      <c r="O66" s="1">
        <v>24</v>
      </c>
      <c r="P66" s="4">
        <f t="shared" si="2"/>
        <v>0</v>
      </c>
      <c r="Q66" s="4">
        <f t="shared" si="3"/>
        <v>0.004378403741389327</v>
      </c>
      <c r="R66" s="4">
        <f t="shared" si="4"/>
        <v>0.0039706363688283616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2.75">
      <c r="A67">
        <v>2.5</v>
      </c>
      <c r="B67" s="1">
        <v>25</v>
      </c>
      <c r="C67">
        <v>0</v>
      </c>
      <c r="D67">
        <f t="shared" si="5"/>
        <v>-0.0017973912787656587</v>
      </c>
      <c r="E67">
        <f t="shared" si="6"/>
        <v>0.00886426352806069</v>
      </c>
      <c r="F67" s="1">
        <v>25</v>
      </c>
      <c r="G67">
        <v>0</v>
      </c>
      <c r="H67">
        <f t="shared" si="7"/>
        <v>3.23061540898285E-06</v>
      </c>
      <c r="I67">
        <f t="shared" si="8"/>
        <v>7.857516789490695E-05</v>
      </c>
      <c r="J67">
        <f t="shared" si="9"/>
        <v>8.18057833038898E-05</v>
      </c>
      <c r="K67" s="1">
        <v>25</v>
      </c>
      <c r="L67">
        <f>0.5*C33*C33/'Preliminary calcs'!$B$14</f>
        <v>0</v>
      </c>
      <c r="M67">
        <f>0.5*D33*D33/'Preliminary calcs'!$B$14</f>
        <v>0.0365721793597939</v>
      </c>
      <c r="N67">
        <f>0.5*E33*E33/'Preliminary calcs'!$B$14</f>
        <v>0.03122238261100522</v>
      </c>
      <c r="O67" s="1">
        <v>25</v>
      </c>
      <c r="P67" s="4">
        <f t="shared" si="2"/>
        <v>0</v>
      </c>
      <c r="Q67" s="4">
        <f t="shared" si="3"/>
        <v>0.0043684902497918504</v>
      </c>
      <c r="R67" s="4">
        <f t="shared" si="4"/>
        <v>0.003931348139473259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2.75">
      <c r="A68">
        <v>2.6</v>
      </c>
      <c r="B68" s="1">
        <v>26</v>
      </c>
      <c r="C68">
        <v>0</v>
      </c>
      <c r="D68">
        <f t="shared" si="5"/>
        <v>-0.0016414547197416418</v>
      </c>
      <c r="E68">
        <f t="shared" si="6"/>
        <v>0.007668537238908257</v>
      </c>
      <c r="F68" s="1">
        <v>26</v>
      </c>
      <c r="G68">
        <v>0</v>
      </c>
      <c r="H68">
        <f t="shared" si="7"/>
        <v>2.694373596962112E-06</v>
      </c>
      <c r="I68">
        <f t="shared" si="8"/>
        <v>5.880646338452268E-05</v>
      </c>
      <c r="J68">
        <f t="shared" si="9"/>
        <v>6.150083698148479E-05</v>
      </c>
      <c r="K68" s="1">
        <v>26</v>
      </c>
      <c r="L68">
        <f>0.5*C34*C34/'Preliminary calcs'!$B$14</f>
        <v>0</v>
      </c>
      <c r="M68">
        <f>0.5*D34*D34/'Preliminary calcs'!$B$14</f>
        <v>0.03640228908794086</v>
      </c>
      <c r="N68">
        <f>0.5*E34*E34/'Preliminary calcs'!$B$14</f>
        <v>0.030720935473914423</v>
      </c>
      <c r="O68" s="1">
        <v>26</v>
      </c>
      <c r="P68" s="4">
        <f t="shared" si="2"/>
        <v>0</v>
      </c>
      <c r="Q68" s="4">
        <f t="shared" si="3"/>
        <v>0.004354951000384789</v>
      </c>
      <c r="R68" s="4">
        <f t="shared" si="4"/>
        <v>0.003889141705621154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.75">
      <c r="A69">
        <v>2.7</v>
      </c>
      <c r="B69" s="1">
        <v>27</v>
      </c>
      <c r="C69">
        <v>0</v>
      </c>
      <c r="D69">
        <f t="shared" si="5"/>
        <v>-0.0014759915961573</v>
      </c>
      <c r="E69">
        <f t="shared" si="6"/>
        <v>0.006339722392713298</v>
      </c>
      <c r="F69" s="1">
        <v>27</v>
      </c>
      <c r="G69">
        <v>0</v>
      </c>
      <c r="H69">
        <f t="shared" si="7"/>
        <v>2.178551191926974E-06</v>
      </c>
      <c r="I69">
        <f t="shared" si="8"/>
        <v>4.019208001667043E-05</v>
      </c>
      <c r="J69">
        <f t="shared" si="9"/>
        <v>4.23706312085974E-05</v>
      </c>
      <c r="K69" s="1">
        <v>27</v>
      </c>
      <c r="L69">
        <f>0.5*C35*C35/'Preliminary calcs'!$B$14</f>
        <v>0</v>
      </c>
      <c r="M69">
        <f>0.5*D35*D35/'Preliminary calcs'!$B$14</f>
        <v>0.036106247924724555</v>
      </c>
      <c r="N69">
        <f>0.5*E35*E35/'Preliminary calcs'!$B$14</f>
        <v>0.030107445025703138</v>
      </c>
      <c r="O69" s="1">
        <v>27</v>
      </c>
      <c r="P69" s="4">
        <f t="shared" si="2"/>
        <v>0</v>
      </c>
      <c r="Q69" s="4">
        <f t="shared" si="3"/>
        <v>0.00433130782482943</v>
      </c>
      <c r="R69" s="4">
        <f t="shared" si="4"/>
        <v>0.003837190949129193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2.75">
      <c r="A70">
        <v>2.8</v>
      </c>
      <c r="B70" s="1">
        <v>28</v>
      </c>
      <c r="C70">
        <v>0</v>
      </c>
      <c r="D70">
        <f t="shared" si="5"/>
        <v>-0.0012791844803512475</v>
      </c>
      <c r="E70">
        <f t="shared" si="6"/>
        <v>0.004900048081282193</v>
      </c>
      <c r="F70" s="1">
        <v>28</v>
      </c>
      <c r="G70">
        <v>0</v>
      </c>
      <c r="H70">
        <f t="shared" si="7"/>
        <v>1.6363129347714912E-06</v>
      </c>
      <c r="I70">
        <f t="shared" si="8"/>
        <v>2.4010471198877306E-05</v>
      </c>
      <c r="J70">
        <f t="shared" si="9"/>
        <v>2.5646784133648798E-05</v>
      </c>
      <c r="K70" s="1">
        <v>28</v>
      </c>
      <c r="L70">
        <f>0.5*C36*C36/'Preliminary calcs'!$B$14</f>
        <v>0</v>
      </c>
      <c r="M70">
        <f>0.5*D36*D36/'Preliminary calcs'!$B$14</f>
        <v>0.035817938749748646</v>
      </c>
      <c r="N70">
        <f>0.5*E36*E36/'Preliminary calcs'!$B$14</f>
        <v>0.029515385202712574</v>
      </c>
      <c r="O70" s="1">
        <v>28</v>
      </c>
      <c r="P70" s="4">
        <f t="shared" si="2"/>
        <v>0</v>
      </c>
      <c r="Q70" s="4">
        <f t="shared" si="3"/>
        <v>0.004308219972112069</v>
      </c>
      <c r="R70" s="4">
        <f t="shared" si="4"/>
        <v>0.0037867193052281874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2.75">
      <c r="A71">
        <v>2.9</v>
      </c>
      <c r="B71" s="1">
        <v>29</v>
      </c>
      <c r="C71">
        <v>0</v>
      </c>
      <c r="D71">
        <f t="shared" si="5"/>
        <v>-0.0011108857913741943</v>
      </c>
      <c r="E71">
        <f t="shared" si="6"/>
        <v>0.0032618095313914353</v>
      </c>
      <c r="F71" s="1">
        <v>29</v>
      </c>
      <c r="G71">
        <v>0</v>
      </c>
      <c r="H71">
        <f t="shared" si="7"/>
        <v>1.23406724147707E-06</v>
      </c>
      <c r="I71">
        <f t="shared" si="8"/>
        <v>1.0639401419076015E-05</v>
      </c>
      <c r="J71">
        <f t="shared" si="9"/>
        <v>1.1873468660553084E-05</v>
      </c>
      <c r="K71" s="1">
        <v>29</v>
      </c>
      <c r="L71">
        <f>0.5*C37*C37/'Preliminary calcs'!$B$14</f>
        <v>0</v>
      </c>
      <c r="M71">
        <f>0.5*D37*D37/'Preliminary calcs'!$B$14</f>
        <v>0.03553714767505641</v>
      </c>
      <c r="N71">
        <f>0.5*E37*E37/'Preliminary calcs'!$B$14</f>
        <v>0.028943986027835725</v>
      </c>
      <c r="O71" s="1">
        <v>29</v>
      </c>
      <c r="P71" s="4">
        <f t="shared" si="2"/>
        <v>0</v>
      </c>
      <c r="Q71" s="4">
        <f t="shared" si="3"/>
        <v>0.004285674550152744</v>
      </c>
      <c r="R71" s="4">
        <f t="shared" si="4"/>
        <v>0.0037376879174820634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2.75">
      <c r="A72">
        <v>3</v>
      </c>
      <c r="B72" s="1">
        <v>30</v>
      </c>
      <c r="C72">
        <v>0</v>
      </c>
      <c r="D72">
        <f t="shared" si="5"/>
        <v>-0.0010037342122837245</v>
      </c>
      <c r="E72">
        <f t="shared" si="6"/>
        <v>0.0013164757648294056</v>
      </c>
      <c r="F72" s="1">
        <v>30</v>
      </c>
      <c r="G72">
        <v>0</v>
      </c>
      <c r="H72">
        <f t="shared" si="7"/>
        <v>1.007482368908829E-06</v>
      </c>
      <c r="I72">
        <f t="shared" si="8"/>
        <v>1.7331084393831685E-06</v>
      </c>
      <c r="J72">
        <f t="shared" si="9"/>
        <v>2.7405908082919974E-06</v>
      </c>
      <c r="K72" s="1">
        <v>30</v>
      </c>
      <c r="L72">
        <f>0.5*C38*C38/'Preliminary calcs'!$B$14</f>
        <v>0</v>
      </c>
      <c r="M72">
        <f>0.5*D38*D38/'Preliminary calcs'!$B$14</f>
        <v>0.035263668971211255</v>
      </c>
      <c r="N72">
        <f>0.5*E38*E38/'Preliminary calcs'!$B$14</f>
        <v>0.028392513294975302</v>
      </c>
      <c r="O72" s="1">
        <v>30</v>
      </c>
      <c r="P72" s="4">
        <f t="shared" si="2"/>
        <v>0</v>
      </c>
      <c r="Q72" s="4">
        <f t="shared" si="3"/>
        <v>0.004263659105907979</v>
      </c>
      <c r="R72" s="4">
        <f t="shared" si="4"/>
        <v>0.0036900594970712855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1:49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1:49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1:49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1:49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1:49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1:49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49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1:49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1:49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1:49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1:49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1:49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1:49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1:49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1:49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1:49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1:49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1:49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1:49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1:49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1:49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1:49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1:49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1:49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1:49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1:49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1:49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1:49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1:49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L34"/>
  <sheetViews>
    <sheetView zoomScale="97" zoomScaleNormal="97" workbookViewId="0" topLeftCell="A1">
      <selection activeCell="A32" sqref="A32"/>
    </sheetView>
  </sheetViews>
  <sheetFormatPr defaultColWidth="9.140625" defaultRowHeight="12.75"/>
  <cols>
    <col min="1" max="1" width="24.57421875" style="0" bestFit="1" customWidth="1"/>
    <col min="3" max="3" width="7.140625" style="0" customWidth="1"/>
    <col min="4" max="4" width="18.8515625" style="0" customWidth="1"/>
    <col min="5" max="5" width="11.7109375" style="0" customWidth="1"/>
    <col min="6" max="6" width="30.7109375" style="0" customWidth="1"/>
    <col min="7" max="7" width="11.57421875" style="0" customWidth="1"/>
    <col min="8" max="8" width="10.140625" style="0" bestFit="1" customWidth="1"/>
  </cols>
  <sheetData>
    <row r="1" spans="1:12" ht="12.75">
      <c r="A1" s="48" t="s">
        <v>19</v>
      </c>
      <c r="B1" s="48"/>
      <c r="C1" s="48"/>
      <c r="D1" s="48"/>
      <c r="E1" s="48"/>
      <c r="F1" s="14" t="s">
        <v>168</v>
      </c>
      <c r="G1" s="15"/>
      <c r="H1" s="15"/>
      <c r="I1" s="15"/>
      <c r="J1" s="15"/>
      <c r="K1" s="15"/>
      <c r="L1" s="15"/>
    </row>
    <row r="2" spans="6:12" ht="12.75">
      <c r="F2" s="14" t="s">
        <v>169</v>
      </c>
      <c r="G2" s="15"/>
      <c r="H2" s="15"/>
      <c r="I2" s="15"/>
      <c r="J2" s="15"/>
      <c r="K2" s="15"/>
      <c r="L2" s="15"/>
    </row>
    <row r="3" spans="1:12" ht="12.75">
      <c r="A3" s="49" t="s">
        <v>156</v>
      </c>
      <c r="B3" s="50"/>
      <c r="C3" s="51"/>
      <c r="D3" s="49" t="s">
        <v>215</v>
      </c>
      <c r="E3" s="51"/>
      <c r="F3" s="14" t="s">
        <v>199</v>
      </c>
      <c r="G3" s="15" t="str">
        <f>IF('Hyd routing'!B5&lt;=0.003,"NO","YES")</f>
        <v>YES</v>
      </c>
      <c r="H3" s="15"/>
      <c r="I3" s="15"/>
      <c r="J3" s="15"/>
      <c r="K3" s="15"/>
      <c r="L3" s="15"/>
    </row>
    <row r="4" spans="1:12" ht="12.75">
      <c r="A4" s="23"/>
      <c r="B4" s="24"/>
      <c r="C4" s="25"/>
      <c r="D4" s="23"/>
      <c r="E4" s="25"/>
      <c r="F4" s="16"/>
      <c r="G4" s="15"/>
      <c r="H4" s="15"/>
      <c r="I4" s="15"/>
      <c r="J4" s="15"/>
      <c r="K4" s="15"/>
      <c r="L4" s="15"/>
    </row>
    <row r="5" spans="1:12" ht="12.75">
      <c r="A5" s="23" t="s">
        <v>177</v>
      </c>
      <c r="B5" s="20">
        <v>8</v>
      </c>
      <c r="C5" s="25" t="s">
        <v>178</v>
      </c>
      <c r="D5" t="s">
        <v>252</v>
      </c>
      <c r="F5" s="52" t="s">
        <v>173</v>
      </c>
      <c r="G5" s="53"/>
      <c r="H5" s="54"/>
      <c r="I5" s="15"/>
      <c r="J5" s="15"/>
      <c r="K5" s="15"/>
      <c r="L5" s="15"/>
    </row>
    <row r="6" spans="1:12" ht="12.75">
      <c r="A6" s="23" t="s">
        <v>155</v>
      </c>
      <c r="B6" s="20">
        <v>96</v>
      </c>
      <c r="C6" s="25"/>
      <c r="F6" s="30"/>
      <c r="G6" s="31"/>
      <c r="H6" s="32"/>
      <c r="I6" s="15"/>
      <c r="J6" s="15"/>
      <c r="K6" s="15"/>
      <c r="L6" s="15"/>
    </row>
    <row r="7" spans="1:12" ht="12.75">
      <c r="A7" s="23"/>
      <c r="B7" s="26"/>
      <c r="C7" s="25"/>
      <c r="D7" t="s">
        <v>251</v>
      </c>
      <c r="E7" s="29" t="s">
        <v>14</v>
      </c>
      <c r="F7" s="30" t="s">
        <v>214</v>
      </c>
      <c r="G7" s="33">
        <f>'Preliminary calcs'!B23</f>
        <v>1.340907314818729</v>
      </c>
      <c r="H7" s="32" t="s">
        <v>39</v>
      </c>
      <c r="I7" s="15"/>
      <c r="J7" s="15"/>
      <c r="K7" s="15"/>
      <c r="L7" s="15"/>
    </row>
    <row r="8" spans="1:12" ht="12.75">
      <c r="A8" s="23" t="s">
        <v>157</v>
      </c>
      <c r="B8" s="26"/>
      <c r="C8" s="25"/>
      <c r="D8" t="s">
        <v>253</v>
      </c>
      <c r="E8" s="29"/>
      <c r="F8" s="30" t="s">
        <v>181</v>
      </c>
      <c r="G8" s="33">
        <f>'Erosion calcs'!B39</f>
        <v>2.9394925657051263</v>
      </c>
      <c r="H8" s="32" t="s">
        <v>96</v>
      </c>
      <c r="I8" s="18"/>
      <c r="J8" s="15"/>
      <c r="K8" s="15"/>
      <c r="L8" s="15"/>
    </row>
    <row r="9" spans="1:12" ht="12.75">
      <c r="A9" s="23"/>
      <c r="B9" s="24"/>
      <c r="C9" s="25"/>
      <c r="F9" s="30"/>
      <c r="G9" s="31"/>
      <c r="H9" s="32"/>
      <c r="I9" s="15"/>
      <c r="J9" s="15"/>
      <c r="K9" s="15"/>
      <c r="L9" s="17"/>
    </row>
    <row r="10" spans="1:12" ht="12.75">
      <c r="A10" s="23" t="s">
        <v>24</v>
      </c>
      <c r="B10" s="20">
        <v>20</v>
      </c>
      <c r="C10" s="25" t="s">
        <v>175</v>
      </c>
      <c r="D10" s="23" t="s">
        <v>279</v>
      </c>
      <c r="E10" s="24"/>
      <c r="F10" s="55" t="s">
        <v>182</v>
      </c>
      <c r="G10" s="56"/>
      <c r="H10" s="57"/>
      <c r="I10" s="15"/>
      <c r="J10" s="15"/>
      <c r="K10" s="15"/>
      <c r="L10" s="17"/>
    </row>
    <row r="11" spans="1:12" ht="12.75">
      <c r="A11" s="23" t="s">
        <v>23</v>
      </c>
      <c r="B11" s="20">
        <v>400</v>
      </c>
      <c r="C11" s="25" t="s">
        <v>175</v>
      </c>
      <c r="D11" s="23"/>
      <c r="E11" s="24"/>
      <c r="F11" s="30"/>
      <c r="G11" s="31"/>
      <c r="H11" s="32"/>
      <c r="I11" s="15"/>
      <c r="J11" s="15"/>
      <c r="K11" s="15"/>
      <c r="L11" s="17"/>
    </row>
    <row r="12" spans="1:12" ht="12.75">
      <c r="A12" s="23" t="s">
        <v>22</v>
      </c>
      <c r="B12" s="20">
        <v>0.08</v>
      </c>
      <c r="C12" s="25" t="s">
        <v>176</v>
      </c>
      <c r="D12" s="23" t="s">
        <v>216</v>
      </c>
      <c r="E12" s="29">
        <v>20</v>
      </c>
      <c r="F12" s="30" t="s">
        <v>209</v>
      </c>
      <c r="G12" s="33">
        <f>MAX('Hyd routing'!Y9:Z38)</f>
        <v>0.019766273936027055</v>
      </c>
      <c r="H12" s="32" t="s">
        <v>39</v>
      </c>
      <c r="I12" s="15"/>
      <c r="J12" s="15"/>
      <c r="K12" s="15"/>
      <c r="L12" s="17"/>
    </row>
    <row r="13" spans="1:12" ht="12.75">
      <c r="A13" s="23" t="s">
        <v>25</v>
      </c>
      <c r="B13" s="21">
        <v>0.03</v>
      </c>
      <c r="C13" s="25" t="s">
        <v>176</v>
      </c>
      <c r="D13" s="23" t="s">
        <v>217</v>
      </c>
      <c r="E13" s="29">
        <v>35</v>
      </c>
      <c r="F13" s="30" t="s">
        <v>174</v>
      </c>
      <c r="G13" s="33">
        <f>MAX('Hyd routing'!D9:E38)</f>
        <v>0.07703665516536233</v>
      </c>
      <c r="H13" s="32" t="s">
        <v>175</v>
      </c>
      <c r="I13" s="15"/>
      <c r="J13" s="15"/>
      <c r="K13" s="15"/>
      <c r="L13" s="17"/>
    </row>
    <row r="14" spans="1:12" ht="12.75">
      <c r="A14" s="23" t="s">
        <v>92</v>
      </c>
      <c r="B14" s="22">
        <v>0.5</v>
      </c>
      <c r="C14" s="25" t="s">
        <v>175</v>
      </c>
      <c r="D14" s="23" t="s">
        <v>218</v>
      </c>
      <c r="E14" s="29">
        <v>45</v>
      </c>
      <c r="F14" s="30" t="s">
        <v>183</v>
      </c>
      <c r="G14" s="34">
        <f>'Sed calcs 2'!A2</f>
        <v>59026.40513179137</v>
      </c>
      <c r="H14" s="32" t="s">
        <v>94</v>
      </c>
      <c r="I14" s="15"/>
      <c r="J14" s="15"/>
      <c r="K14" s="15"/>
      <c r="L14" s="17"/>
    </row>
    <row r="15" spans="1:12" ht="12.75">
      <c r="A15" s="27" t="s">
        <v>126</v>
      </c>
      <c r="B15" s="22">
        <v>0.5</v>
      </c>
      <c r="C15" s="28" t="s">
        <v>175</v>
      </c>
      <c r="D15" s="23"/>
      <c r="E15" s="24"/>
      <c r="F15" s="30" t="s">
        <v>145</v>
      </c>
      <c r="G15" s="43" t="str">
        <f>IF(OR(MAX('Sed calcs 2'!Z4:Z34)=0,MAX('Sed calcs 2'!Z4:Z34)=3),"no toe failure",MAX('Sed calcs 2'!Z4:Z34))</f>
        <v>no toe failure</v>
      </c>
      <c r="H15" s="32" t="s">
        <v>194</v>
      </c>
      <c r="I15" s="15"/>
      <c r="J15" s="15"/>
      <c r="K15" s="15"/>
      <c r="L15" s="17"/>
    </row>
    <row r="16" spans="4:12" ht="12.75">
      <c r="D16" s="23" t="s">
        <v>222</v>
      </c>
      <c r="E16" s="24"/>
      <c r="F16" s="30" t="s">
        <v>184</v>
      </c>
      <c r="G16" s="33">
        <f>'Sed calcs 2'!AD34</f>
        <v>0.09285601660507711</v>
      </c>
      <c r="H16" s="32" t="s">
        <v>175</v>
      </c>
      <c r="I16" s="15"/>
      <c r="J16" s="15"/>
      <c r="K16" s="15"/>
      <c r="L16" s="17"/>
    </row>
    <row r="17" spans="4:12" ht="12.75">
      <c r="D17" s="23" t="s">
        <v>225</v>
      </c>
      <c r="E17" s="24"/>
      <c r="F17" s="30" t="s">
        <v>195</v>
      </c>
      <c r="G17" s="34">
        <f>'Sed calcs 2'!R34</f>
        <v>370.4847372822902</v>
      </c>
      <c r="H17" s="32" t="s">
        <v>186</v>
      </c>
      <c r="I17" s="15"/>
      <c r="J17" s="15"/>
      <c r="K17" s="15"/>
      <c r="L17" s="17"/>
    </row>
    <row r="18" spans="1:12" ht="12.75">
      <c r="A18" s="49" t="s">
        <v>159</v>
      </c>
      <c r="B18" s="50"/>
      <c r="C18" s="51"/>
      <c r="D18" s="23" t="s">
        <v>246</v>
      </c>
      <c r="E18" s="24"/>
      <c r="F18" s="30" t="s">
        <v>201</v>
      </c>
      <c r="G18" s="34">
        <f>'Sed calcs 2'!V34</f>
        <v>0</v>
      </c>
      <c r="H18" s="32" t="s">
        <v>186</v>
      </c>
      <c r="I18" s="15"/>
      <c r="J18" s="15"/>
      <c r="K18" s="15"/>
      <c r="L18" s="17"/>
    </row>
    <row r="19" spans="1:12" ht="12.75">
      <c r="A19" s="23" t="s">
        <v>160</v>
      </c>
      <c r="B19" s="24"/>
      <c r="C19" s="25"/>
      <c r="F19" s="30" t="s">
        <v>202</v>
      </c>
      <c r="G19" s="34">
        <f>'Sed calcs 2'!AA34</f>
        <v>3564.4339414897577</v>
      </c>
      <c r="H19" s="32" t="s">
        <v>186</v>
      </c>
      <c r="I19" s="15"/>
      <c r="J19" s="15"/>
      <c r="K19" s="18"/>
      <c r="L19" s="17"/>
    </row>
    <row r="20" spans="1:12" ht="12.75">
      <c r="A20" s="23" t="s">
        <v>161</v>
      </c>
      <c r="B20" s="22"/>
      <c r="C20" s="25"/>
      <c r="D20" s="23" t="s">
        <v>244</v>
      </c>
      <c r="E20" s="24" t="s">
        <v>224</v>
      </c>
      <c r="F20" s="30"/>
      <c r="G20" s="31"/>
      <c r="H20" s="32"/>
      <c r="I20" s="19"/>
      <c r="J20" s="15"/>
      <c r="K20" s="15"/>
      <c r="L20" s="17"/>
    </row>
    <row r="21" spans="1:12" ht="12.75">
      <c r="A21" s="27" t="s">
        <v>162</v>
      </c>
      <c r="B21" s="22" t="s">
        <v>14</v>
      </c>
      <c r="C21" s="28"/>
      <c r="D21" s="22">
        <v>0.2</v>
      </c>
      <c r="E21" s="42">
        <v>100</v>
      </c>
      <c r="F21" s="55" t="s">
        <v>271</v>
      </c>
      <c r="G21" s="56"/>
      <c r="H21" s="57"/>
      <c r="I21" s="15"/>
      <c r="J21" s="15"/>
      <c r="K21" s="18"/>
      <c r="L21" s="17"/>
    </row>
    <row r="22" spans="4:12" ht="12.75">
      <c r="D22" s="22">
        <v>0.1</v>
      </c>
      <c r="E22" s="29">
        <v>65</v>
      </c>
      <c r="F22" s="30"/>
      <c r="G22" s="31"/>
      <c r="H22" s="32"/>
      <c r="I22" s="15"/>
      <c r="J22" s="15"/>
      <c r="K22" s="15"/>
      <c r="L22" s="17"/>
    </row>
    <row r="23" spans="1:12" ht="12.75">
      <c r="A23" s="49" t="s">
        <v>158</v>
      </c>
      <c r="B23" s="50"/>
      <c r="C23" s="50"/>
      <c r="D23" s="22">
        <v>0.005</v>
      </c>
      <c r="E23" s="29">
        <v>45</v>
      </c>
      <c r="F23" s="23" t="s">
        <v>272</v>
      </c>
      <c r="G23" s="47" t="str">
        <f>IF(B20="X","Nilex 2130","Nilex 2127")</f>
        <v>Nilex 2127</v>
      </c>
      <c r="H23" s="25"/>
      <c r="I23" s="15"/>
      <c r="J23" s="15"/>
      <c r="K23" s="15"/>
      <c r="L23" s="17"/>
    </row>
    <row r="24" spans="1:12" ht="12.75">
      <c r="A24" s="23"/>
      <c r="B24" s="24"/>
      <c r="C24" s="24"/>
      <c r="D24" s="22">
        <v>0.002</v>
      </c>
      <c r="E24" s="29">
        <v>35</v>
      </c>
      <c r="F24" s="30" t="s">
        <v>273</v>
      </c>
      <c r="G24" s="34">
        <f>'Sed calcs 2'!A10</f>
        <v>44210.77744371173</v>
      </c>
      <c r="H24" s="32" t="s">
        <v>94</v>
      </c>
      <c r="I24" s="15"/>
      <c r="J24" s="15"/>
      <c r="K24" s="15"/>
      <c r="L24" s="17"/>
    </row>
    <row r="25" spans="1:12" ht="12.75">
      <c r="A25" s="23" t="s">
        <v>163</v>
      </c>
      <c r="B25" s="22">
        <v>0.15</v>
      </c>
      <c r="C25" s="24" t="s">
        <v>281</v>
      </c>
      <c r="D25" s="22">
        <v>0.0005</v>
      </c>
      <c r="E25" s="29">
        <v>15</v>
      </c>
      <c r="F25" s="30" t="s">
        <v>185</v>
      </c>
      <c r="G25" s="34">
        <f>'Sed calcs 2'!S34</f>
        <v>1934.5821550796518</v>
      </c>
      <c r="H25" s="32" t="s">
        <v>186</v>
      </c>
      <c r="I25" s="15"/>
      <c r="J25" s="15"/>
      <c r="K25" s="15"/>
      <c r="L25" s="17"/>
    </row>
    <row r="26" spans="1:12" ht="12.75">
      <c r="A26" s="27" t="s">
        <v>208</v>
      </c>
      <c r="B26" s="22">
        <v>1.7</v>
      </c>
      <c r="C26" s="28"/>
      <c r="D26" s="22">
        <v>0.0001</v>
      </c>
      <c r="E26" s="42">
        <v>0</v>
      </c>
      <c r="F26" s="30"/>
      <c r="G26" s="31"/>
      <c r="H26" s="32"/>
      <c r="I26" s="15"/>
      <c r="J26" s="18"/>
      <c r="K26" s="15"/>
      <c r="L26" s="17"/>
    </row>
    <row r="27" spans="6:12" ht="12.75">
      <c r="F27" s="55" t="s">
        <v>187</v>
      </c>
      <c r="G27" s="56"/>
      <c r="H27" s="57"/>
      <c r="I27" s="15"/>
      <c r="J27" s="15"/>
      <c r="K27" s="15"/>
      <c r="L27" s="17"/>
    </row>
    <row r="28" spans="1:12" ht="12.75">
      <c r="A28" s="49" t="s">
        <v>164</v>
      </c>
      <c r="B28" s="50"/>
      <c r="C28" s="51"/>
      <c r="F28" s="30"/>
      <c r="G28" s="31"/>
      <c r="H28" s="32"/>
      <c r="I28" s="15"/>
      <c r="J28" s="18"/>
      <c r="K28" s="15"/>
      <c r="L28" s="17"/>
    </row>
    <row r="29" spans="1:12" ht="12.75">
      <c r="A29" s="23"/>
      <c r="B29" s="24"/>
      <c r="C29" s="25"/>
      <c r="F29" s="30" t="s">
        <v>188</v>
      </c>
      <c r="G29" s="33">
        <f>impoundment!F48</f>
        <v>9.57336662763677</v>
      </c>
      <c r="H29" s="32" t="s">
        <v>189</v>
      </c>
      <c r="I29" s="15"/>
      <c r="J29" s="15"/>
      <c r="K29" s="15"/>
      <c r="L29" s="17"/>
    </row>
    <row r="30" spans="1:12" ht="12.75">
      <c r="A30" s="23" t="s">
        <v>165</v>
      </c>
      <c r="B30" s="22">
        <v>90</v>
      </c>
      <c r="C30" s="25" t="s">
        <v>180</v>
      </c>
      <c r="F30" s="30" t="s">
        <v>190</v>
      </c>
      <c r="G30" s="33">
        <f>impoundment!C30</f>
        <v>6.909095444599405</v>
      </c>
      <c r="H30" s="32" t="s">
        <v>191</v>
      </c>
      <c r="I30" s="15"/>
      <c r="J30" s="15"/>
      <c r="K30" s="15"/>
      <c r="L30" s="17"/>
    </row>
    <row r="31" spans="1:12" ht="12.75">
      <c r="A31" s="23" t="s">
        <v>166</v>
      </c>
      <c r="B31" s="22">
        <v>3</v>
      </c>
      <c r="C31" s="25" t="s">
        <v>175</v>
      </c>
      <c r="F31" s="30" t="s">
        <v>192</v>
      </c>
      <c r="G31" s="33">
        <f>impoundment!B30</f>
        <v>0.18210897792157482</v>
      </c>
      <c r="H31" s="32" t="s">
        <v>175</v>
      </c>
      <c r="I31" s="15"/>
      <c r="J31" s="15"/>
      <c r="K31" s="15"/>
      <c r="L31" s="15"/>
    </row>
    <row r="32" spans="1:12" ht="12.75">
      <c r="A32" s="39" t="s">
        <v>204</v>
      </c>
      <c r="B32" s="22">
        <v>2</v>
      </c>
      <c r="C32" s="25"/>
      <c r="F32" s="30" t="s">
        <v>193</v>
      </c>
      <c r="G32" s="33">
        <f>impoundment!A30</f>
        <v>0.017098387850059103</v>
      </c>
      <c r="H32" s="32" t="s">
        <v>39</v>
      </c>
      <c r="I32" s="15"/>
      <c r="J32" s="15"/>
      <c r="K32" s="15"/>
      <c r="L32" s="15"/>
    </row>
    <row r="33" spans="1:12" ht="12.75">
      <c r="A33" s="37">
        <f>IF(impoundment!E22&lt;=0,"Warning!!! Extension does not create an impoundment","")</f>
      </c>
      <c r="B33" s="38"/>
      <c r="C33" s="28"/>
      <c r="F33" s="40">
        <f>IF(impoundment!B30&gt;impoundment!D26,"WARNING!!  Water passes end of extension","")</f>
      </c>
      <c r="G33" s="41"/>
      <c r="H33" s="35"/>
      <c r="I33" s="15"/>
      <c r="J33" s="15"/>
      <c r="K33" s="15"/>
      <c r="L33" s="15"/>
    </row>
    <row r="34" spans="6:12" ht="13.5" thickBot="1">
      <c r="F34" s="44" t="s">
        <v>270</v>
      </c>
      <c r="G34" s="45">
        <f>(G19-(1-G29/100)*G17)/(G19+G17+G25)*100</f>
        <v>55.020301688716536</v>
      </c>
      <c r="H34" s="46" t="s">
        <v>189</v>
      </c>
      <c r="I34" s="15"/>
      <c r="J34" s="15"/>
      <c r="K34" s="15"/>
      <c r="L34" s="15"/>
    </row>
  </sheetData>
  <dataValidations count="31">
    <dataValidation allowBlank="1" showInputMessage="1" showErrorMessage="1" promptTitle="Beta performance factor" prompt="1=very poor&#10;2=average&#10;3=good&#10;&gt;5 - very good" sqref="B32"/>
    <dataValidation allowBlank="1" showInputMessage="1" showErrorMessage="1" promptTitle="Rainfall depth" prompt="Enter 24-hour rainfall depth (inches)" sqref="B5"/>
    <dataValidation type="decimal" showInputMessage="1" showErrorMessage="1" promptTitle="Curve number" prompt="Enter NRCS curve number between 1 and 100" errorTitle="Data out of range!" error="Enter curve number between 1 and 100" sqref="B6">
      <formula1>1</formula1>
      <formula2>100</formula2>
    </dataValidation>
    <dataValidation type="decimal" showInputMessage="1" showErrorMessage="1" promptTitle="Length Up Slope" prompt="Enter length in feet" errorTitle="Data out of range!" error="Enter a length between 0 and 10,000 ft" sqref="B10">
      <formula1>0</formula1>
      <formula2>10000</formula2>
    </dataValidation>
    <dataValidation type="decimal" showInputMessage="1" showErrorMessage="1" promptTitle="Length along fence" prompt="Enter length along fence in feet" errorTitle="Data out of range" error="Enter a length between 0 and 10,000 ft" sqref="B11">
      <formula1>0</formula1>
      <formula2>10000</formula2>
    </dataValidation>
    <dataValidation type="decimal" allowBlank="1" showInputMessage="1" showErrorMessage="1" promptTitle="Slope to fence" prompt="Enter slope of land to fence in ft/ft" errorTitle="Data out of range" error="Enter a slope between 0.0001 and 1" sqref="B12">
      <formula1>0.0001</formula1>
      <formula2>1</formula2>
    </dataValidation>
    <dataValidation type="decimal" showInputMessage="1" showErrorMessage="1" promptTitle="Slope along toe" prompt="Enter the slope along the toe in ft/ft" errorTitle="Data out of range" error="Slope shoud be greater 0.0001 and no less than the overland slope" sqref="B13">
      <formula1>0.0001</formula1>
      <formula2>B12</formula2>
    </dataValidation>
    <dataValidation type="decimal" allowBlank="1" showInputMessage="1" showErrorMessage="1" promptTitle="Toe trench width" prompt="Enter width of toe burial trench in feet" errorTitle="Data out of range" error="Enter a width between 0.001 and 5 feet" sqref="B14">
      <formula1>0.001</formula1>
      <formula2>5</formula2>
    </dataValidation>
    <dataValidation type="decimal" showInputMessage="1" showErrorMessage="1" promptTitle="toe trench depth" prompt="Enter depth of toe burial trench in feet" errorTitle="Data out of range" error="Enter a depth between .001 and 5 ft" sqref="B15">
      <formula1>0.001</formula1>
      <formula2>5</formula2>
    </dataValidation>
    <dataValidation allowBlank="1" showInputMessage="1" showErrorMessage="1" promptTitle="Select fabric type" prompt="Put X here for Nilex 2130" sqref="B20"/>
    <dataValidation allowBlank="1" showInputMessage="1" showErrorMessage="1" promptTitle="Select fabric type" prompt="Put X here for Nilex 2127" sqref="B21"/>
    <dataValidation type="decimal" showInputMessage="1" showErrorMessage="1" promptTitle="Wischmeier's K" prompt="Enter K-value" errorTitle="Data out of range" error="Enter a K value between 0.001 and 1" sqref="B25">
      <formula1>0.001</formula1>
      <formula2>1</formula2>
    </dataValidation>
    <dataValidation type="decimal" showInputMessage="1" showErrorMessage="1" promptTitle="Cover Factor" prompt="Enter cover factor" errorTitle="Data out of range" error="Cover factor should be between 0.001 and 5" sqref="B26">
      <formula1>0.001</formula1>
      <formula2>5</formula2>
    </dataValidation>
    <dataValidation allowBlank="1" showInputMessage="1" showErrorMessage="1" promptTitle="Angle up slope" prompt="Enter a value greater than 0 degrees and less than 180 degrees" sqref="B30"/>
    <dataValidation allowBlank="1" showInputMessage="1" showErrorMessage="1" promptTitle="Length of extension" prompt="Enter length of extension in feet" sqref="B31"/>
    <dataValidation allowBlank="1" showInputMessage="1" showErrorMessage="1" promptTitle="Use CREAMS Formula" prompt="Put an X here to compute eroded size distribution using CREAMS and enter % sand-silt-clay below" sqref="E7"/>
    <dataValidation allowBlank="1" showInputMessage="1" showErrorMessage="1" promptTitle="% sand" prompt="Enter this if using CREAMS" sqref="E12"/>
    <dataValidation allowBlank="1" showInputMessage="1" showErrorMessage="1" promptTitle="% silt" prompt="Enter this if using CREAMS" sqref="E13"/>
    <dataValidation type="custom" showInputMessage="1" showErrorMessage="1" promptTitle="% clay" prompt="Enter this if using CREAMS" errorTitle="Invalid Data" error="Particle size fractions do not add up to 100.  Re-enter data." sqref="E14">
      <formula1>IF(E12+E13+E14=100,TRUE,FALSE)</formula1>
    </dataValidation>
    <dataValidation allowBlank="1" showInputMessage="1" showErrorMessage="1" promptTitle="Enter diameters" prompt="Enter diameters in order from largest to smallest" sqref="D21"/>
    <dataValidation type="custom" showInputMessage="1" showErrorMessage="1" prompt="Enter diameters in order from largest to smallest" errorTitle="Invalid data" error="Diameters must be decreasing" sqref="D26">
      <formula1>IF(D26&lt;D25,TRUE,FALSE)</formula1>
    </dataValidation>
    <dataValidation allowBlank="1" showInputMessage="1" showErrorMessage="1" promptTitle="Don't change this value!!!" sqref="E21"/>
    <dataValidation allowBlank="1" showInputMessage="1" showErrorMessage="1" prompt="Don't change this value!!!" sqref="E26"/>
    <dataValidation type="custom" showInputMessage="1" showErrorMessage="1" prompt="Enter % finer in descending order" error="Must be less than or equal to value above" sqref="E25">
      <formula1>IF(E25&lt;=E24,TRUE,FALSE)</formula1>
    </dataValidation>
    <dataValidation type="custom" showInputMessage="1" showErrorMessage="1" prompt="Enter diameters in order from largest to smallest" errorTitle="Invalid size data" error="Diameters must be decreasing" sqref="D22">
      <formula1>IF(D22&lt;D21,TRUE,FALSE)</formula1>
    </dataValidation>
    <dataValidation type="custom" showInputMessage="1" showErrorMessage="1" prompt="Enter diameters in order from largest to smallest" errorTitle="Invlaid data" error="diameters must be decreasing" sqref="D23">
      <formula1>IF(D23&lt;D22,TRUE,FALSE)</formula1>
    </dataValidation>
    <dataValidation type="custom" showInputMessage="1" showErrorMessage="1" prompt="Enter diameters in order from largest to smallest" errorTitle="Invalid data" error="diameters must be decreasing" sqref="D24">
      <formula1>IF(D24&lt;D23,TRUE,FALSE)</formula1>
    </dataValidation>
    <dataValidation type="custom" showInputMessage="1" showErrorMessage="1" prompt="Enter diameters in order from largest to smallest" errorTitle="Invalid data" error="Diameters must be decreasing" sqref="D25">
      <formula1>IF(D25&lt;D24,TRUE,FALSE)</formula1>
    </dataValidation>
    <dataValidation type="custom" showInputMessage="1" showErrorMessage="1" prompt="Enter % finer in descending order" error="Must be less than or equal to value above" sqref="E22">
      <formula1>IF(E22&lt;=E2:E21,TRUE,FALSE)</formula1>
    </dataValidation>
    <dataValidation type="custom" showInputMessage="1" showErrorMessage="1" prompt="Enter % finer in descending order" error="Must be less than or equal to value above" sqref="E23">
      <formula1>IF(E23&lt;=E22,TRUE,FALSE)</formula1>
    </dataValidation>
    <dataValidation type="custom" showInputMessage="1" showErrorMessage="1" prompt="Enter % finer in descending order" error="Must be less than or equal to value above" sqref="E24">
      <formula1>IF(E23&lt;=E24,TRUE,FALSE)</formula1>
    </dataValidation>
  </dataValidations>
  <printOptions/>
  <pageMargins left="0.65" right="0.6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J43"/>
  <sheetViews>
    <sheetView workbookViewId="0" topLeftCell="A1">
      <selection activeCell="A41" sqref="A41:B43"/>
    </sheetView>
  </sheetViews>
  <sheetFormatPr defaultColWidth="9.140625" defaultRowHeight="12.75"/>
  <cols>
    <col min="1" max="1" width="19.421875" style="0" customWidth="1"/>
    <col min="2" max="2" width="10.57421875" style="0" customWidth="1"/>
    <col min="7" max="7" width="12.421875" style="0" bestFit="1" customWidth="1"/>
    <col min="10" max="10" width="12.421875" style="0" bestFit="1" customWidth="1"/>
    <col min="12" max="12" width="12.421875" style="0" bestFit="1" customWidth="1"/>
  </cols>
  <sheetData>
    <row r="1" spans="1:10" ht="12.75">
      <c r="A1" t="s">
        <v>60</v>
      </c>
      <c r="D1" t="s">
        <v>65</v>
      </c>
      <c r="E1" t="s">
        <v>66</v>
      </c>
      <c r="F1" t="s">
        <v>67</v>
      </c>
      <c r="G1" t="s">
        <v>68</v>
      </c>
      <c r="H1" t="s">
        <v>68</v>
      </c>
      <c r="I1" t="s">
        <v>97</v>
      </c>
      <c r="J1" t="s">
        <v>100</v>
      </c>
    </row>
    <row r="2" spans="7:10" ht="12.75">
      <c r="G2" t="s">
        <v>69</v>
      </c>
      <c r="H2" t="s">
        <v>72</v>
      </c>
      <c r="I2" t="s">
        <v>98</v>
      </c>
      <c r="J2" t="s">
        <v>99</v>
      </c>
    </row>
    <row r="3" spans="2:10" ht="12.75">
      <c r="B3" s="4"/>
      <c r="D3">
        <f>'Preliminary calcs'!E3</f>
        <v>0</v>
      </c>
      <c r="E3">
        <f>'Preliminary calcs'!J3</f>
        <v>0</v>
      </c>
      <c r="F3">
        <f>IF(E3=0,0,E3^B$6)</f>
        <v>0</v>
      </c>
      <c r="G3">
        <f>B$26*F3*B$29</f>
        <v>0</v>
      </c>
      <c r="H3">
        <f>G3*2000</f>
        <v>0</v>
      </c>
      <c r="J3">
        <v>0</v>
      </c>
    </row>
    <row r="4" spans="2:10" ht="12.75">
      <c r="B4" s="4"/>
      <c r="D4">
        <f>'Preliminary calcs'!E4</f>
        <v>0.1</v>
      </c>
      <c r="E4">
        <f>IF(D4&lt;&gt;0,'Preliminary calcs'!J4,"")</f>
        <v>0</v>
      </c>
      <c r="F4">
        <f aca="true" t="shared" si="0" ref="F4:F15">IF(D4=0,"",E4^B$6)</f>
        <v>0</v>
      </c>
      <c r="G4">
        <f>IF(D4&lt;&gt;0,F4*B$29,"")</f>
        <v>0</v>
      </c>
      <c r="H4">
        <f aca="true" t="shared" si="1" ref="H4:H15">IF(D4&lt;&gt;0,G4*2000,"")</f>
        <v>0</v>
      </c>
      <c r="I4">
        <f aca="true" t="shared" si="2" ref="I4:I15">IF(D4&lt;&gt;0,AVERAGE(H3:H4)*(D4-D3)*3600,"")</f>
        <v>0</v>
      </c>
      <c r="J4">
        <f>IF(D4&lt;&gt;0,I4+J3,"")</f>
        <v>0</v>
      </c>
    </row>
    <row r="5" spans="2:10" ht="12.75">
      <c r="B5" s="4"/>
      <c r="D5">
        <f>'Preliminary calcs'!E5</f>
        <v>0.2</v>
      </c>
      <c r="E5">
        <f>IF(D5&lt;&gt;0,'Preliminary calcs'!J5,"")</f>
        <v>0.0005389246624347415</v>
      </c>
      <c r="F5">
        <f t="shared" si="0"/>
        <v>1.2511001828105886E-05</v>
      </c>
      <c r="G5">
        <f aca="true" t="shared" si="3" ref="G5:G33">IF(D5&lt;&gt;0,F5*B$29,"")</f>
        <v>4.162139117044664E-08</v>
      </c>
      <c r="H5">
        <f t="shared" si="1"/>
        <v>8.324278234089328E-05</v>
      </c>
      <c r="I5">
        <f t="shared" si="2"/>
        <v>0.01498370082136079</v>
      </c>
      <c r="J5">
        <f aca="true" t="shared" si="4" ref="J5:J33">IF(D5&lt;&gt;0,I5+J4,"")</f>
        <v>0.01498370082136079</v>
      </c>
    </row>
    <row r="6" spans="1:10" ht="12.75">
      <c r="A6" t="s">
        <v>64</v>
      </c>
      <c r="B6" s="4">
        <v>1.5</v>
      </c>
      <c r="D6">
        <f>'Preliminary calcs'!E6</f>
        <v>0.3</v>
      </c>
      <c r="E6">
        <f>IF(D6&lt;&gt;0,'Preliminary calcs'!J6,"")</f>
        <v>0.007692017378426219</v>
      </c>
      <c r="F6">
        <f t="shared" si="0"/>
        <v>0.0006746218218942454</v>
      </c>
      <c r="G6">
        <f t="shared" si="3"/>
        <v>2.244320568965241E-06</v>
      </c>
      <c r="H6">
        <f t="shared" si="1"/>
        <v>0.004488641137930482</v>
      </c>
      <c r="I6">
        <f t="shared" si="2"/>
        <v>0.8229391056488474</v>
      </c>
      <c r="J6">
        <f t="shared" si="4"/>
        <v>0.8379228064702082</v>
      </c>
    </row>
    <row r="7" spans="1:10" ht="12.75">
      <c r="A7" t="s">
        <v>44</v>
      </c>
      <c r="B7" s="4">
        <f>'Eroded particles'!G73</f>
        <v>0.20794202326374153</v>
      </c>
      <c r="D7">
        <f>'Preliminary calcs'!E7</f>
        <v>0.4</v>
      </c>
      <c r="E7">
        <f>IF(D7&lt;&gt;0,'Preliminary calcs'!J7,"")</f>
        <v>0.014824923085382033</v>
      </c>
      <c r="F7">
        <f t="shared" si="0"/>
        <v>0.0018050476594427308</v>
      </c>
      <c r="G7">
        <f t="shared" si="3"/>
        <v>6.005002296953481E-06</v>
      </c>
      <c r="H7">
        <f t="shared" si="1"/>
        <v>0.012010004593906963</v>
      </c>
      <c r="I7">
        <f t="shared" si="2"/>
        <v>2.969756231730741</v>
      </c>
      <c r="J7">
        <f t="shared" si="4"/>
        <v>3.8076790382009493</v>
      </c>
    </row>
    <row r="8" spans="1:10" ht="12.75">
      <c r="A8" t="s">
        <v>70</v>
      </c>
      <c r="B8" s="4">
        <f>B7/1000*3.281</f>
        <v>0.000682257778328336</v>
      </c>
      <c r="D8">
        <f>'Preliminary calcs'!E8</f>
        <v>0.5</v>
      </c>
      <c r="E8">
        <f>IF(D8&lt;&gt;0,'Preliminary calcs'!J8,"")</f>
        <v>0.020132066689364764</v>
      </c>
      <c r="F8">
        <f t="shared" si="0"/>
        <v>0.0028564888985115723</v>
      </c>
      <c r="G8">
        <f t="shared" si="3"/>
        <v>9.502919386671373E-06</v>
      </c>
      <c r="H8">
        <f t="shared" si="1"/>
        <v>0.019005838773342745</v>
      </c>
      <c r="I8">
        <f t="shared" si="2"/>
        <v>5.582851806104946</v>
      </c>
      <c r="J8">
        <f t="shared" si="4"/>
        <v>9.390530844305896</v>
      </c>
    </row>
    <row r="9" spans="1:10" ht="12.75">
      <c r="A9" t="s">
        <v>75</v>
      </c>
      <c r="B9" s="4">
        <v>0.00361</v>
      </c>
      <c r="D9">
        <f>'Preliminary calcs'!E9</f>
        <v>0.6</v>
      </c>
      <c r="E9">
        <f>IF(D9&lt;&gt;0,'Preliminary calcs'!J9,"")</f>
        <v>0.03884282733360101</v>
      </c>
      <c r="F9">
        <f t="shared" si="0"/>
        <v>0.007655371154976908</v>
      </c>
      <c r="G9">
        <f t="shared" si="3"/>
        <v>2.5467760437893456E-05</v>
      </c>
      <c r="H9">
        <f t="shared" si="1"/>
        <v>0.05093552087578691</v>
      </c>
      <c r="I9">
        <f t="shared" si="2"/>
        <v>12.589444736843337</v>
      </c>
      <c r="J9">
        <f t="shared" si="4"/>
        <v>21.979975581149233</v>
      </c>
    </row>
    <row r="10" spans="1:10" ht="12.75">
      <c r="A10" t="s">
        <v>79</v>
      </c>
      <c r="B10">
        <f>2.81*B7^2</f>
        <v>0.12150407695964179</v>
      </c>
      <c r="D10">
        <f>'Preliminary calcs'!E10</f>
        <v>0.7</v>
      </c>
      <c r="E10">
        <f>IF(D10&lt;&gt;0,'Preliminary calcs'!J10,"")</f>
        <v>0.04558685180959732</v>
      </c>
      <c r="F10">
        <f t="shared" si="0"/>
        <v>0.009733284141718434</v>
      </c>
      <c r="G10">
        <f t="shared" si="3"/>
        <v>3.238052653189487E-05</v>
      </c>
      <c r="H10">
        <f t="shared" si="1"/>
        <v>0.06476105306378975</v>
      </c>
      <c r="I10">
        <f t="shared" si="2"/>
        <v>20.825383309123794</v>
      </c>
      <c r="J10">
        <f t="shared" si="4"/>
        <v>42.80535889027303</v>
      </c>
    </row>
    <row r="11" spans="1:10" ht="12.75">
      <c r="A11" t="s">
        <v>80</v>
      </c>
      <c r="B11">
        <f>B10*B8/0.0000141</f>
        <v>5.879227064136196</v>
      </c>
      <c r="D11">
        <f>'Preliminary calcs'!E11</f>
        <v>0.8</v>
      </c>
      <c r="E11">
        <f>IF(D11&lt;&gt;0,'Preliminary calcs'!J11,"")</f>
        <v>0.05041667222933188</v>
      </c>
      <c r="F11">
        <f t="shared" si="0"/>
        <v>0.01132038676118682</v>
      </c>
      <c r="G11">
        <f t="shared" si="3"/>
        <v>3.7660472923089275E-05</v>
      </c>
      <c r="H11">
        <f t="shared" si="1"/>
        <v>0.07532094584617854</v>
      </c>
      <c r="I11">
        <f t="shared" si="2"/>
        <v>25.21475980379432</v>
      </c>
      <c r="J11">
        <f t="shared" si="4"/>
        <v>68.02011869406735</v>
      </c>
    </row>
    <row r="12" spans="4:10" ht="12.75">
      <c r="D12">
        <f>'Preliminary calcs'!E12</f>
        <v>0.9</v>
      </c>
      <c r="E12">
        <f>IF(D12&lt;&gt;0,'Preliminary calcs'!J12,"")</f>
        <v>0.05399410224010758</v>
      </c>
      <c r="F12">
        <f t="shared" si="0"/>
        <v>0.012546410324518913</v>
      </c>
      <c r="G12">
        <f t="shared" si="3"/>
        <v>4.173918756279095E-05</v>
      </c>
      <c r="H12">
        <f t="shared" si="1"/>
        <v>0.0834783751255819</v>
      </c>
      <c r="I12">
        <f t="shared" si="2"/>
        <v>28.583877774916875</v>
      </c>
      <c r="J12">
        <f t="shared" si="4"/>
        <v>96.60399646898422</v>
      </c>
    </row>
    <row r="13" spans="1:10" ht="12.75">
      <c r="A13" t="s">
        <v>45</v>
      </c>
      <c r="B13">
        <f>'Preliminary calcs'!B20</f>
        <v>200</v>
      </c>
      <c r="D13">
        <f>'Preliminary calcs'!E13</f>
        <v>1</v>
      </c>
      <c r="E13">
        <f>IF(D13&lt;&gt;0,'Preliminary calcs'!J13,"")</f>
        <v>0.05671769260190264</v>
      </c>
      <c r="F13">
        <f t="shared" si="0"/>
        <v>0.0135075888136418</v>
      </c>
      <c r="G13">
        <f t="shared" si="3"/>
        <v>4.4936820048986444E-05</v>
      </c>
      <c r="H13">
        <f t="shared" si="1"/>
        <v>0.08987364009797288</v>
      </c>
      <c r="I13">
        <f t="shared" si="2"/>
        <v>31.20336274023985</v>
      </c>
      <c r="J13">
        <f t="shared" si="4"/>
        <v>127.80735920922407</v>
      </c>
    </row>
    <row r="14" spans="1:10" ht="12.75">
      <c r="A14" t="s">
        <v>46</v>
      </c>
      <c r="B14">
        <f>'Preliminary calcs'!B12</f>
        <v>20</v>
      </c>
      <c r="D14">
        <f>'Preliminary calcs'!E14</f>
        <v>1.1</v>
      </c>
      <c r="E14">
        <f>IF(D14&lt;&gt;0,'Preliminary calcs'!J14,"")</f>
        <v>0.6080504080804792</v>
      </c>
      <c r="F14">
        <f t="shared" si="0"/>
        <v>0.4741430362167649</v>
      </c>
      <c r="G14">
        <f t="shared" si="3"/>
        <v>0.0015773711052289839</v>
      </c>
      <c r="H14">
        <f t="shared" si="1"/>
        <v>3.1547422104579677</v>
      </c>
      <c r="I14">
        <f t="shared" si="2"/>
        <v>584.0308531000697</v>
      </c>
      <c r="J14">
        <f t="shared" si="4"/>
        <v>711.8382123092938</v>
      </c>
    </row>
    <row r="15" spans="1:10" ht="12.75">
      <c r="A15" t="s">
        <v>47</v>
      </c>
      <c r="B15">
        <f>'Preliminary calcs'!B14</f>
        <v>0.08</v>
      </c>
      <c r="D15">
        <f>'Preliminary calcs'!E15</f>
        <v>1.2</v>
      </c>
      <c r="E15">
        <f>IF(D15&lt;&gt;0,'Preliminary calcs'!J15,"")</f>
        <v>0.6514660908469914</v>
      </c>
      <c r="F15">
        <f t="shared" si="0"/>
        <v>0.5258207533688973</v>
      </c>
      <c r="G15">
        <f t="shared" si="3"/>
        <v>0.0017492916684210236</v>
      </c>
      <c r="H15">
        <f t="shared" si="1"/>
        <v>3.498583336842047</v>
      </c>
      <c r="I15">
        <f t="shared" si="2"/>
        <v>1197.5985985140012</v>
      </c>
      <c r="J15">
        <f t="shared" si="4"/>
        <v>1909.436810823295</v>
      </c>
    </row>
    <row r="16" spans="1:10" ht="12.75">
      <c r="A16" t="s">
        <v>48</v>
      </c>
      <c r="B16">
        <f>'Preliminary calcs'!B16</f>
        <v>0.03</v>
      </c>
      <c r="D16">
        <f>'Preliminary calcs'!E16</f>
        <v>1.3</v>
      </c>
      <c r="E16">
        <f>IF(D16&lt;&gt;0,'Preliminary calcs'!J16,"")</f>
        <v>0.6646932219372768</v>
      </c>
      <c r="F16">
        <f aca="true" t="shared" si="5" ref="F16:F33">IF(D16=0,"",E16^B$6)</f>
        <v>0.5419158771799923</v>
      </c>
      <c r="G16">
        <f t="shared" si="3"/>
        <v>0.0018028366565268864</v>
      </c>
      <c r="H16">
        <f aca="true" t="shared" si="6" ref="H16:H33">IF(D16&lt;&gt;0,G16*2000,"")</f>
        <v>3.6056733130537726</v>
      </c>
      <c r="I16">
        <f aca="true" t="shared" si="7" ref="I16:I33">IF(D16&lt;&gt;0,AVERAGE(H15:H16)*(D16-D15)*3600,"")</f>
        <v>1278.7661969812486</v>
      </c>
      <c r="J16">
        <f t="shared" si="4"/>
        <v>3188.2030078045436</v>
      </c>
    </row>
    <row r="17" spans="1:10" ht="12.75">
      <c r="A17" t="s">
        <v>49</v>
      </c>
      <c r="B17">
        <f>ATAN(B15)</f>
        <v>0.07982998571223732</v>
      </c>
      <c r="D17">
        <f>'Preliminary calcs'!E17</f>
        <v>1.4</v>
      </c>
      <c r="E17">
        <f>IF(D17&lt;&gt;0,'Preliminary calcs'!J17,"")</f>
        <v>0.6704536574093645</v>
      </c>
      <c r="F17">
        <f t="shared" si="5"/>
        <v>0.5489757318813799</v>
      </c>
      <c r="G17">
        <f t="shared" si="3"/>
        <v>0.0018263232628091153</v>
      </c>
      <c r="H17">
        <f t="shared" si="6"/>
        <v>3.6526465256182306</v>
      </c>
      <c r="I17">
        <f t="shared" si="7"/>
        <v>1306.497570960959</v>
      </c>
      <c r="J17">
        <f t="shared" si="4"/>
        <v>4494.7005787655025</v>
      </c>
    </row>
    <row r="18" spans="1:10" ht="12.75">
      <c r="A18" t="s">
        <v>50</v>
      </c>
      <c r="B18">
        <f>SIN(B17)</f>
        <v>0.07974522228289001</v>
      </c>
      <c r="D18">
        <f>'Preliminary calcs'!E18</f>
        <v>1.5</v>
      </c>
      <c r="E18">
        <f>IF(D18&lt;&gt;0,'Preliminary calcs'!J18,"")</f>
        <v>0.09376182560792402</v>
      </c>
      <c r="F18">
        <f t="shared" si="5"/>
        <v>0.028710389351757244</v>
      </c>
      <c r="G18">
        <f t="shared" si="3"/>
        <v>9.551324204755769E-05</v>
      </c>
      <c r="H18">
        <f t="shared" si="6"/>
        <v>0.19102648409511538</v>
      </c>
      <c r="I18">
        <f t="shared" si="7"/>
        <v>691.8611417484028</v>
      </c>
      <c r="J18">
        <f t="shared" si="4"/>
        <v>5186.561720513905</v>
      </c>
    </row>
    <row r="19" spans="1:10" ht="12.75">
      <c r="A19" t="s">
        <v>51</v>
      </c>
      <c r="B19">
        <f>IF(B18&lt;0.09,10.8*B18+0.03,16.8*B18-0.5)</f>
        <v>0.8912484006552122</v>
      </c>
      <c r="D19">
        <f>'Preliminary calcs'!E19</f>
        <v>1.6</v>
      </c>
      <c r="E19">
        <f>IF(D19&lt;&gt;0,'Preliminary calcs'!J19,"")</f>
        <v>0.10554461167145157</v>
      </c>
      <c r="F19">
        <f t="shared" si="5"/>
        <v>0.03428894314725955</v>
      </c>
      <c r="G19">
        <f t="shared" si="3"/>
        <v>0.00011407188130587624</v>
      </c>
      <c r="H19">
        <f t="shared" si="6"/>
        <v>0.22814376261175248</v>
      </c>
      <c r="I19">
        <f t="shared" si="7"/>
        <v>75.45064440723628</v>
      </c>
      <c r="J19">
        <f t="shared" si="4"/>
        <v>5262.012364921142</v>
      </c>
    </row>
    <row r="20" spans="1:10" ht="12.75">
      <c r="A20" t="s">
        <v>52</v>
      </c>
      <c r="B20">
        <f>11.6*B18/(3*B18^0.8+0.56)</f>
        <v>0.9668908202187635</v>
      </c>
      <c r="D20">
        <f>'Preliminary calcs'!E20</f>
        <v>1.7</v>
      </c>
      <c r="E20">
        <f>IF(D20&lt;&gt;0,'Preliminary calcs'!J20,"")</f>
        <v>0.10560564513379492</v>
      </c>
      <c r="F20">
        <f t="shared" si="5"/>
        <v>0.03431868993498151</v>
      </c>
      <c r="G20">
        <f t="shared" si="3"/>
        <v>0.00011417084242064953</v>
      </c>
      <c r="H20">
        <f t="shared" si="6"/>
        <v>0.22834168484129905</v>
      </c>
      <c r="I20">
        <f t="shared" si="7"/>
        <v>82.16738054154916</v>
      </c>
      <c r="J20">
        <f t="shared" si="4"/>
        <v>5344.179745462691</v>
      </c>
    </row>
    <row r="21" spans="1:10" ht="12.75">
      <c r="A21" t="s">
        <v>53</v>
      </c>
      <c r="B21">
        <f>B20/(1+B20)</f>
        <v>0.4915833712169255</v>
      </c>
      <c r="D21">
        <f>'Preliminary calcs'!E21</f>
        <v>1.8</v>
      </c>
      <c r="E21">
        <f>IF(D21&lt;&gt;0,'Preliminary calcs'!J21,"")</f>
        <v>0.10566183063296128</v>
      </c>
      <c r="F21">
        <f t="shared" si="5"/>
        <v>0.034346081498664804</v>
      </c>
      <c r="G21">
        <f t="shared" si="3"/>
        <v>0.0001142619682155696</v>
      </c>
      <c r="H21">
        <f t="shared" si="6"/>
        <v>0.22852393643113922</v>
      </c>
      <c r="I21">
        <f t="shared" si="7"/>
        <v>82.23581182903895</v>
      </c>
      <c r="J21">
        <f t="shared" si="4"/>
        <v>5426.41555729173</v>
      </c>
    </row>
    <row r="22" spans="1:10" ht="12.75">
      <c r="A22" t="s">
        <v>54</v>
      </c>
      <c r="B22">
        <f>(B14/72.6)^B21</f>
        <v>0.5305901870447076</v>
      </c>
      <c r="D22">
        <f>'Preliminary calcs'!E22</f>
        <v>1.9</v>
      </c>
      <c r="E22">
        <f>IF(D22&lt;&gt;0,'Preliminary calcs'!J22,"")</f>
        <v>0.10571366836481767</v>
      </c>
      <c r="F22">
        <f t="shared" si="5"/>
        <v>0.034371359898209324</v>
      </c>
      <c r="G22">
        <f t="shared" si="3"/>
        <v>0.00011434606397145397</v>
      </c>
      <c r="H22">
        <f t="shared" si="6"/>
        <v>0.22869212794290794</v>
      </c>
      <c r="I22">
        <f t="shared" si="7"/>
        <v>82.29889158732837</v>
      </c>
      <c r="J22">
        <f t="shared" si="4"/>
        <v>5508.714448879058</v>
      </c>
    </row>
    <row r="23" spans="1:10" ht="12.75">
      <c r="A23" t="s">
        <v>55</v>
      </c>
      <c r="B23">
        <f>B22*B19</f>
        <v>0.4728876556069455</v>
      </c>
      <c r="D23">
        <f>'Preliminary calcs'!E23</f>
        <v>2</v>
      </c>
      <c r="E23">
        <f>IF(D23&lt;&gt;0,'Preliminary calcs'!J23,"")</f>
        <v>0.10576159563680869</v>
      </c>
      <c r="F23">
        <f t="shared" si="5"/>
        <v>0.034394736897192406</v>
      </c>
      <c r="G23">
        <f t="shared" si="3"/>
        <v>0.00011442383417982211</v>
      </c>
      <c r="H23">
        <f t="shared" si="6"/>
        <v>0.22884766835964424</v>
      </c>
      <c r="I23">
        <f t="shared" si="7"/>
        <v>82.35716333445946</v>
      </c>
      <c r="J23">
        <f t="shared" si="4"/>
        <v>5591.071612213517</v>
      </c>
    </row>
    <row r="24" spans="1:10" ht="12.75">
      <c r="A24" t="s">
        <v>43</v>
      </c>
      <c r="B24" s="6">
        <f>'Input and Output'!B25</f>
        <v>0.15</v>
      </c>
      <c r="D24">
        <f>'Preliminary calcs'!E24</f>
        <v>2.1</v>
      </c>
      <c r="E24">
        <f>IF(D24&lt;&gt;0,'Preliminary calcs'!J24,"")</f>
        <v>0.0543671884280818</v>
      </c>
      <c r="F24">
        <f t="shared" si="5"/>
        <v>0.012676673692465912</v>
      </c>
      <c r="G24">
        <f t="shared" si="3"/>
        <v>4.217254555178284E-05</v>
      </c>
      <c r="H24">
        <f t="shared" si="6"/>
        <v>0.08434509110356568</v>
      </c>
      <c r="I24">
        <f t="shared" si="7"/>
        <v>56.37469670337783</v>
      </c>
      <c r="J24">
        <f t="shared" si="4"/>
        <v>5647.446308916895</v>
      </c>
    </row>
    <row r="25" spans="1:10" ht="12.75">
      <c r="A25" t="s">
        <v>56</v>
      </c>
      <c r="B25">
        <f>'Input and Output'!B26</f>
        <v>1.7</v>
      </c>
      <c r="D25">
        <f>'Preliminary calcs'!E25</f>
        <v>2.2</v>
      </c>
      <c r="E25">
        <f>IF(D25&lt;&gt;0,'Preliminary calcs'!J25,"")</f>
        <v>0.05437846544327177</v>
      </c>
      <c r="F25">
        <f t="shared" si="5"/>
        <v>0.012680618050967228</v>
      </c>
      <c r="G25">
        <f t="shared" si="3"/>
        <v>4.2185667577529094E-05</v>
      </c>
      <c r="H25">
        <f t="shared" si="6"/>
        <v>0.0843713351550582</v>
      </c>
      <c r="I25">
        <f t="shared" si="7"/>
        <v>30.368956726552327</v>
      </c>
      <c r="J25">
        <f t="shared" si="4"/>
        <v>5677.815265643447</v>
      </c>
    </row>
    <row r="26" spans="1:10" ht="12.75">
      <c r="A26" t="s">
        <v>57</v>
      </c>
      <c r="B26">
        <f>95*('Preliminary calcs'!B23*'Preliminary calcs'!B25)^0.56*B24*B23*B25</f>
        <v>2.9394925657051263</v>
      </c>
      <c r="D26">
        <f>'Preliminary calcs'!E26</f>
        <v>2.3</v>
      </c>
      <c r="E26">
        <f>IF(D26&lt;&gt;0,'Preliminary calcs'!J26,"")</f>
        <v>0.05438932160829221</v>
      </c>
      <c r="F26">
        <f t="shared" si="5"/>
        <v>0.012684415595221838</v>
      </c>
      <c r="G26">
        <f t="shared" si="3"/>
        <v>4.219830118410032E-05</v>
      </c>
      <c r="H26">
        <f t="shared" si="6"/>
        <v>0.08439660236820064</v>
      </c>
      <c r="I26">
        <f t="shared" si="7"/>
        <v>30.378228754186484</v>
      </c>
      <c r="J26">
        <f t="shared" si="4"/>
        <v>5708.193494397633</v>
      </c>
    </row>
    <row r="27" spans="1:10" ht="12.75">
      <c r="A27" t="s">
        <v>58</v>
      </c>
      <c r="B27">
        <f>SUM(F3:F33)</f>
        <v>2.4544001045998307</v>
      </c>
      <c r="D27">
        <f>'Preliminary calcs'!E27</f>
        <v>2.4</v>
      </c>
      <c r="E27">
        <f>IF(D27&lt;&gt;0,'Preliminary calcs'!J27,"")</f>
        <v>0.05439977760694842</v>
      </c>
      <c r="F27">
        <f t="shared" si="5"/>
        <v>0.012688073517471761</v>
      </c>
      <c r="G27">
        <f t="shared" si="3"/>
        <v>4.2210470298526716E-05</v>
      </c>
      <c r="H27">
        <f t="shared" si="6"/>
        <v>0.08442094059705343</v>
      </c>
      <c r="I27">
        <f t="shared" si="7"/>
        <v>30.387157733745763</v>
      </c>
      <c r="J27">
        <f t="shared" si="4"/>
        <v>5738.580652131379</v>
      </c>
    </row>
    <row r="28" spans="1:10" ht="12.75">
      <c r="A28" t="s">
        <v>59</v>
      </c>
      <c r="B28">
        <f>B27*0.1*3600</f>
        <v>883.5840376559391</v>
      </c>
      <c r="D28">
        <f>'Preliminary calcs'!E28</f>
        <v>2.5</v>
      </c>
      <c r="E28">
        <f>IF(D28&lt;&gt;0,'Preliminary calcs'!J28,"")</f>
        <v>0.05440985286776295</v>
      </c>
      <c r="F28">
        <f t="shared" si="5"/>
        <v>0.012691598575139336</v>
      </c>
      <c r="G28">
        <f t="shared" si="3"/>
        <v>4.222219740128766E-05</v>
      </c>
      <c r="H28">
        <f t="shared" si="6"/>
        <v>0.08444439480257532</v>
      </c>
      <c r="I28">
        <f t="shared" si="7"/>
        <v>30.3957603719332</v>
      </c>
      <c r="J28">
        <f t="shared" si="4"/>
        <v>5768.9764125033125</v>
      </c>
    </row>
    <row r="29" spans="1:10" ht="12.75">
      <c r="A29" t="s">
        <v>43</v>
      </c>
      <c r="B29">
        <f>B39/B28</f>
        <v>0.003326783237849462</v>
      </c>
      <c r="D29">
        <f>'Preliminary calcs'!E29</f>
        <v>2.6</v>
      </c>
      <c r="E29">
        <f>IF(D29&lt;&gt;0,'Preliminary calcs'!J29,"")</f>
        <v>0.039710637070906114</v>
      </c>
      <c r="F29">
        <f t="shared" si="5"/>
        <v>0.007913348306519663</v>
      </c>
      <c r="G29">
        <f t="shared" si="3"/>
        <v>2.632599450139404E-05</v>
      </c>
      <c r="H29">
        <f t="shared" si="6"/>
        <v>0.05265198900278808</v>
      </c>
      <c r="I29">
        <f t="shared" si="7"/>
        <v>24.677349084965435</v>
      </c>
      <c r="J29">
        <f t="shared" si="4"/>
        <v>5793.653761588278</v>
      </c>
    </row>
    <row r="30" spans="4:10" ht="12.75">
      <c r="D30">
        <f>'Preliminary calcs'!E30</f>
        <v>2.7</v>
      </c>
      <c r="E30">
        <f>IF(D30&lt;&gt;0,'Preliminary calcs'!J30,"")</f>
        <v>0.03971567379536255</v>
      </c>
      <c r="F30">
        <f t="shared" si="5"/>
        <v>0.007914853896269449</v>
      </c>
      <c r="G30">
        <f t="shared" si="3"/>
        <v>2.6331003272136708E-05</v>
      </c>
      <c r="H30">
        <f t="shared" si="6"/>
        <v>0.052662006544273415</v>
      </c>
      <c r="I30">
        <f t="shared" si="7"/>
        <v>18.95651919847109</v>
      </c>
      <c r="J30">
        <f t="shared" si="4"/>
        <v>5812.610280786749</v>
      </c>
    </row>
    <row r="31" spans="2:10" ht="12.75">
      <c r="B31" s="8"/>
      <c r="D31">
        <f>'Preliminary calcs'!E31</f>
        <v>2.8</v>
      </c>
      <c r="E31">
        <f>IF(D31&lt;&gt;0,'Preliminary calcs'!J31,"")</f>
        <v>0.0397205801487018</v>
      </c>
      <c r="F31">
        <f t="shared" si="5"/>
        <v>0.007916320606969693</v>
      </c>
      <c r="G31">
        <f t="shared" si="3"/>
        <v>2.6335882700709053E-05</v>
      </c>
      <c r="H31">
        <f t="shared" si="6"/>
        <v>0.05267176540141811</v>
      </c>
      <c r="I31">
        <f t="shared" si="7"/>
        <v>18.960078950224407</v>
      </c>
      <c r="J31">
        <f t="shared" si="4"/>
        <v>5831.570359736974</v>
      </c>
    </row>
    <row r="32" spans="2:10" ht="12.75">
      <c r="B32" s="8"/>
      <c r="D32">
        <f>'Preliminary calcs'!E32</f>
        <v>2.9</v>
      </c>
      <c r="E32">
        <f>IF(D32&lt;&gt;0,'Preliminary calcs'!J32,"")</f>
        <v>0.03972536059182216</v>
      </c>
      <c r="F32">
        <f t="shared" si="5"/>
        <v>0.007917749765060544</v>
      </c>
      <c r="G32">
        <f t="shared" si="3"/>
        <v>2.6340637199889937E-05</v>
      </c>
      <c r="H32">
        <f t="shared" si="6"/>
        <v>0.052681274399779876</v>
      </c>
      <c r="I32">
        <f t="shared" si="7"/>
        <v>18.963547164215655</v>
      </c>
      <c r="J32">
        <f t="shared" si="4"/>
        <v>5850.53390690119</v>
      </c>
    </row>
    <row r="33" spans="2:10" ht="12.75">
      <c r="B33" s="8"/>
      <c r="D33">
        <f>'Preliminary calcs'!E33</f>
        <v>3</v>
      </c>
      <c r="E33">
        <f>IF(D33&lt;&gt;0,'Preliminary calcs'!J33,"")</f>
        <v>0.039730019396444896</v>
      </c>
      <c r="F33">
        <f t="shared" si="5"/>
        <v>0.007919142640926016</v>
      </c>
      <c r="G33">
        <f t="shared" si="3"/>
        <v>2.6345270995971593E-05</v>
      </c>
      <c r="H33">
        <f t="shared" si="6"/>
        <v>0.05269054199194319</v>
      </c>
      <c r="I33">
        <f t="shared" si="7"/>
        <v>18.966926950510167</v>
      </c>
      <c r="J33">
        <f t="shared" si="4"/>
        <v>5869.5008338517</v>
      </c>
    </row>
    <row r="34" ht="12.75">
      <c r="B34" s="8"/>
    </row>
    <row r="36" ht="12.75">
      <c r="B36" s="7"/>
    </row>
    <row r="39" spans="1:2" ht="12.75">
      <c r="A39" t="s">
        <v>207</v>
      </c>
      <c r="B39">
        <f>B26</f>
        <v>2.9394925657051263</v>
      </c>
    </row>
    <row r="42" spans="1:2" ht="12.75">
      <c r="A42" s="9"/>
      <c r="B42" s="9"/>
    </row>
    <row r="43" spans="1:2" ht="13.5" thickBot="1">
      <c r="A43" s="10"/>
      <c r="B43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I34" sqref="I34"/>
    </sheetView>
  </sheetViews>
  <sheetFormatPr defaultColWidth="9.140625" defaultRowHeight="12.75"/>
  <sheetData>
    <row r="1" spans="1:5" ht="12.75">
      <c r="A1" t="s">
        <v>210</v>
      </c>
      <c r="B1" t="s">
        <v>211</v>
      </c>
      <c r="C1" t="s">
        <v>34</v>
      </c>
      <c r="D1" t="s">
        <v>212</v>
      </c>
      <c r="E1" t="s">
        <v>213</v>
      </c>
    </row>
    <row r="4" spans="1:9" ht="12.75">
      <c r="A4">
        <v>0</v>
      </c>
      <c r="B4">
        <v>0</v>
      </c>
      <c r="C4">
        <f>'Input and Output'!$B$5*B4</f>
        <v>0</v>
      </c>
      <c r="H4">
        <v>0</v>
      </c>
      <c r="I4">
        <f>F25</f>
        <v>0</v>
      </c>
    </row>
    <row r="5" spans="1:9" ht="12.75">
      <c r="A5">
        <v>0.5</v>
      </c>
      <c r="B5">
        <v>0.005</v>
      </c>
      <c r="C5">
        <f>'Input and Output'!$B$5*B5</f>
        <v>0.04</v>
      </c>
      <c r="D5">
        <f>C5-C4</f>
        <v>0.04</v>
      </c>
      <c r="H5">
        <v>0.1</v>
      </c>
      <c r="I5">
        <f>I4+0.2*(I$9-I$4)</f>
        <v>0.049600000000000005</v>
      </c>
    </row>
    <row r="6" spans="1:9" ht="12.75">
      <c r="A6">
        <v>1</v>
      </c>
      <c r="B6">
        <v>0.011</v>
      </c>
      <c r="C6">
        <f>'Input and Output'!$B$5*B6</f>
        <v>0.088</v>
      </c>
      <c r="D6">
        <f aca="true" t="shared" si="0" ref="D6:D52">C6-C5</f>
        <v>0.047999999999999994</v>
      </c>
      <c r="H6">
        <v>0.2</v>
      </c>
      <c r="I6">
        <f>I5+0.2*(I$9-I$4)</f>
        <v>0.09920000000000001</v>
      </c>
    </row>
    <row r="7" spans="1:9" ht="12.75">
      <c r="A7">
        <v>1.5</v>
      </c>
      <c r="B7">
        <v>0.016</v>
      </c>
      <c r="C7">
        <f>'Input and Output'!$B$5*B7</f>
        <v>0.128</v>
      </c>
      <c r="D7">
        <f t="shared" si="0"/>
        <v>0.04000000000000001</v>
      </c>
      <c r="H7">
        <v>0.3</v>
      </c>
      <c r="I7">
        <f>I6+0.2*(I$9-I$4)</f>
        <v>0.14880000000000002</v>
      </c>
    </row>
    <row r="8" spans="1:9" ht="12.75">
      <c r="A8">
        <v>2</v>
      </c>
      <c r="B8">
        <v>0.022</v>
      </c>
      <c r="C8">
        <f>'Input and Output'!$B$5*B8</f>
        <v>0.176</v>
      </c>
      <c r="D8">
        <f t="shared" si="0"/>
        <v>0.04799999999999999</v>
      </c>
      <c r="H8">
        <v>0.4</v>
      </c>
      <c r="I8">
        <f>I7+0.2*(I$9-I$4)</f>
        <v>0.19840000000000002</v>
      </c>
    </row>
    <row r="9" spans="1:9" ht="12.75">
      <c r="A9">
        <v>2.5</v>
      </c>
      <c r="B9">
        <v>0.028</v>
      </c>
      <c r="C9">
        <f>'Input and Output'!$B$5*B9</f>
        <v>0.224</v>
      </c>
      <c r="D9">
        <f t="shared" si="0"/>
        <v>0.048000000000000015</v>
      </c>
      <c r="H9">
        <v>0.5</v>
      </c>
      <c r="I9">
        <f>F26</f>
        <v>0.248</v>
      </c>
    </row>
    <row r="10" spans="1:9" ht="12.75">
      <c r="A10">
        <v>3</v>
      </c>
      <c r="B10">
        <v>0.034</v>
      </c>
      <c r="C10">
        <f>'Input and Output'!$B$5*B10</f>
        <v>0.272</v>
      </c>
      <c r="D10">
        <f t="shared" si="0"/>
        <v>0.048000000000000015</v>
      </c>
      <c r="H10">
        <v>0.6</v>
      </c>
      <c r="I10">
        <f>I9+0.2*(I$14-I$9)</f>
        <v>0.3248</v>
      </c>
    </row>
    <row r="11" spans="1:9" ht="12.75">
      <c r="A11">
        <v>3.5</v>
      </c>
      <c r="B11">
        <v>0.041</v>
      </c>
      <c r="C11">
        <f>'Input and Output'!$B$5*B11</f>
        <v>0.328</v>
      </c>
      <c r="D11">
        <f t="shared" si="0"/>
        <v>0.055999999999999994</v>
      </c>
      <c r="H11">
        <v>0.7</v>
      </c>
      <c r="I11">
        <f>I10+0.2*(I$14-I$9)</f>
        <v>0.40159999999999996</v>
      </c>
    </row>
    <row r="12" spans="1:9" ht="12.75">
      <c r="A12">
        <v>4</v>
      </c>
      <c r="B12">
        <v>0.048</v>
      </c>
      <c r="C12">
        <f>'Input and Output'!$B$5*B12</f>
        <v>0.384</v>
      </c>
      <c r="D12">
        <f t="shared" si="0"/>
        <v>0.055999999999999994</v>
      </c>
      <c r="H12">
        <v>0.8</v>
      </c>
      <c r="I12">
        <f>I11+0.2*(I$14-I$9)</f>
        <v>0.47839999999999994</v>
      </c>
    </row>
    <row r="13" spans="1:9" ht="12.75">
      <c r="A13">
        <v>4.5</v>
      </c>
      <c r="B13">
        <v>0.055</v>
      </c>
      <c r="C13">
        <f>'Input and Output'!$B$5*B13</f>
        <v>0.44</v>
      </c>
      <c r="D13">
        <f t="shared" si="0"/>
        <v>0.055999999999999994</v>
      </c>
      <c r="H13">
        <v>0.9</v>
      </c>
      <c r="I13">
        <f>I12+0.2*(I$14-I$9)</f>
        <v>0.5551999999999999</v>
      </c>
    </row>
    <row r="14" spans="1:9" ht="12.75">
      <c r="A14">
        <v>5</v>
      </c>
      <c r="B14">
        <v>0.063</v>
      </c>
      <c r="C14">
        <f>'Input and Output'!$B$5*B14</f>
        <v>0.504</v>
      </c>
      <c r="D14">
        <f t="shared" si="0"/>
        <v>0.064</v>
      </c>
      <c r="H14">
        <v>1</v>
      </c>
      <c r="I14">
        <f>F27</f>
        <v>0.6319999999999999</v>
      </c>
    </row>
    <row r="15" spans="1:9" ht="12.75">
      <c r="A15">
        <v>5.5</v>
      </c>
      <c r="B15">
        <v>0.071</v>
      </c>
      <c r="C15">
        <f>'Input and Output'!$B$5*B15</f>
        <v>0.568</v>
      </c>
      <c r="D15">
        <f t="shared" si="0"/>
        <v>0.06399999999999995</v>
      </c>
      <c r="H15">
        <v>1.1</v>
      </c>
      <c r="I15">
        <f>I14+0.2*(I$19-I$4)</f>
        <v>1.3664</v>
      </c>
    </row>
    <row r="16" spans="1:9" ht="12.75">
      <c r="A16">
        <v>6</v>
      </c>
      <c r="B16">
        <v>0.08</v>
      </c>
      <c r="C16">
        <f>'Input and Output'!$B$5*B16</f>
        <v>0.64</v>
      </c>
      <c r="D16">
        <f t="shared" si="0"/>
        <v>0.07200000000000006</v>
      </c>
      <c r="H16">
        <v>1.2</v>
      </c>
      <c r="I16">
        <f>I15+0.2*(I$19-I$4)</f>
        <v>2.1008000000000004</v>
      </c>
    </row>
    <row r="17" spans="1:9" ht="12.75">
      <c r="A17">
        <v>6.5</v>
      </c>
      <c r="B17">
        <v>0.089</v>
      </c>
      <c r="C17">
        <f>'Input and Output'!$B$5*B17</f>
        <v>0.712</v>
      </c>
      <c r="D17">
        <f t="shared" si="0"/>
        <v>0.07199999999999995</v>
      </c>
      <c r="H17">
        <v>1.3</v>
      </c>
      <c r="I17">
        <f>I16+0.2*(I$19-I$4)</f>
        <v>2.8352000000000004</v>
      </c>
    </row>
    <row r="18" spans="1:9" ht="12.75">
      <c r="A18">
        <v>7</v>
      </c>
      <c r="B18">
        <v>0.098</v>
      </c>
      <c r="C18">
        <f>'Input and Output'!$B$5*B18</f>
        <v>0.784</v>
      </c>
      <c r="D18">
        <f t="shared" si="0"/>
        <v>0.07200000000000006</v>
      </c>
      <c r="H18">
        <v>1.4</v>
      </c>
      <c r="I18">
        <f>I17+0.2*(I$19-I$4)</f>
        <v>3.5696000000000003</v>
      </c>
    </row>
    <row r="19" spans="1:9" ht="12.75">
      <c r="A19">
        <v>7.5</v>
      </c>
      <c r="B19">
        <v>0.109</v>
      </c>
      <c r="C19">
        <f>'Input and Output'!$B$5*B19</f>
        <v>0.872</v>
      </c>
      <c r="D19">
        <f t="shared" si="0"/>
        <v>0.08799999999999997</v>
      </c>
      <c r="H19">
        <v>1.5</v>
      </c>
      <c r="I19">
        <f>F28</f>
        <v>3.6720000000000006</v>
      </c>
    </row>
    <row r="20" spans="1:9" ht="12.75">
      <c r="A20">
        <v>8</v>
      </c>
      <c r="B20">
        <v>0.12</v>
      </c>
      <c r="C20">
        <f>'Input and Output'!$B$5*B20</f>
        <v>0.96</v>
      </c>
      <c r="D20">
        <f t="shared" si="0"/>
        <v>0.08799999999999997</v>
      </c>
      <c r="H20">
        <v>1.6</v>
      </c>
      <c r="I20">
        <f>I19+0.2*(I$24-I$19)</f>
        <v>3.7872000000000003</v>
      </c>
    </row>
    <row r="21" spans="1:9" ht="12.75">
      <c r="A21">
        <v>8.5</v>
      </c>
      <c r="B21">
        <v>0.133</v>
      </c>
      <c r="C21">
        <f>'Input and Output'!$B$5*B21</f>
        <v>1.064</v>
      </c>
      <c r="D21">
        <f t="shared" si="0"/>
        <v>0.10400000000000009</v>
      </c>
      <c r="H21">
        <v>1.7</v>
      </c>
      <c r="I21">
        <f>I20+0.2*(I$24-I$19)</f>
        <v>3.9024</v>
      </c>
    </row>
    <row r="22" spans="1:9" ht="12.75">
      <c r="A22">
        <v>9</v>
      </c>
      <c r="B22">
        <v>0.147</v>
      </c>
      <c r="C22">
        <f>'Input and Output'!$B$5*B22</f>
        <v>1.176</v>
      </c>
      <c r="D22">
        <f t="shared" si="0"/>
        <v>0.11199999999999988</v>
      </c>
      <c r="H22">
        <v>1.8</v>
      </c>
      <c r="I22">
        <f>I21+0.2*(I$24-I$19)</f>
        <v>4.0176</v>
      </c>
    </row>
    <row r="23" spans="1:9" ht="12.75">
      <c r="A23">
        <v>9.5</v>
      </c>
      <c r="B23">
        <v>0.163</v>
      </c>
      <c r="C23">
        <f>'Input and Output'!$B$5*B23</f>
        <v>1.304</v>
      </c>
      <c r="D23">
        <f t="shared" si="0"/>
        <v>0.1280000000000001</v>
      </c>
      <c r="H23">
        <v>1.9</v>
      </c>
      <c r="I23">
        <f>I22+0.2*(I$24-I$19)</f>
        <v>4.1328</v>
      </c>
    </row>
    <row r="24" spans="1:9" ht="12.75">
      <c r="A24">
        <v>10</v>
      </c>
      <c r="B24">
        <v>0.181</v>
      </c>
      <c r="C24">
        <f>'Input and Output'!$B$5*B24</f>
        <v>1.448</v>
      </c>
      <c r="D24">
        <f t="shared" si="0"/>
        <v>0.1439999999999999</v>
      </c>
      <c r="H24">
        <v>2</v>
      </c>
      <c r="I24">
        <f>F29</f>
        <v>4.248</v>
      </c>
    </row>
    <row r="25" spans="1:9" ht="12.75">
      <c r="A25">
        <v>10.5</v>
      </c>
      <c r="B25">
        <v>0.204</v>
      </c>
      <c r="C25">
        <f>'Input and Output'!$B$5*B25</f>
        <v>1.632</v>
      </c>
      <c r="D25">
        <f t="shared" si="0"/>
        <v>0.18399999999999994</v>
      </c>
      <c r="E25">
        <v>0</v>
      </c>
      <c r="F25">
        <v>0</v>
      </c>
      <c r="H25">
        <v>2.1</v>
      </c>
      <c r="I25">
        <f>I24+0.2*(I$29-I$24)</f>
        <v>4.3072</v>
      </c>
    </row>
    <row r="26" spans="1:9" ht="12.75">
      <c r="A26">
        <v>11</v>
      </c>
      <c r="B26">
        <v>0.235</v>
      </c>
      <c r="C26">
        <f>'Input and Output'!$B$5*B26</f>
        <v>1.88</v>
      </c>
      <c r="D26">
        <f t="shared" si="0"/>
        <v>0.248</v>
      </c>
      <c r="E26">
        <v>0.5</v>
      </c>
      <c r="F26">
        <f aca="true" t="shared" si="1" ref="F26:F31">F25+D26</f>
        <v>0.248</v>
      </c>
      <c r="H26">
        <v>2.2</v>
      </c>
      <c r="I26">
        <f>I25+0.2*(I$29-I$24)</f>
        <v>4.3664</v>
      </c>
    </row>
    <row r="27" spans="1:9" ht="12.75">
      <c r="A27">
        <v>11.5</v>
      </c>
      <c r="B27">
        <v>0.283</v>
      </c>
      <c r="C27">
        <f>'Input and Output'!$B$5*B27</f>
        <v>2.264</v>
      </c>
      <c r="D27">
        <f t="shared" si="0"/>
        <v>0.3839999999999999</v>
      </c>
      <c r="E27">
        <v>1</v>
      </c>
      <c r="F27">
        <f t="shared" si="1"/>
        <v>0.6319999999999999</v>
      </c>
      <c r="H27">
        <v>2.3</v>
      </c>
      <c r="I27">
        <f>I26+0.2*(I$29-I$24)</f>
        <v>4.425599999999999</v>
      </c>
    </row>
    <row r="28" spans="1:9" ht="12.75">
      <c r="A28">
        <v>12</v>
      </c>
      <c r="B28">
        <v>0.663</v>
      </c>
      <c r="C28">
        <f>'Input and Output'!$B$5*B28</f>
        <v>5.304</v>
      </c>
      <c r="D28">
        <f t="shared" si="0"/>
        <v>3.0400000000000005</v>
      </c>
      <c r="E28">
        <v>1.5</v>
      </c>
      <c r="F28">
        <f t="shared" si="1"/>
        <v>3.6720000000000006</v>
      </c>
      <c r="H28">
        <v>2.4</v>
      </c>
      <c r="I28">
        <f>I27+0.2*(I$29-I$24)</f>
        <v>4.484799999999999</v>
      </c>
    </row>
    <row r="29" spans="1:9" ht="12.75">
      <c r="A29">
        <v>12.5</v>
      </c>
      <c r="B29">
        <v>0.735</v>
      </c>
      <c r="C29">
        <f>'Input and Output'!$B$5*B29</f>
        <v>5.88</v>
      </c>
      <c r="D29">
        <f t="shared" si="0"/>
        <v>0.5759999999999996</v>
      </c>
      <c r="E29">
        <v>2</v>
      </c>
      <c r="F29">
        <f t="shared" si="1"/>
        <v>4.248</v>
      </c>
      <c r="H29">
        <v>2.5</v>
      </c>
      <c r="I29">
        <f>F30</f>
        <v>4.5440000000000005</v>
      </c>
    </row>
    <row r="30" spans="1:9" ht="12.75">
      <c r="A30">
        <v>13</v>
      </c>
      <c r="B30">
        <v>0.772</v>
      </c>
      <c r="C30">
        <f>'Input and Output'!$B$5*B30</f>
        <v>6.176</v>
      </c>
      <c r="D30">
        <f t="shared" si="0"/>
        <v>0.29600000000000026</v>
      </c>
      <c r="E30">
        <v>2.5</v>
      </c>
      <c r="F30">
        <f t="shared" si="1"/>
        <v>4.5440000000000005</v>
      </c>
      <c r="H30">
        <v>2.6</v>
      </c>
      <c r="I30">
        <f>I29+0.2*(I$34-I$29)</f>
        <v>4.5872</v>
      </c>
    </row>
    <row r="31" spans="1:9" ht="12.75">
      <c r="A31">
        <v>13.5</v>
      </c>
      <c r="B31">
        <v>0.799</v>
      </c>
      <c r="C31">
        <f>'Input and Output'!$B$5*B31</f>
        <v>6.392</v>
      </c>
      <c r="D31">
        <f t="shared" si="0"/>
        <v>0.2160000000000002</v>
      </c>
      <c r="E31">
        <v>3</v>
      </c>
      <c r="F31">
        <f t="shared" si="1"/>
        <v>4.760000000000001</v>
      </c>
      <c r="H31">
        <v>2.7</v>
      </c>
      <c r="I31">
        <f>I30+0.2*(I$34-I$29)</f>
        <v>4.6304</v>
      </c>
    </row>
    <row r="32" spans="1:9" ht="12.75">
      <c r="A32">
        <v>14</v>
      </c>
      <c r="B32">
        <v>0.82</v>
      </c>
      <c r="C32">
        <f>'Input and Output'!$B$5*B32</f>
        <v>6.56</v>
      </c>
      <c r="D32">
        <f t="shared" si="0"/>
        <v>0.16799999999999926</v>
      </c>
      <c r="H32">
        <v>2.8</v>
      </c>
      <c r="I32">
        <f>I31+0.2*(I$34-I$29)</f>
        <v>4.6735999999999995</v>
      </c>
    </row>
    <row r="33" spans="1:9" ht="12.75">
      <c r="A33">
        <v>14.5</v>
      </c>
      <c r="B33">
        <v>0.838</v>
      </c>
      <c r="C33">
        <f>'Input and Output'!$B$5*B33</f>
        <v>6.704</v>
      </c>
      <c r="D33">
        <f t="shared" si="0"/>
        <v>0.14400000000000013</v>
      </c>
      <c r="H33">
        <v>2.9</v>
      </c>
      <c r="I33">
        <f>I32+0.2*(I$34-I$29)</f>
        <v>4.716799999999999</v>
      </c>
    </row>
    <row r="34" spans="1:9" ht="12.75">
      <c r="A34">
        <v>15</v>
      </c>
      <c r="B34">
        <v>0.854</v>
      </c>
      <c r="C34">
        <f>'Input and Output'!$B$5*B34</f>
        <v>6.832</v>
      </c>
      <c r="D34">
        <f t="shared" si="0"/>
        <v>0.1280000000000001</v>
      </c>
      <c r="H34">
        <v>3</v>
      </c>
      <c r="I34">
        <f>F31</f>
        <v>4.760000000000001</v>
      </c>
    </row>
    <row r="35" spans="1:4" ht="12.75">
      <c r="A35">
        <v>15.5</v>
      </c>
      <c r="B35">
        <v>0.868</v>
      </c>
      <c r="C35">
        <f>'Input and Output'!$B$5*B35</f>
        <v>6.944</v>
      </c>
      <c r="D35">
        <f t="shared" si="0"/>
        <v>0.1120000000000001</v>
      </c>
    </row>
    <row r="36" spans="1:4" ht="12.75">
      <c r="A36">
        <v>16</v>
      </c>
      <c r="B36">
        <v>0.88</v>
      </c>
      <c r="C36">
        <f>'Input and Output'!$B$5*B36</f>
        <v>7.04</v>
      </c>
      <c r="D36">
        <f t="shared" si="0"/>
        <v>0.09600000000000009</v>
      </c>
    </row>
    <row r="37" spans="1:4" ht="12.75">
      <c r="A37">
        <v>16.5</v>
      </c>
      <c r="B37">
        <v>0.892</v>
      </c>
      <c r="C37">
        <f>'Input and Output'!$B$5*B37</f>
        <v>7.136</v>
      </c>
      <c r="D37">
        <f t="shared" si="0"/>
        <v>0.09600000000000009</v>
      </c>
    </row>
    <row r="38" spans="1:4" ht="12.75">
      <c r="A38">
        <v>17</v>
      </c>
      <c r="B38">
        <v>0.903</v>
      </c>
      <c r="C38">
        <f>'Input and Output'!$B$5*B38</f>
        <v>7.224</v>
      </c>
      <c r="D38">
        <f t="shared" si="0"/>
        <v>0.08800000000000008</v>
      </c>
    </row>
    <row r="39" spans="1:4" ht="12.75">
      <c r="A39">
        <v>17.5</v>
      </c>
      <c r="B39">
        <v>0.913</v>
      </c>
      <c r="C39">
        <f>'Input and Output'!$B$5*B39</f>
        <v>7.304</v>
      </c>
      <c r="D39">
        <f t="shared" si="0"/>
        <v>0.08000000000000007</v>
      </c>
    </row>
    <row r="40" spans="1:4" ht="12.75">
      <c r="A40">
        <v>18</v>
      </c>
      <c r="B40">
        <v>0.922</v>
      </c>
      <c r="C40">
        <f>'Input and Output'!$B$5*B40</f>
        <v>7.376</v>
      </c>
      <c r="D40">
        <f t="shared" si="0"/>
        <v>0.07200000000000006</v>
      </c>
    </row>
    <row r="41" spans="1:4" ht="12.75">
      <c r="A41">
        <v>18.5</v>
      </c>
      <c r="B41">
        <v>0.93</v>
      </c>
      <c r="C41">
        <f>'Input and Output'!$B$5*B41</f>
        <v>7.44</v>
      </c>
      <c r="D41">
        <f t="shared" si="0"/>
        <v>0.06400000000000006</v>
      </c>
    </row>
    <row r="42" spans="1:4" ht="12.75">
      <c r="A42">
        <v>19</v>
      </c>
      <c r="B42">
        <v>0.938</v>
      </c>
      <c r="C42">
        <f>'Input and Output'!$B$5*B42</f>
        <v>7.504</v>
      </c>
      <c r="D42">
        <f t="shared" si="0"/>
        <v>0.06399999999999917</v>
      </c>
    </row>
    <row r="43" spans="1:4" ht="12.75">
      <c r="A43">
        <v>19.5</v>
      </c>
      <c r="B43">
        <v>0.945</v>
      </c>
      <c r="C43">
        <f>'Input and Output'!$B$5*B43</f>
        <v>7.56</v>
      </c>
      <c r="D43">
        <f t="shared" si="0"/>
        <v>0.05600000000000005</v>
      </c>
    </row>
    <row r="44" spans="1:4" ht="12.75">
      <c r="A44">
        <v>20</v>
      </c>
      <c r="B44">
        <v>0.952</v>
      </c>
      <c r="C44">
        <f>'Input and Output'!$B$5*B44</f>
        <v>7.616</v>
      </c>
      <c r="D44">
        <f t="shared" si="0"/>
        <v>0.05600000000000005</v>
      </c>
    </row>
    <row r="45" spans="1:4" ht="12.75">
      <c r="A45">
        <v>20.5</v>
      </c>
      <c r="B45">
        <v>0.958</v>
      </c>
      <c r="C45">
        <f>'Input and Output'!$B$5*B45</f>
        <v>7.664</v>
      </c>
      <c r="D45">
        <f t="shared" si="0"/>
        <v>0.04800000000000004</v>
      </c>
    </row>
    <row r="46" spans="1:4" ht="12.75">
      <c r="A46">
        <v>21</v>
      </c>
      <c r="B46">
        <v>0.964</v>
      </c>
      <c r="C46">
        <f>'Input and Output'!$B$5*B46</f>
        <v>7.712</v>
      </c>
      <c r="D46">
        <f t="shared" si="0"/>
        <v>0.04800000000000004</v>
      </c>
    </row>
    <row r="47" spans="1:4" ht="12.75">
      <c r="A47">
        <v>21.5</v>
      </c>
      <c r="B47">
        <v>0.97</v>
      </c>
      <c r="C47">
        <f>'Input and Output'!$B$5*B47</f>
        <v>7.76</v>
      </c>
      <c r="D47">
        <f t="shared" si="0"/>
        <v>0.04800000000000004</v>
      </c>
    </row>
    <row r="48" spans="1:4" ht="12.75">
      <c r="A48">
        <v>22</v>
      </c>
      <c r="B48">
        <v>0.976</v>
      </c>
      <c r="C48">
        <f>'Input and Output'!$B$5*B48</f>
        <v>7.808</v>
      </c>
      <c r="D48">
        <f t="shared" si="0"/>
        <v>0.04800000000000004</v>
      </c>
    </row>
    <row r="49" spans="1:4" ht="12.75">
      <c r="A49">
        <v>22.5</v>
      </c>
      <c r="B49">
        <v>0.982</v>
      </c>
      <c r="C49">
        <f>'Input and Output'!$B$5*B49</f>
        <v>7.856</v>
      </c>
      <c r="D49">
        <f t="shared" si="0"/>
        <v>0.04800000000000004</v>
      </c>
    </row>
    <row r="50" spans="1:4" ht="12.75">
      <c r="A50">
        <v>23</v>
      </c>
      <c r="B50">
        <v>0.988</v>
      </c>
      <c r="C50">
        <f>'Input and Output'!$B$5*B50</f>
        <v>7.904</v>
      </c>
      <c r="D50">
        <f t="shared" si="0"/>
        <v>0.04800000000000004</v>
      </c>
    </row>
    <row r="51" spans="1:4" ht="12.75">
      <c r="A51">
        <v>23.5</v>
      </c>
      <c r="B51">
        <v>0.994</v>
      </c>
      <c r="C51">
        <f>'Input and Output'!$B$5*B51</f>
        <v>7.952</v>
      </c>
      <c r="D51">
        <f t="shared" si="0"/>
        <v>0.04800000000000004</v>
      </c>
    </row>
    <row r="52" spans="1:4" ht="12.75">
      <c r="A52">
        <v>24</v>
      </c>
      <c r="B52">
        <v>1</v>
      </c>
      <c r="C52">
        <f>'Input and Output'!$B$5*B52</f>
        <v>8</v>
      </c>
      <c r="D52">
        <f t="shared" si="0"/>
        <v>0.04800000000000004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M48"/>
  <sheetViews>
    <sheetView zoomScale="75" zoomScaleNormal="75" workbookViewId="0" topLeftCell="A1">
      <selection activeCell="B39" sqref="B39"/>
    </sheetView>
  </sheetViews>
  <sheetFormatPr defaultColWidth="9.140625" defaultRowHeight="12.75"/>
  <cols>
    <col min="1" max="1" width="17.421875" style="0" customWidth="1"/>
    <col min="12" max="12" width="12.421875" style="0" bestFit="1" customWidth="1"/>
    <col min="17" max="17" width="11.421875" style="0" bestFit="1" customWidth="1"/>
  </cols>
  <sheetData>
    <row r="1" spans="1:13" ht="12.75">
      <c r="A1" t="s">
        <v>19</v>
      </c>
      <c r="C1" t="s">
        <v>30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39</v>
      </c>
      <c r="K1" t="s">
        <v>42</v>
      </c>
      <c r="L1" t="s">
        <v>147</v>
      </c>
      <c r="M1" t="s">
        <v>148</v>
      </c>
    </row>
    <row r="2" ht="12.75">
      <c r="I2" t="s">
        <v>38</v>
      </c>
    </row>
    <row r="3" spans="1:13" ht="12.75">
      <c r="A3" t="s">
        <v>18</v>
      </c>
      <c r="B3" s="2">
        <f>'Input and Output'!B5</f>
        <v>8</v>
      </c>
      <c r="D3">
        <v>0</v>
      </c>
      <c r="E3">
        <f>IF(D3&lt;=B$4,D3,0)</f>
        <v>0</v>
      </c>
      <c r="F3">
        <v>0</v>
      </c>
      <c r="G3">
        <f aca="true" t="shared" si="0" ref="G3:G33">IF(F3-0.2*B$7&gt;0,(F3-0.2*B$7)^2/(F3+0.8*B$7),0)</f>
        <v>0</v>
      </c>
      <c r="H3">
        <v>0</v>
      </c>
      <c r="I3">
        <f aca="true" t="shared" si="1" ref="I3:I33">H3/12*B$20*B$12</f>
        <v>0</v>
      </c>
      <c r="J3">
        <f aca="true" t="shared" si="2" ref="J3:J33">I3/(0.1*3600)</f>
        <v>0</v>
      </c>
      <c r="K3">
        <v>0</v>
      </c>
      <c r="L3">
        <f>2*J3</f>
        <v>0</v>
      </c>
      <c r="M3">
        <v>0</v>
      </c>
    </row>
    <row r="4" spans="1:13" ht="12.75">
      <c r="A4" t="s">
        <v>20</v>
      </c>
      <c r="B4" s="2">
        <v>3</v>
      </c>
      <c r="D4">
        <v>0.1</v>
      </c>
      <c r="E4">
        <f aca="true" t="shared" si="3" ref="E4:E13">IF(D4&lt;=B$4,D4,0)</f>
        <v>0.1</v>
      </c>
      <c r="F4">
        <f>'3-hour storm'!I5</f>
        <v>0.049600000000000005</v>
      </c>
      <c r="G4">
        <f t="shared" si="0"/>
        <v>0</v>
      </c>
      <c r="H4">
        <f aca="true" t="shared" si="4" ref="H4:H33">IF(G4&lt;&gt;0,G4-G3,0)</f>
        <v>0</v>
      </c>
      <c r="I4">
        <f t="shared" si="1"/>
        <v>0</v>
      </c>
      <c r="J4">
        <f t="shared" si="2"/>
        <v>0</v>
      </c>
      <c r="K4">
        <f aca="true" t="shared" si="5" ref="K4:K33">J4+0.000001</f>
        <v>1E-06</v>
      </c>
      <c r="L4">
        <f aca="true" t="shared" si="6" ref="L4:L33">2*J4</f>
        <v>0</v>
      </c>
      <c r="M4">
        <f>M3+2*I4/43560</f>
        <v>0</v>
      </c>
    </row>
    <row r="5" spans="2:13" ht="12.75">
      <c r="B5" s="5"/>
      <c r="D5">
        <v>0.2</v>
      </c>
      <c r="E5">
        <f t="shared" si="3"/>
        <v>0.2</v>
      </c>
      <c r="F5">
        <f>'3-hour storm'!I6</f>
        <v>0.09920000000000001</v>
      </c>
      <c r="G5">
        <f t="shared" si="0"/>
        <v>0.0005820386354295208</v>
      </c>
      <c r="H5">
        <f t="shared" si="4"/>
        <v>0.0005820386354295208</v>
      </c>
      <c r="I5">
        <f t="shared" si="1"/>
        <v>0.19401287847650694</v>
      </c>
      <c r="J5">
        <f t="shared" si="2"/>
        <v>0.0005389246624347415</v>
      </c>
      <c r="K5">
        <f t="shared" si="5"/>
        <v>0.0005399246624347415</v>
      </c>
      <c r="L5">
        <f t="shared" si="6"/>
        <v>0.001077849324869483</v>
      </c>
      <c r="M5">
        <f aca="true" t="shared" si="7" ref="M5:M33">M4+2*I5/43560</f>
        <v>8.907845660078372E-06</v>
      </c>
    </row>
    <row r="6" spans="1:13" ht="12.75">
      <c r="A6" t="s">
        <v>31</v>
      </c>
      <c r="B6" s="4">
        <f>'Input and Output'!B6</f>
        <v>96</v>
      </c>
      <c r="D6">
        <v>0.3</v>
      </c>
      <c r="E6">
        <f t="shared" si="3"/>
        <v>0.3</v>
      </c>
      <c r="F6">
        <f>'3-hour storm'!I7</f>
        <v>0.14880000000000002</v>
      </c>
      <c r="G6">
        <f t="shared" si="0"/>
        <v>0.008889417404129837</v>
      </c>
      <c r="H6">
        <f t="shared" si="4"/>
        <v>0.008307378768700316</v>
      </c>
      <c r="I6">
        <f t="shared" si="1"/>
        <v>2.769126256233439</v>
      </c>
      <c r="J6">
        <f t="shared" si="2"/>
        <v>0.007692017378426219</v>
      </c>
      <c r="K6">
        <f t="shared" si="5"/>
        <v>0.007693017378426219</v>
      </c>
      <c r="L6">
        <f t="shared" si="6"/>
        <v>0.015384034756852438</v>
      </c>
      <c r="M6">
        <f t="shared" si="7"/>
        <v>0.00013604862877456133</v>
      </c>
    </row>
    <row r="7" spans="1:13" ht="12.75">
      <c r="A7" t="s">
        <v>4</v>
      </c>
      <c r="B7">
        <f>1000/B6-10</f>
        <v>0.4166666666666661</v>
      </c>
      <c r="D7">
        <v>0.4</v>
      </c>
      <c r="E7">
        <f t="shared" si="3"/>
        <v>0.4</v>
      </c>
      <c r="F7">
        <f>'3-hour storm'!I8</f>
        <v>0.19840000000000002</v>
      </c>
      <c r="G7">
        <f t="shared" si="0"/>
        <v>0.024900334336342436</v>
      </c>
      <c r="H7">
        <f t="shared" si="4"/>
        <v>0.0160109169322126</v>
      </c>
      <c r="I7">
        <f t="shared" si="1"/>
        <v>5.336972310737532</v>
      </c>
      <c r="J7">
        <f t="shared" si="2"/>
        <v>0.014824923085382033</v>
      </c>
      <c r="K7">
        <f t="shared" si="5"/>
        <v>0.014825923085382033</v>
      </c>
      <c r="L7">
        <f t="shared" si="6"/>
        <v>0.029649846170764067</v>
      </c>
      <c r="M7">
        <f t="shared" si="7"/>
        <v>0.0003810886797726115</v>
      </c>
    </row>
    <row r="8" spans="1:13" ht="12.75">
      <c r="A8" t="s">
        <v>88</v>
      </c>
      <c r="B8">
        <f>B3/B4</f>
        <v>2.6666666666666665</v>
      </c>
      <c r="D8">
        <v>0.5</v>
      </c>
      <c r="E8">
        <f t="shared" si="3"/>
        <v>0.5</v>
      </c>
      <c r="F8">
        <f>'3-hour storm'!I9</f>
        <v>0.248</v>
      </c>
      <c r="G8">
        <f t="shared" si="0"/>
        <v>0.04664296636085638</v>
      </c>
      <c r="H8">
        <f t="shared" si="4"/>
        <v>0.021742632024513944</v>
      </c>
      <c r="I8">
        <f t="shared" si="1"/>
        <v>7.247544008171315</v>
      </c>
      <c r="J8">
        <f t="shared" si="2"/>
        <v>0.020132066689364764</v>
      </c>
      <c r="K8">
        <f t="shared" si="5"/>
        <v>0.020133066689364765</v>
      </c>
      <c r="L8">
        <f t="shared" si="6"/>
        <v>0.04026413337872953</v>
      </c>
      <c r="M8">
        <f t="shared" si="7"/>
        <v>0.0007138501126546737</v>
      </c>
    </row>
    <row r="9" spans="4:13" ht="12.75">
      <c r="D9">
        <v>0.6</v>
      </c>
      <c r="E9">
        <f t="shared" si="3"/>
        <v>0.6</v>
      </c>
      <c r="F9">
        <f>'3-hour storm'!I10</f>
        <v>0.3248</v>
      </c>
      <c r="G9">
        <f t="shared" si="0"/>
        <v>0.08859321988114548</v>
      </c>
      <c r="H9">
        <f t="shared" si="4"/>
        <v>0.041950253520289096</v>
      </c>
      <c r="I9">
        <f t="shared" si="1"/>
        <v>13.983417840096365</v>
      </c>
      <c r="J9">
        <f t="shared" si="2"/>
        <v>0.03884282733360101</v>
      </c>
      <c r="K9">
        <f t="shared" si="5"/>
        <v>0.03884382733360101</v>
      </c>
      <c r="L9">
        <f t="shared" si="6"/>
        <v>0.07768565466720202</v>
      </c>
      <c r="M9">
        <f t="shared" si="7"/>
        <v>0.0013558803165158474</v>
      </c>
    </row>
    <row r="10" spans="1:13" ht="12.75">
      <c r="A10" t="s">
        <v>21</v>
      </c>
      <c r="D10">
        <v>0.7</v>
      </c>
      <c r="E10">
        <f t="shared" si="3"/>
        <v>0.7</v>
      </c>
      <c r="F10">
        <f>'3-hour storm'!I11</f>
        <v>0.40159999999999996</v>
      </c>
      <c r="G10">
        <f t="shared" si="0"/>
        <v>0.13782701983551057</v>
      </c>
      <c r="H10">
        <f t="shared" si="4"/>
        <v>0.049233799954365096</v>
      </c>
      <c r="I10">
        <f t="shared" si="1"/>
        <v>16.411266651455033</v>
      </c>
      <c r="J10">
        <f t="shared" si="2"/>
        <v>0.04558685180959732</v>
      </c>
      <c r="K10">
        <f t="shared" si="5"/>
        <v>0.04558785180959732</v>
      </c>
      <c r="L10">
        <f t="shared" si="6"/>
        <v>0.09117370361919463</v>
      </c>
      <c r="M10">
        <f t="shared" si="7"/>
        <v>0.002109381999319109</v>
      </c>
    </row>
    <row r="11" spans="4:13" ht="12.75">
      <c r="D11">
        <v>0.8</v>
      </c>
      <c r="E11">
        <f t="shared" si="3"/>
        <v>0.8</v>
      </c>
      <c r="F11">
        <f>'3-hour storm'!I12</f>
        <v>0.47839999999999994</v>
      </c>
      <c r="G11">
        <f t="shared" si="0"/>
        <v>0.192277025843189</v>
      </c>
      <c r="H11">
        <f t="shared" si="4"/>
        <v>0.054450006007678436</v>
      </c>
      <c r="I11">
        <f t="shared" si="1"/>
        <v>18.15000200255948</v>
      </c>
      <c r="J11">
        <f t="shared" si="2"/>
        <v>0.05041667222933188</v>
      </c>
      <c r="K11">
        <f t="shared" si="5"/>
        <v>0.050417672229331884</v>
      </c>
      <c r="L11">
        <f t="shared" si="6"/>
        <v>0.10083334445866377</v>
      </c>
      <c r="M11">
        <f t="shared" si="7"/>
        <v>0.002942715424597322</v>
      </c>
    </row>
    <row r="12" spans="1:13" ht="12.75">
      <c r="A12" t="s">
        <v>24</v>
      </c>
      <c r="B12" s="2">
        <f>'Input and Output'!B10</f>
        <v>20</v>
      </c>
      <c r="D12">
        <v>0.9</v>
      </c>
      <c r="E12">
        <f t="shared" si="3"/>
        <v>0.9</v>
      </c>
      <c r="F12">
        <f>'3-hour storm'!I13</f>
        <v>0.5551999999999999</v>
      </c>
      <c r="G12">
        <f t="shared" si="0"/>
        <v>0.2505906562625052</v>
      </c>
      <c r="H12">
        <f t="shared" si="4"/>
        <v>0.0583136304193162</v>
      </c>
      <c r="I12">
        <f t="shared" si="1"/>
        <v>19.43787680643873</v>
      </c>
      <c r="J12">
        <f t="shared" si="2"/>
        <v>0.05399410224010758</v>
      </c>
      <c r="K12">
        <f t="shared" si="5"/>
        <v>0.05399510224010758</v>
      </c>
      <c r="L12">
        <f t="shared" si="6"/>
        <v>0.10798820448021516</v>
      </c>
      <c r="M12">
        <f t="shared" si="7"/>
        <v>0.003835179924433811</v>
      </c>
    </row>
    <row r="13" spans="1:13" ht="12.75">
      <c r="A13" t="s">
        <v>23</v>
      </c>
      <c r="B13" s="2">
        <f>'Input and Output'!B11</f>
        <v>400</v>
      </c>
      <c r="D13">
        <v>1</v>
      </c>
      <c r="E13">
        <f t="shared" si="3"/>
        <v>1</v>
      </c>
      <c r="F13">
        <f>'3-hour storm'!I14</f>
        <v>0.6319999999999999</v>
      </c>
      <c r="G13">
        <f t="shared" si="0"/>
        <v>0.31184576427256006</v>
      </c>
      <c r="H13">
        <f t="shared" si="4"/>
        <v>0.06125510801005485</v>
      </c>
      <c r="I13">
        <f t="shared" si="1"/>
        <v>20.41836933668495</v>
      </c>
      <c r="J13">
        <f t="shared" si="2"/>
        <v>0.05671769260190264</v>
      </c>
      <c r="K13">
        <f t="shared" si="5"/>
        <v>0.05671869260190264</v>
      </c>
      <c r="L13">
        <f t="shared" si="6"/>
        <v>0.11343538520380528</v>
      </c>
      <c r="M13">
        <f t="shared" si="7"/>
        <v>0.004772662446779309</v>
      </c>
    </row>
    <row r="14" spans="1:13" ht="12.75">
      <c r="A14" t="s">
        <v>22</v>
      </c>
      <c r="B14" s="2">
        <f>'Input and Output'!B12</f>
        <v>0.08</v>
      </c>
      <c r="D14">
        <v>1.1</v>
      </c>
      <c r="E14">
        <f aca="true" t="shared" si="8" ref="E14:E33">IF(D14&lt;=B$4,D14,0)</f>
        <v>1.1</v>
      </c>
      <c r="F14">
        <f>'3-hour storm'!I15</f>
        <v>1.3664</v>
      </c>
      <c r="G14">
        <f t="shared" si="0"/>
        <v>0.9685402049994776</v>
      </c>
      <c r="H14">
        <f t="shared" si="4"/>
        <v>0.6566944407269175</v>
      </c>
      <c r="I14">
        <f t="shared" si="1"/>
        <v>218.8981469089725</v>
      </c>
      <c r="J14">
        <f t="shared" si="2"/>
        <v>0.6080504080804792</v>
      </c>
      <c r="K14">
        <f t="shared" si="5"/>
        <v>0.6080514080804792</v>
      </c>
      <c r="L14">
        <f t="shared" si="6"/>
        <v>1.2161008161609583</v>
      </c>
      <c r="M14">
        <f t="shared" si="7"/>
        <v>0.014823082415051692</v>
      </c>
    </row>
    <row r="15" spans="1:13" ht="12.75">
      <c r="A15" t="s">
        <v>126</v>
      </c>
      <c r="B15" s="2">
        <f>'Input and Output'!B15</f>
        <v>0.5</v>
      </c>
      <c r="D15">
        <v>1.2</v>
      </c>
      <c r="E15">
        <f t="shared" si="8"/>
        <v>1.2</v>
      </c>
      <c r="F15">
        <f>'3-hour storm'!I16</f>
        <v>2.1008000000000004</v>
      </c>
      <c r="G15">
        <f t="shared" si="0"/>
        <v>1.6721235831142283</v>
      </c>
      <c r="H15">
        <f t="shared" si="4"/>
        <v>0.7035833781147507</v>
      </c>
      <c r="I15">
        <f t="shared" si="1"/>
        <v>234.5277927049169</v>
      </c>
      <c r="J15">
        <f t="shared" si="2"/>
        <v>0.6514660908469914</v>
      </c>
      <c r="K15">
        <f t="shared" si="5"/>
        <v>0.6514670908469914</v>
      </c>
      <c r="L15">
        <f t="shared" si="6"/>
        <v>1.3029321816939827</v>
      </c>
      <c r="M15">
        <f t="shared" si="7"/>
        <v>0.025591116974506094</v>
      </c>
    </row>
    <row r="16" spans="1:13" ht="12.75">
      <c r="A16" t="s">
        <v>25</v>
      </c>
      <c r="B16" s="2">
        <f>'Input and Output'!B13</f>
        <v>0.03</v>
      </c>
      <c r="D16">
        <v>1.3</v>
      </c>
      <c r="E16">
        <f t="shared" si="8"/>
        <v>1.3</v>
      </c>
      <c r="F16">
        <f>'3-hour storm'!I17</f>
        <v>2.8352000000000004</v>
      </c>
      <c r="G16">
        <f t="shared" si="0"/>
        <v>2.389992262806487</v>
      </c>
      <c r="H16">
        <f t="shared" si="4"/>
        <v>0.7178686796922589</v>
      </c>
      <c r="I16">
        <f t="shared" si="1"/>
        <v>239.28955989741962</v>
      </c>
      <c r="J16">
        <f t="shared" si="2"/>
        <v>0.6646932219372768</v>
      </c>
      <c r="K16">
        <f t="shared" si="5"/>
        <v>0.6646942219372768</v>
      </c>
      <c r="L16">
        <f t="shared" si="6"/>
        <v>1.3293864438745535</v>
      </c>
      <c r="M16">
        <f t="shared" si="7"/>
        <v>0.036577781799915624</v>
      </c>
    </row>
    <row r="17" spans="1:13" ht="12.75">
      <c r="A17" t="s">
        <v>92</v>
      </c>
      <c r="B17" s="2">
        <f>'Input and Output'!B14</f>
        <v>0.5</v>
      </c>
      <c r="D17">
        <v>1.4</v>
      </c>
      <c r="E17">
        <f t="shared" si="8"/>
        <v>1.4</v>
      </c>
      <c r="F17">
        <f>'3-hour storm'!I18</f>
        <v>3.5696000000000003</v>
      </c>
      <c r="G17">
        <f t="shared" si="0"/>
        <v>3.1140822128086008</v>
      </c>
      <c r="H17">
        <f t="shared" si="4"/>
        <v>0.7240899500021136</v>
      </c>
      <c r="I17">
        <f t="shared" si="1"/>
        <v>241.3633166673712</v>
      </c>
      <c r="J17">
        <f t="shared" si="2"/>
        <v>0.6704536574093645</v>
      </c>
      <c r="K17">
        <f t="shared" si="5"/>
        <v>0.6704546574093645</v>
      </c>
      <c r="L17">
        <f t="shared" si="6"/>
        <v>1.340907314818729</v>
      </c>
      <c r="M17">
        <f t="shared" si="7"/>
        <v>0.04765966043478115</v>
      </c>
    </row>
    <row r="18" spans="1:13" ht="12.75">
      <c r="A18" t="s">
        <v>26</v>
      </c>
      <c r="B18">
        <f>B13*B12/43560</f>
        <v>0.18365472910927455</v>
      </c>
      <c r="D18">
        <v>1.5</v>
      </c>
      <c r="E18">
        <f t="shared" si="8"/>
        <v>1.5</v>
      </c>
      <c r="F18">
        <f>'3-hour storm'!I19</f>
        <v>3.6720000000000006</v>
      </c>
      <c r="G18">
        <f t="shared" si="0"/>
        <v>3.2153449844651587</v>
      </c>
      <c r="H18">
        <f t="shared" si="4"/>
        <v>0.10126277165655795</v>
      </c>
      <c r="I18">
        <f t="shared" si="1"/>
        <v>33.75425721885265</v>
      </c>
      <c r="J18">
        <f t="shared" si="2"/>
        <v>0.09376182560792402</v>
      </c>
      <c r="K18">
        <f t="shared" si="5"/>
        <v>0.09376282560792402</v>
      </c>
      <c r="L18">
        <f t="shared" si="6"/>
        <v>0.18752365121584805</v>
      </c>
      <c r="M18">
        <f t="shared" si="7"/>
        <v>0.049209442676234436</v>
      </c>
    </row>
    <row r="19" spans="1:13" ht="12.75">
      <c r="A19" t="s">
        <v>27</v>
      </c>
      <c r="B19">
        <v>2</v>
      </c>
      <c r="D19">
        <v>1.6</v>
      </c>
      <c r="E19">
        <f t="shared" si="8"/>
        <v>1.6</v>
      </c>
      <c r="F19">
        <f>'3-hour storm'!I20</f>
        <v>3.7872000000000003</v>
      </c>
      <c r="G19">
        <f t="shared" si="0"/>
        <v>3.3293331650703264</v>
      </c>
      <c r="H19">
        <f t="shared" si="4"/>
        <v>0.11398818060516769</v>
      </c>
      <c r="I19">
        <f t="shared" si="1"/>
        <v>37.996060201722564</v>
      </c>
      <c r="J19">
        <f t="shared" si="2"/>
        <v>0.10554461167145157</v>
      </c>
      <c r="K19">
        <f t="shared" si="5"/>
        <v>0.10554561167145157</v>
      </c>
      <c r="L19">
        <f t="shared" si="6"/>
        <v>0.21108922334290314</v>
      </c>
      <c r="M19">
        <f t="shared" si="7"/>
        <v>0.050953981712126194</v>
      </c>
    </row>
    <row r="20" spans="1:13" ht="12.75">
      <c r="A20" t="s">
        <v>28</v>
      </c>
      <c r="B20">
        <f>INT(B13/B19)</f>
        <v>200</v>
      </c>
      <c r="D20">
        <v>1.7</v>
      </c>
      <c r="E20">
        <f t="shared" si="8"/>
        <v>1.7</v>
      </c>
      <c r="F20">
        <f>'3-hour storm'!I21</f>
        <v>3.9024</v>
      </c>
      <c r="G20">
        <f t="shared" si="0"/>
        <v>3.443387261814825</v>
      </c>
      <c r="H20">
        <f t="shared" si="4"/>
        <v>0.11405409674449851</v>
      </c>
      <c r="I20">
        <f t="shared" si="1"/>
        <v>38.01803224816617</v>
      </c>
      <c r="J20">
        <f t="shared" si="2"/>
        <v>0.10560564513379492</v>
      </c>
      <c r="K20">
        <f t="shared" si="5"/>
        <v>0.10560664513379492</v>
      </c>
      <c r="L20">
        <f t="shared" si="6"/>
        <v>0.21121129026758984</v>
      </c>
      <c r="M20">
        <f t="shared" si="7"/>
        <v>0.05269952956557735</v>
      </c>
    </row>
    <row r="21" spans="1:13" ht="12.75">
      <c r="A21" t="s">
        <v>29</v>
      </c>
      <c r="B21">
        <f>B20*B12</f>
        <v>4000</v>
      </c>
      <c r="D21">
        <v>1.8</v>
      </c>
      <c r="E21">
        <f t="shared" si="8"/>
        <v>1.8</v>
      </c>
      <c r="F21">
        <f>'3-hour storm'!I22</f>
        <v>4.0176</v>
      </c>
      <c r="G21">
        <f t="shared" si="0"/>
        <v>3.557502038898423</v>
      </c>
      <c r="H21">
        <f t="shared" si="4"/>
        <v>0.11411477708359818</v>
      </c>
      <c r="I21">
        <f t="shared" si="1"/>
        <v>38.03825902786606</v>
      </c>
      <c r="J21">
        <f t="shared" si="2"/>
        <v>0.10566183063296128</v>
      </c>
      <c r="K21">
        <f t="shared" si="5"/>
        <v>0.10566283063296128</v>
      </c>
      <c r="L21">
        <f t="shared" si="6"/>
        <v>0.21132366126592256</v>
      </c>
      <c r="M21">
        <f t="shared" si="7"/>
        <v>0.05444600610496514</v>
      </c>
    </row>
    <row r="22" spans="4:13" ht="12.75">
      <c r="D22">
        <v>1.9</v>
      </c>
      <c r="E22">
        <f t="shared" si="8"/>
        <v>1.9</v>
      </c>
      <c r="F22">
        <f>'3-hour storm'!I23</f>
        <v>4.1328</v>
      </c>
      <c r="G22">
        <f t="shared" si="0"/>
        <v>3.671672800732426</v>
      </c>
      <c r="H22">
        <f t="shared" si="4"/>
        <v>0.1141707618340031</v>
      </c>
      <c r="I22">
        <f t="shared" si="1"/>
        <v>38.05692061133436</v>
      </c>
      <c r="J22">
        <f t="shared" si="2"/>
        <v>0.10571366836481767</v>
      </c>
      <c r="K22">
        <f t="shared" si="5"/>
        <v>0.10571466836481767</v>
      </c>
      <c r="L22">
        <f t="shared" si="6"/>
        <v>0.21142733672963535</v>
      </c>
      <c r="M22">
        <f t="shared" si="7"/>
        <v>0.056193339466367086</v>
      </c>
    </row>
    <row r="23" spans="1:13" ht="12.75">
      <c r="A23" t="s">
        <v>61</v>
      </c>
      <c r="B23">
        <f>MAX(L3:L33)</f>
        <v>1.340907314818729</v>
      </c>
      <c r="D23">
        <v>2</v>
      </c>
      <c r="E23">
        <f t="shared" si="8"/>
        <v>2</v>
      </c>
      <c r="F23">
        <f>'3-hour storm'!I24</f>
        <v>4.248</v>
      </c>
      <c r="G23">
        <f t="shared" si="0"/>
        <v>3.7858953240201796</v>
      </c>
      <c r="H23">
        <f t="shared" si="4"/>
        <v>0.1142225232877534</v>
      </c>
      <c r="I23">
        <f t="shared" si="1"/>
        <v>38.07417442925113</v>
      </c>
      <c r="J23">
        <f t="shared" si="2"/>
        <v>0.10576159563680869</v>
      </c>
      <c r="K23">
        <f t="shared" si="5"/>
        <v>0.10576259563680869</v>
      </c>
      <c r="L23">
        <f t="shared" si="6"/>
        <v>0.21152319127361738</v>
      </c>
      <c r="M23">
        <f t="shared" si="7"/>
        <v>0.057941465014082934</v>
      </c>
    </row>
    <row r="24" spans="1:13" ht="12.75">
      <c r="A24" t="s">
        <v>62</v>
      </c>
      <c r="B24">
        <f>MAX(G3:G243)</f>
        <v>4.294085951134382</v>
      </c>
      <c r="D24">
        <v>2.1</v>
      </c>
      <c r="E24">
        <f t="shared" si="8"/>
        <v>2.1</v>
      </c>
      <c r="F24">
        <f>'3-hour storm'!I25</f>
        <v>4.3072</v>
      </c>
      <c r="G24">
        <f t="shared" si="0"/>
        <v>3.844611887522508</v>
      </c>
      <c r="H24">
        <f t="shared" si="4"/>
        <v>0.058716563502328345</v>
      </c>
      <c r="I24">
        <f t="shared" si="1"/>
        <v>19.57218783410945</v>
      </c>
      <c r="J24">
        <f t="shared" si="2"/>
        <v>0.0543671884280818</v>
      </c>
      <c r="K24">
        <f t="shared" si="5"/>
        <v>0.054368188428081804</v>
      </c>
      <c r="L24">
        <f t="shared" si="6"/>
        <v>0.1087343768561636</v>
      </c>
      <c r="M24">
        <f t="shared" si="7"/>
        <v>0.058840096227770235</v>
      </c>
    </row>
    <row r="25" spans="1:13" ht="12.75">
      <c r="A25" t="s">
        <v>63</v>
      </c>
      <c r="B25">
        <f>B24/12*B12*B13/43560</f>
        <v>0.06571909934396054</v>
      </c>
      <c r="D25">
        <v>2.2</v>
      </c>
      <c r="E25">
        <f t="shared" si="8"/>
        <v>2.2</v>
      </c>
      <c r="F25">
        <f>'3-hour storm'!I26</f>
        <v>4.3664</v>
      </c>
      <c r="G25">
        <f t="shared" si="0"/>
        <v>3.9033406302012414</v>
      </c>
      <c r="H25">
        <f t="shared" si="4"/>
        <v>0.058728742678733514</v>
      </c>
      <c r="I25">
        <f t="shared" si="1"/>
        <v>19.576247559577837</v>
      </c>
      <c r="J25">
        <f t="shared" si="2"/>
        <v>0.05437846544327177</v>
      </c>
      <c r="K25">
        <f t="shared" si="5"/>
        <v>0.05437946544327177</v>
      </c>
      <c r="L25">
        <f t="shared" si="6"/>
        <v>0.10875693088654353</v>
      </c>
      <c r="M25">
        <f t="shared" si="7"/>
        <v>0.059738913838402824</v>
      </c>
    </row>
    <row r="26" spans="4:13" ht="12.75">
      <c r="D26">
        <v>2.3</v>
      </c>
      <c r="E26">
        <f t="shared" si="8"/>
        <v>2.3</v>
      </c>
      <c r="F26">
        <f>'3-hour storm'!I27</f>
        <v>4.425599999999999</v>
      </c>
      <c r="G26">
        <f t="shared" si="0"/>
        <v>3.962081097538197</v>
      </c>
      <c r="H26">
        <f t="shared" si="4"/>
        <v>0.05874046733695559</v>
      </c>
      <c r="I26">
        <f t="shared" si="1"/>
        <v>19.580155778985198</v>
      </c>
      <c r="J26">
        <f t="shared" si="2"/>
        <v>0.05438932160829221</v>
      </c>
      <c r="K26">
        <f t="shared" si="5"/>
        <v>0.054390321608292214</v>
      </c>
      <c r="L26">
        <f t="shared" si="6"/>
        <v>0.10877864321658443</v>
      </c>
      <c r="M26">
        <f t="shared" si="7"/>
        <v>0.06063791088977955</v>
      </c>
    </row>
    <row r="27" spans="1:13" ht="12.75">
      <c r="A27" t="s">
        <v>82</v>
      </c>
      <c r="D27">
        <v>2.4</v>
      </c>
      <c r="E27">
        <f t="shared" si="8"/>
        <v>2.4</v>
      </c>
      <c r="F27">
        <f>'3-hour storm'!I28</f>
        <v>4.484799999999999</v>
      </c>
      <c r="G27">
        <f t="shared" si="0"/>
        <v>4.020832857353701</v>
      </c>
      <c r="H27">
        <f t="shared" si="4"/>
        <v>0.05875175981550429</v>
      </c>
      <c r="I27">
        <f t="shared" si="1"/>
        <v>19.58391993850143</v>
      </c>
      <c r="J27">
        <f t="shared" si="2"/>
        <v>0.05439977760694842</v>
      </c>
      <c r="K27">
        <f t="shared" si="5"/>
        <v>0.05440077760694842</v>
      </c>
      <c r="L27">
        <f t="shared" si="6"/>
        <v>0.10879955521389684</v>
      </c>
      <c r="M27">
        <f t="shared" si="7"/>
        <v>0.061537080767580354</v>
      </c>
    </row>
    <row r="28" spans="4:13" ht="12.75">
      <c r="D28">
        <v>2.5</v>
      </c>
      <c r="E28">
        <f t="shared" si="8"/>
        <v>2.5</v>
      </c>
      <c r="F28">
        <f>'3-hour storm'!I29</f>
        <v>4.5440000000000005</v>
      </c>
      <c r="G28">
        <f t="shared" si="0"/>
        <v>4.079595498450885</v>
      </c>
      <c r="H28">
        <f t="shared" si="4"/>
        <v>0.05876264109718399</v>
      </c>
      <c r="I28">
        <f t="shared" si="1"/>
        <v>19.587547032394664</v>
      </c>
      <c r="J28">
        <f t="shared" si="2"/>
        <v>0.05440985286776295</v>
      </c>
      <c r="K28">
        <f t="shared" si="5"/>
        <v>0.054410852867762954</v>
      </c>
      <c r="L28">
        <f t="shared" si="6"/>
        <v>0.1088197057355259</v>
      </c>
      <c r="M28">
        <f t="shared" si="7"/>
        <v>0.06243641717861776</v>
      </c>
    </row>
    <row r="29" spans="1:13" ht="12.75">
      <c r="A29" t="s">
        <v>83</v>
      </c>
      <c r="B29" s="2">
        <f>'Input and Output'!B30</f>
        <v>90</v>
      </c>
      <c r="D29">
        <v>2.6</v>
      </c>
      <c r="E29">
        <f t="shared" si="8"/>
        <v>2.6</v>
      </c>
      <c r="F29">
        <f>'3-hour storm'!I30</f>
        <v>4.5872</v>
      </c>
      <c r="G29">
        <f t="shared" si="0"/>
        <v>4.122482986487464</v>
      </c>
      <c r="H29">
        <f t="shared" si="4"/>
        <v>0.0428874880365786</v>
      </c>
      <c r="I29">
        <f t="shared" si="1"/>
        <v>14.2958293455262</v>
      </c>
      <c r="J29">
        <f t="shared" si="2"/>
        <v>0.039710637070906114</v>
      </c>
      <c r="K29">
        <f t="shared" si="5"/>
        <v>0.039711637070906115</v>
      </c>
      <c r="L29">
        <f t="shared" si="6"/>
        <v>0.07942127414181223</v>
      </c>
      <c r="M29">
        <f t="shared" si="7"/>
        <v>0.06309279134507902</v>
      </c>
    </row>
    <row r="30" spans="1:13" ht="12.75">
      <c r="A30" t="s">
        <v>84</v>
      </c>
      <c r="B30">
        <f>MAX(RADIANS(B29-0.0001),0)</f>
        <v>1.5707945814656445</v>
      </c>
      <c r="D30">
        <v>2.7</v>
      </c>
      <c r="E30">
        <f t="shared" si="8"/>
        <v>2.7</v>
      </c>
      <c r="F30">
        <f>'3-hour storm'!I31</f>
        <v>4.6304</v>
      </c>
      <c r="G30">
        <f t="shared" si="0"/>
        <v>4.1653759141864555</v>
      </c>
      <c r="H30">
        <f t="shared" si="4"/>
        <v>0.042892927698991556</v>
      </c>
      <c r="I30">
        <f t="shared" si="1"/>
        <v>14.297642566330516</v>
      </c>
      <c r="J30">
        <f t="shared" si="2"/>
        <v>0.03971567379536255</v>
      </c>
      <c r="K30">
        <f t="shared" si="5"/>
        <v>0.03971667379536255</v>
      </c>
      <c r="L30">
        <f t="shared" si="6"/>
        <v>0.0794313475907251</v>
      </c>
      <c r="M30">
        <f t="shared" si="7"/>
        <v>0.06374924876318418</v>
      </c>
    </row>
    <row r="31" spans="1:13" ht="12.75">
      <c r="A31" t="s">
        <v>85</v>
      </c>
      <c r="B31">
        <f>TAN(B30)</f>
        <v>572957.795104336</v>
      </c>
      <c r="D31">
        <v>2.8</v>
      </c>
      <c r="E31">
        <f t="shared" si="8"/>
        <v>2.8</v>
      </c>
      <c r="F31">
        <f>'3-hour storm'!I32</f>
        <v>4.6735999999999995</v>
      </c>
      <c r="G31">
        <f t="shared" si="0"/>
        <v>4.208274140747053</v>
      </c>
      <c r="H31">
        <f t="shared" si="4"/>
        <v>0.04289822656059794</v>
      </c>
      <c r="I31">
        <f t="shared" si="1"/>
        <v>14.299408853532647</v>
      </c>
      <c r="J31">
        <f t="shared" si="2"/>
        <v>0.0397205801487018</v>
      </c>
      <c r="K31">
        <f t="shared" si="5"/>
        <v>0.0397215801487018</v>
      </c>
      <c r="L31">
        <f t="shared" si="6"/>
        <v>0.0794411602974036</v>
      </c>
      <c r="M31">
        <f t="shared" si="7"/>
        <v>0.06440578727803875</v>
      </c>
    </row>
    <row r="32" spans="1:13" ht="12.75">
      <c r="A32" t="s">
        <v>15</v>
      </c>
      <c r="B32" s="2">
        <f>'Input and Output'!B31</f>
        <v>3</v>
      </c>
      <c r="D32">
        <v>2.9</v>
      </c>
      <c r="E32">
        <f t="shared" si="8"/>
        <v>2.9</v>
      </c>
      <c r="F32">
        <f>'3-hour storm'!I33</f>
        <v>4.716799999999999</v>
      </c>
      <c r="G32">
        <f t="shared" si="0"/>
        <v>4.251177530186221</v>
      </c>
      <c r="H32">
        <f t="shared" si="4"/>
        <v>0.04290338943916794</v>
      </c>
      <c r="I32">
        <f t="shared" si="1"/>
        <v>14.30112981305598</v>
      </c>
      <c r="J32">
        <f t="shared" si="2"/>
        <v>0.03972536059182216</v>
      </c>
      <c r="K32">
        <f t="shared" si="5"/>
        <v>0.03972636059182216</v>
      </c>
      <c r="L32">
        <f t="shared" si="6"/>
        <v>0.07945072118364432</v>
      </c>
      <c r="M32">
        <f t="shared" si="7"/>
        <v>0.06506240480848209</v>
      </c>
    </row>
    <row r="33" spans="4:13" ht="12.75">
      <c r="D33">
        <v>3</v>
      </c>
      <c r="E33">
        <f t="shared" si="8"/>
        <v>3</v>
      </c>
      <c r="F33">
        <f>'3-hour storm'!I34</f>
        <v>4.760000000000001</v>
      </c>
      <c r="G33">
        <f t="shared" si="0"/>
        <v>4.294085951134382</v>
      </c>
      <c r="H33">
        <f t="shared" si="4"/>
        <v>0.0429084209481605</v>
      </c>
      <c r="I33">
        <f t="shared" si="1"/>
        <v>14.302806982720163</v>
      </c>
      <c r="J33">
        <f t="shared" si="2"/>
        <v>0.039730019396444896</v>
      </c>
      <c r="K33">
        <f t="shared" si="5"/>
        <v>0.0397310193964449</v>
      </c>
      <c r="L33">
        <f t="shared" si="6"/>
        <v>0.07946003879288979</v>
      </c>
      <c r="M33">
        <f t="shared" si="7"/>
        <v>0.06571909934396052</v>
      </c>
    </row>
    <row r="34" spans="1:2" ht="12.75">
      <c r="A34" t="s">
        <v>87</v>
      </c>
      <c r="B34" s="4">
        <f>IF(B45="A",0.0659,0.0306)</f>
        <v>0.0659</v>
      </c>
    </row>
    <row r="37" ht="12.75">
      <c r="B37" s="2"/>
    </row>
    <row r="39" spans="1:2" ht="12.75">
      <c r="A39" t="s">
        <v>90</v>
      </c>
      <c r="B39">
        <v>0.6863</v>
      </c>
    </row>
    <row r="40" ht="12.75">
      <c r="B40" s="9"/>
    </row>
    <row r="41" ht="12.75">
      <c r="B41" s="9"/>
    </row>
    <row r="42" ht="13.5" thickBot="1">
      <c r="B42" s="10"/>
    </row>
    <row r="44" ht="12.75">
      <c r="A44" t="s">
        <v>101</v>
      </c>
    </row>
    <row r="45" spans="1:2" ht="12.75">
      <c r="A45" t="s">
        <v>102</v>
      </c>
      <c r="B45" s="11" t="str">
        <f>IF('Input and Output'!B21="X","A","C")</f>
        <v>A</v>
      </c>
    </row>
    <row r="46" spans="1:2" ht="12.75">
      <c r="A46" t="s">
        <v>103</v>
      </c>
      <c r="B46">
        <f>IF(B45="A",-0.5918,-0.6171)</f>
        <v>-0.5918</v>
      </c>
    </row>
    <row r="47" spans="1:2" ht="12.75">
      <c r="A47" t="s">
        <v>104</v>
      </c>
      <c r="B47">
        <f>IF(B45="A",0.5519,0.6224)</f>
        <v>0.5519</v>
      </c>
    </row>
    <row r="48" spans="1:2" ht="12.75">
      <c r="A48" t="s">
        <v>105</v>
      </c>
      <c r="B48">
        <f>IF(B45="A",0.6559,1.906)</f>
        <v>0.6559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N247"/>
  <sheetViews>
    <sheetView workbookViewId="0" topLeftCell="A1">
      <selection activeCell="A1" sqref="A1"/>
    </sheetView>
  </sheetViews>
  <sheetFormatPr defaultColWidth="9.140625" defaultRowHeight="12.75"/>
  <cols>
    <col min="8" max="8" width="11.00390625" style="0" bestFit="1" customWidth="1"/>
    <col min="11" max="11" width="12.421875" style="0" bestFit="1" customWidth="1"/>
    <col min="13" max="13" width="12.42187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40</v>
      </c>
      <c r="I1" t="s">
        <v>41</v>
      </c>
      <c r="J1" t="s">
        <v>78</v>
      </c>
      <c r="K1" t="s">
        <v>71</v>
      </c>
      <c r="L1" t="s">
        <v>41</v>
      </c>
      <c r="M1" t="s">
        <v>73</v>
      </c>
      <c r="N1" t="s">
        <v>41</v>
      </c>
    </row>
    <row r="2" spans="8:14" ht="12.75">
      <c r="H2" t="s">
        <v>76</v>
      </c>
      <c r="I2">
        <f>SLOPE(G4:G247,H4:H247)</f>
        <v>18.396351334942576</v>
      </c>
      <c r="K2" t="s">
        <v>77</v>
      </c>
      <c r="L2">
        <f>SLOPE(K4:K247,J4:J247)</f>
        <v>4.194069542766698</v>
      </c>
      <c r="M2" t="s">
        <v>74</v>
      </c>
      <c r="N2">
        <f>SLOPE(G4:G247,M4:M247)</f>
        <v>2783.2520156782102</v>
      </c>
    </row>
    <row r="3" spans="1:3" ht="12.75">
      <c r="A3">
        <v>0</v>
      </c>
      <c r="B3">
        <f>0.5*A3^2/0.05</f>
        <v>0</v>
      </c>
      <c r="C3">
        <f>A3+2*SQRT(A3^2+(A3/0.05)^2)</f>
        <v>0</v>
      </c>
    </row>
    <row r="4" spans="1:13" ht="12.75">
      <c r="A4">
        <v>0.001</v>
      </c>
      <c r="B4">
        <f>0.5*A4^2/'Preliminary calcs'!B$14</f>
        <v>6.2499999999999995E-06</v>
      </c>
      <c r="C4">
        <f>A4+2*SQRT(A4^2+(A4/0.05)^2)</f>
        <v>0.04104996878900157</v>
      </c>
      <c r="D4">
        <f>B4/C4</f>
        <v>0.00015225346533453513</v>
      </c>
      <c r="E4">
        <f>'Preliminary calcs'!B$16</f>
        <v>0.03</v>
      </c>
      <c r="F4">
        <v>0.025</v>
      </c>
      <c r="G4">
        <f>1.49/F4*B4*D4^(2/3)*SQRT(E4)</f>
        <v>1.8396351334942592E-07</v>
      </c>
      <c r="H4">
        <f>A4^(8/3)</f>
        <v>1.0000000000000018E-08</v>
      </c>
      <c r="J4">
        <f>G4^(3/8)</f>
        <v>0.0029803988399663343</v>
      </c>
      <c r="K4">
        <f>A4/'Preliminary calcs'!$B$14</f>
        <v>0.0125</v>
      </c>
      <c r="M4">
        <f>D4^(8/3)</f>
        <v>6.609660652831651E-11</v>
      </c>
    </row>
    <row r="5" spans="1:13" ht="12.75">
      <c r="A5">
        <v>0.002</v>
      </c>
      <c r="B5">
        <f>0.5*A5^2/'Preliminary calcs'!B$14</f>
        <v>2.4999999999999998E-05</v>
      </c>
      <c r="C5">
        <f aca="true" t="shared" si="0" ref="C5:C68">A5+2*SQRT(A5^2+(A5/0.05)^2)</f>
        <v>0.08209993757800314</v>
      </c>
      <c r="D5">
        <f aca="true" t="shared" si="1" ref="D5:D68">B5/C5</f>
        <v>0.00030450693066907025</v>
      </c>
      <c r="E5">
        <f>'Preliminary calcs'!B$16</f>
        <v>0.03</v>
      </c>
      <c r="F5">
        <v>0.025</v>
      </c>
      <c r="G5">
        <f aca="true" t="shared" si="2" ref="G5:G68">1.49/F5*B5*D5^(2/3)*SQRT(E5)</f>
        <v>1.168095498458578E-06</v>
      </c>
      <c r="H5">
        <f aca="true" t="shared" si="3" ref="H5:H68">A5^(8/3)</f>
        <v>6.349604207872819E-08</v>
      </c>
      <c r="J5">
        <f aca="true" t="shared" si="4" ref="J5:J68">G5^(3/8)</f>
        <v>0.005960797679932669</v>
      </c>
      <c r="K5">
        <f>A5/'Preliminary calcs'!$B$14</f>
        <v>0.025</v>
      </c>
      <c r="M5">
        <f aca="true" t="shared" si="5" ref="M5:M68">D5^(8/3)</f>
        <v>4.1968729093831026E-10</v>
      </c>
    </row>
    <row r="6" spans="1:13" ht="12.75">
      <c r="A6">
        <v>0.003</v>
      </c>
      <c r="B6">
        <f>0.5*A6^2/'Preliminary calcs'!B$14</f>
        <v>5.625E-05</v>
      </c>
      <c r="C6">
        <f t="shared" si="0"/>
        <v>0.12314990636700471</v>
      </c>
      <c r="D6">
        <f t="shared" si="1"/>
        <v>0.0004567603960036054</v>
      </c>
      <c r="E6">
        <f>'Preliminary calcs'!B$16</f>
        <v>0.03</v>
      </c>
      <c r="F6">
        <v>0.025</v>
      </c>
      <c r="G6">
        <f t="shared" si="2"/>
        <v>3.4439357533494025E-06</v>
      </c>
      <c r="H6">
        <f t="shared" si="3"/>
        <v>1.872075440746712E-07</v>
      </c>
      <c r="J6">
        <f t="shared" si="4"/>
        <v>0.008941196519898997</v>
      </c>
      <c r="K6">
        <f>A6/'Preliminary calcs'!$B$14</f>
        <v>0.0375</v>
      </c>
      <c r="M6">
        <f t="shared" si="5"/>
        <v>1.2373783379835992E-09</v>
      </c>
    </row>
    <row r="7" spans="1:13" ht="12.75">
      <c r="A7">
        <v>0.004</v>
      </c>
      <c r="B7">
        <f>0.5*A7^2/'Preliminary calcs'!B$14</f>
        <v>9.999999999999999E-05</v>
      </c>
      <c r="C7">
        <f t="shared" si="0"/>
        <v>0.1641998751560063</v>
      </c>
      <c r="D7">
        <f t="shared" si="1"/>
        <v>0.0006090138613381405</v>
      </c>
      <c r="E7">
        <f>'Preliminary calcs'!B$16</f>
        <v>0.03</v>
      </c>
      <c r="F7">
        <v>0.025</v>
      </c>
      <c r="G7">
        <f t="shared" si="2"/>
        <v>7.416944092209855E-06</v>
      </c>
      <c r="H7">
        <f t="shared" si="3"/>
        <v>4.031747359663599E-07</v>
      </c>
      <c r="J7">
        <f t="shared" si="4"/>
        <v>0.011921595359865339</v>
      </c>
      <c r="K7">
        <f>A7/'Preliminary calcs'!$B$14</f>
        <v>0.05</v>
      </c>
      <c r="M7">
        <f t="shared" si="5"/>
        <v>2.6648481885326246E-09</v>
      </c>
    </row>
    <row r="8" spans="1:13" ht="12.75">
      <c r="A8">
        <v>0.005</v>
      </c>
      <c r="B8">
        <f>0.5*A8^2/'Preliminary calcs'!B$14</f>
        <v>0.00015625</v>
      </c>
      <c r="C8">
        <f t="shared" si="0"/>
        <v>0.20524984394500786</v>
      </c>
      <c r="D8">
        <f t="shared" si="1"/>
        <v>0.0007612673266726757</v>
      </c>
      <c r="E8">
        <f>'Preliminary calcs'!B$16</f>
        <v>0.03</v>
      </c>
      <c r="F8">
        <v>0.025</v>
      </c>
      <c r="G8">
        <f t="shared" si="2"/>
        <v>1.3447814405442007E-05</v>
      </c>
      <c r="H8">
        <f t="shared" si="3"/>
        <v>7.310044345532172E-07</v>
      </c>
      <c r="J8">
        <f t="shared" si="4"/>
        <v>0.01490199419983166</v>
      </c>
      <c r="K8">
        <f>A8/'Preliminary calcs'!$B$14</f>
        <v>0.0625</v>
      </c>
      <c r="M8">
        <f t="shared" si="5"/>
        <v>4.831691248111824E-09</v>
      </c>
    </row>
    <row r="9" spans="1:13" ht="12.75">
      <c r="A9">
        <v>0.006</v>
      </c>
      <c r="B9">
        <f>0.5*A9^2/'Preliminary calcs'!B$14</f>
        <v>0.000225</v>
      </c>
      <c r="C9">
        <f t="shared" si="0"/>
        <v>0.24629981273400942</v>
      </c>
      <c r="D9">
        <f t="shared" si="1"/>
        <v>0.0009135207920072108</v>
      </c>
      <c r="E9">
        <f>'Preliminary calcs'!B$16</f>
        <v>0.03</v>
      </c>
      <c r="F9">
        <v>0.025</v>
      </c>
      <c r="G9">
        <f t="shared" si="2"/>
        <v>2.186762895111095E-05</v>
      </c>
      <c r="H9">
        <f t="shared" si="3"/>
        <v>1.1886938096020662E-06</v>
      </c>
      <c r="J9">
        <f t="shared" si="4"/>
        <v>0.017882393039797998</v>
      </c>
      <c r="K9">
        <f>A9/'Preliminary calcs'!$B$14</f>
        <v>0.075</v>
      </c>
      <c r="M9">
        <f t="shared" si="5"/>
        <v>7.856862701591322E-09</v>
      </c>
    </row>
    <row r="10" spans="1:13" ht="12.75">
      <c r="A10">
        <v>0.007</v>
      </c>
      <c r="B10">
        <f>0.5*A10^2/'Preliminary calcs'!B$14</f>
        <v>0.00030625000000000004</v>
      </c>
      <c r="C10">
        <f t="shared" si="0"/>
        <v>0.287349781523011</v>
      </c>
      <c r="D10">
        <f t="shared" si="1"/>
        <v>0.001065774257341746</v>
      </c>
      <c r="E10">
        <f>'Preliminary calcs'!B$16</f>
        <v>0.03</v>
      </c>
      <c r="F10">
        <v>0.025</v>
      </c>
      <c r="G10">
        <f t="shared" si="2"/>
        <v>3.29857580069366E-05</v>
      </c>
      <c r="H10">
        <f t="shared" si="3"/>
        <v>1.793059797911258E-06</v>
      </c>
      <c r="J10">
        <f t="shared" si="4"/>
        <v>0.020862791879764333</v>
      </c>
      <c r="K10">
        <f>A10/'Preliminary calcs'!$B$14</f>
        <v>0.0875</v>
      </c>
      <c r="M10">
        <f t="shared" si="5"/>
        <v>1.185151679442825E-08</v>
      </c>
    </row>
    <row r="11" spans="1:13" ht="12.75">
      <c r="A11">
        <v>0.008</v>
      </c>
      <c r="B11">
        <f>0.5*A11^2/'Preliminary calcs'!B$14</f>
        <v>0.00039999999999999996</v>
      </c>
      <c r="C11">
        <f t="shared" si="0"/>
        <v>0.3283997503120126</v>
      </c>
      <c r="D11">
        <f t="shared" si="1"/>
        <v>0.001218027722676281</v>
      </c>
      <c r="E11">
        <f>'Preliminary calcs'!B$16</f>
        <v>0.03</v>
      </c>
      <c r="F11">
        <v>0.025</v>
      </c>
      <c r="G11">
        <f t="shared" si="2"/>
        <v>4.7094659417453E-05</v>
      </c>
      <c r="H11">
        <f t="shared" si="3"/>
        <v>2.5599999999999975E-06</v>
      </c>
      <c r="J11">
        <f t="shared" si="4"/>
        <v>0.02384319071973066</v>
      </c>
      <c r="K11">
        <f>A11/'Preliminary calcs'!$B$14</f>
        <v>0.1</v>
      </c>
      <c r="M11">
        <f t="shared" si="5"/>
        <v>1.692073127124898E-08</v>
      </c>
    </row>
    <row r="12" spans="1:13" ht="12.75">
      <c r="A12">
        <v>0.009000000000000001</v>
      </c>
      <c r="B12">
        <f>0.5*A12^2/'Preliminary calcs'!B$14</f>
        <v>0.0005062500000000001</v>
      </c>
      <c r="C12">
        <f t="shared" si="0"/>
        <v>0.36944971910101415</v>
      </c>
      <c r="D12">
        <f t="shared" si="1"/>
        <v>0.0013702811880108164</v>
      </c>
      <c r="E12">
        <f>'Preliminary calcs'!B$16</f>
        <v>0.03</v>
      </c>
      <c r="F12">
        <v>0.025</v>
      </c>
      <c r="G12">
        <f t="shared" si="2"/>
        <v>6.447307543354951E-05</v>
      </c>
      <c r="H12">
        <f t="shared" si="3"/>
        <v>3.504666455847002E-06</v>
      </c>
      <c r="J12">
        <f t="shared" si="4"/>
        <v>0.026823589559697002</v>
      </c>
      <c r="K12">
        <f>A12/'Preliminary calcs'!$B$14</f>
        <v>0.11250000000000002</v>
      </c>
      <c r="M12">
        <f t="shared" si="5"/>
        <v>2.3164655974510845E-08</v>
      </c>
    </row>
    <row r="13" spans="1:13" ht="12.75">
      <c r="A13">
        <v>0.01</v>
      </c>
      <c r="B13">
        <f>0.5*A13^2/'Preliminary calcs'!B$14</f>
        <v>0.000625</v>
      </c>
      <c r="C13">
        <f t="shared" si="0"/>
        <v>0.41049968789001573</v>
      </c>
      <c r="D13">
        <f t="shared" si="1"/>
        <v>0.0015225346533453514</v>
      </c>
      <c r="E13">
        <f>'Preliminary calcs'!B$16</f>
        <v>0.03</v>
      </c>
      <c r="F13">
        <v>0.025</v>
      </c>
      <c r="G13">
        <f t="shared" si="2"/>
        <v>8.538829893548703E-05</v>
      </c>
      <c r="H13">
        <f t="shared" si="3"/>
        <v>4.6415888336127904E-06</v>
      </c>
      <c r="J13">
        <f t="shared" si="4"/>
        <v>0.029803988399663323</v>
      </c>
      <c r="K13">
        <f>A13/'Preliminary calcs'!$B$14</f>
        <v>0.125</v>
      </c>
      <c r="M13">
        <f t="shared" si="5"/>
        <v>3.0679327080153055E-08</v>
      </c>
    </row>
    <row r="14" spans="1:13" ht="12.75">
      <c r="A14">
        <v>0.011</v>
      </c>
      <c r="B14">
        <f>0.5*A14^2/'Preliminary calcs'!B$14</f>
        <v>0.0007562499999999999</v>
      </c>
      <c r="C14">
        <f t="shared" si="0"/>
        <v>0.45154965667901725</v>
      </c>
      <c r="D14">
        <f t="shared" si="1"/>
        <v>0.0016747881186798864</v>
      </c>
      <c r="E14">
        <f>'Preliminary calcs'!B$16</f>
        <v>0.03</v>
      </c>
      <c r="F14">
        <v>0.025</v>
      </c>
      <c r="G14">
        <f t="shared" si="2"/>
        <v>0.00011009785443061463</v>
      </c>
      <c r="H14">
        <f t="shared" si="3"/>
        <v>5.984765806330934E-06</v>
      </c>
      <c r="J14">
        <f t="shared" si="4"/>
        <v>0.03278438723962967</v>
      </c>
      <c r="K14">
        <f>A14/'Preliminary calcs'!$B$14</f>
        <v>0.13749999999999998</v>
      </c>
      <c r="M14">
        <f t="shared" si="5"/>
        <v>3.9557271066517655E-08</v>
      </c>
    </row>
    <row r="15" spans="1:13" ht="12.75">
      <c r="A15">
        <v>0.012</v>
      </c>
      <c r="B15">
        <f>0.5*A15^2/'Preliminary calcs'!B$14</f>
        <v>0.0009</v>
      </c>
      <c r="C15">
        <f t="shared" si="0"/>
        <v>0.49259962546801883</v>
      </c>
      <c r="D15">
        <f t="shared" si="1"/>
        <v>0.0018270415840144216</v>
      </c>
      <c r="E15">
        <f>'Preliminary calcs'!B$16</f>
        <v>0.03</v>
      </c>
      <c r="F15">
        <v>0.025</v>
      </c>
      <c r="G15">
        <f t="shared" si="2"/>
        <v>0.00013885078880417504</v>
      </c>
      <c r="H15">
        <f t="shared" si="3"/>
        <v>7.547735215321624E-06</v>
      </c>
      <c r="J15">
        <f t="shared" si="4"/>
        <v>0.035764786079595996</v>
      </c>
      <c r="K15">
        <f>A15/'Preliminary calcs'!$B$14</f>
        <v>0.15</v>
      </c>
      <c r="M15">
        <f t="shared" si="5"/>
        <v>4.9887968470702985E-08</v>
      </c>
    </row>
    <row r="16" spans="1:13" ht="12.75">
      <c r="A16">
        <v>0.013000000000000001</v>
      </c>
      <c r="B16">
        <f>0.5*A16^2/'Preliminary calcs'!B$14</f>
        <v>0.0010562500000000003</v>
      </c>
      <c r="C16">
        <f t="shared" si="0"/>
        <v>0.5336495942570205</v>
      </c>
      <c r="D16">
        <f t="shared" si="1"/>
        <v>0.001979295049348957</v>
      </c>
      <c r="E16">
        <f>'Preliminary calcs'!B$16</f>
        <v>0.03</v>
      </c>
      <c r="F16">
        <v>0.025</v>
      </c>
      <c r="G16">
        <f t="shared" si="2"/>
        <v>0.0001718886898319289</v>
      </c>
      <c r="H16">
        <f t="shared" si="3"/>
        <v>9.343629435117289E-06</v>
      </c>
      <c r="J16">
        <f t="shared" si="4"/>
        <v>0.03874518491956233</v>
      </c>
      <c r="K16">
        <f>A16/'Preliminary calcs'!$B$14</f>
        <v>0.1625</v>
      </c>
      <c r="M16">
        <f t="shared" si="5"/>
        <v>6.175821983193426E-08</v>
      </c>
    </row>
    <row r="17" spans="1:13" ht="12.75">
      <c r="A17">
        <v>0.014</v>
      </c>
      <c r="B17">
        <f>0.5*A17^2/'Preliminary calcs'!B$14</f>
        <v>0.0012250000000000002</v>
      </c>
      <c r="C17">
        <f t="shared" si="0"/>
        <v>0.574699563046022</v>
      </c>
      <c r="D17">
        <f t="shared" si="1"/>
        <v>0.002131548514683492</v>
      </c>
      <c r="E17">
        <f>'Preliminary calcs'!B$16</f>
        <v>0.03</v>
      </c>
      <c r="F17">
        <v>0.025</v>
      </c>
      <c r="G17">
        <f t="shared" si="2"/>
        <v>0.00020944650784071857</v>
      </c>
      <c r="H17">
        <f t="shared" si="3"/>
        <v>1.1385220037784848E-05</v>
      </c>
      <c r="J17">
        <f t="shared" si="4"/>
        <v>0.04172558375952865</v>
      </c>
      <c r="K17">
        <f>A17/'Preliminary calcs'!$B$14</f>
        <v>0.175</v>
      </c>
      <c r="M17">
        <f t="shared" si="5"/>
        <v>7.525244090757685E-08</v>
      </c>
    </row>
    <row r="18" spans="1:13" ht="12.75">
      <c r="A18">
        <v>0.015</v>
      </c>
      <c r="B18">
        <f>0.5*A18^2/'Preliminary calcs'!B$14</f>
        <v>0.00140625</v>
      </c>
      <c r="C18">
        <f t="shared" si="0"/>
        <v>0.6157495318350236</v>
      </c>
      <c r="D18">
        <f t="shared" si="1"/>
        <v>0.002283801980018027</v>
      </c>
      <c r="E18">
        <f>'Preliminary calcs'!B$16</f>
        <v>0.03</v>
      </c>
      <c r="F18">
        <v>0.025</v>
      </c>
      <c r="G18">
        <f t="shared" si="2"/>
        <v>0.00025175323080147853</v>
      </c>
      <c r="H18">
        <f t="shared" si="3"/>
        <v>1.368495449004015E-05</v>
      </c>
      <c r="J18">
        <f t="shared" si="4"/>
        <v>0.044705982599494994</v>
      </c>
      <c r="K18">
        <f>A18/'Preliminary calcs'!$B$14</f>
        <v>0.1875</v>
      </c>
      <c r="M18">
        <f t="shared" si="5"/>
        <v>9.04529052286099E-08</v>
      </c>
    </row>
    <row r="19" spans="1:13" ht="12.75">
      <c r="A19">
        <v>0.016</v>
      </c>
      <c r="B19">
        <f>0.5*A19^2/'Preliminary calcs'!B$14</f>
        <v>0.0015999999999999999</v>
      </c>
      <c r="C19">
        <f t="shared" si="0"/>
        <v>0.6567995006240251</v>
      </c>
      <c r="D19">
        <f t="shared" si="1"/>
        <v>0.002436055445352562</v>
      </c>
      <c r="E19">
        <f>'Preliminary calcs'!B$16</f>
        <v>0.03</v>
      </c>
      <c r="F19">
        <v>0.025</v>
      </c>
      <c r="G19">
        <f t="shared" si="2"/>
        <v>0.000299032447605396</v>
      </c>
      <c r="H19">
        <f t="shared" si="3"/>
        <v>1.625498677215437E-05</v>
      </c>
      <c r="J19">
        <f t="shared" si="4"/>
        <v>0.04768638143946136</v>
      </c>
      <c r="K19">
        <f>A19/'Preliminary calcs'!$B$14</f>
        <v>0.2</v>
      </c>
      <c r="M19">
        <f t="shared" si="5"/>
        <v>1.074399464802075E-07</v>
      </c>
    </row>
    <row r="20" spans="1:13" ht="12.75">
      <c r="A20">
        <v>0.017</v>
      </c>
      <c r="B20">
        <f>0.5*A20^2/'Preliminary calcs'!B$14</f>
        <v>0.0018062500000000001</v>
      </c>
      <c r="C20">
        <f t="shared" si="0"/>
        <v>0.6978494694130268</v>
      </c>
      <c r="D20">
        <f t="shared" si="1"/>
        <v>0.002588308910687097</v>
      </c>
      <c r="E20">
        <f>'Preliminary calcs'!B$16</f>
        <v>0.03</v>
      </c>
      <c r="F20">
        <v>0.025</v>
      </c>
      <c r="G20">
        <f t="shared" si="2"/>
        <v>0.0003515028242606276</v>
      </c>
      <c r="H20">
        <f t="shared" si="3"/>
        <v>1.910720326334348E-05</v>
      </c>
      <c r="J20">
        <f t="shared" si="4"/>
        <v>0.05066678027942766</v>
      </c>
      <c r="K20">
        <f>A20/'Preliminary calcs'!$B$14</f>
        <v>0.21250000000000002</v>
      </c>
      <c r="M20">
        <f t="shared" si="5"/>
        <v>1.2629212959537723E-07</v>
      </c>
    </row>
    <row r="21" spans="1:13" ht="12.75">
      <c r="A21">
        <v>0.018000000000000002</v>
      </c>
      <c r="B21">
        <f>0.5*A21^2/'Preliminary calcs'!B$14</f>
        <v>0.0020250000000000003</v>
      </c>
      <c r="C21">
        <f t="shared" si="0"/>
        <v>0.7388994382020283</v>
      </c>
      <c r="D21">
        <f t="shared" si="1"/>
        <v>0.002740562376021633</v>
      </c>
      <c r="E21">
        <f>'Preliminary calcs'!B$16</f>
        <v>0.03</v>
      </c>
      <c r="F21">
        <v>0.025</v>
      </c>
      <c r="G21">
        <f t="shared" si="2"/>
        <v>0.0004093785110673662</v>
      </c>
      <c r="H21">
        <f t="shared" si="3"/>
        <v>2.2253244875236803E-05</v>
      </c>
      <c r="J21">
        <f t="shared" si="4"/>
        <v>0.053647179119394005</v>
      </c>
      <c r="K21">
        <f>A21/'Preliminary calcs'!$B$14</f>
        <v>0.22500000000000003</v>
      </c>
      <c r="M21">
        <f t="shared" si="5"/>
        <v>1.4708639704967973E-07</v>
      </c>
    </row>
    <row r="22" spans="1:13" ht="12.75">
      <c r="A22">
        <v>0.019</v>
      </c>
      <c r="B22">
        <f>0.5*A22^2/'Preliminary calcs'!B$14</f>
        <v>0.00225625</v>
      </c>
      <c r="C22">
        <f t="shared" si="0"/>
        <v>0.7799494069910298</v>
      </c>
      <c r="D22">
        <f t="shared" si="1"/>
        <v>0.002892815841356168</v>
      </c>
      <c r="E22">
        <f>'Preliminary calcs'!B$16</f>
        <v>0.03</v>
      </c>
      <c r="F22">
        <v>0.025</v>
      </c>
      <c r="G22">
        <f t="shared" si="2"/>
        <v>0.0004728694942412679</v>
      </c>
      <c r="H22">
        <f t="shared" si="3"/>
        <v>2.5704526165636214E-05</v>
      </c>
      <c r="J22">
        <f t="shared" si="4"/>
        <v>0.05662757795936034</v>
      </c>
      <c r="K22">
        <f>A22/'Preliminary calcs'!$B$14</f>
        <v>0.2375</v>
      </c>
      <c r="M22">
        <f t="shared" si="5"/>
        <v>1.698981951966867E-07</v>
      </c>
    </row>
    <row r="23" spans="1:13" ht="12.75">
      <c r="A23">
        <v>0.02</v>
      </c>
      <c r="B23">
        <f>0.5*A23^2/'Preliminary calcs'!B$14</f>
        <v>0.0025</v>
      </c>
      <c r="C23">
        <f t="shared" si="0"/>
        <v>0.8209993757800315</v>
      </c>
      <c r="D23">
        <f t="shared" si="1"/>
        <v>0.003045069306690703</v>
      </c>
      <c r="E23">
        <f>'Preliminary calcs'!B$16</f>
        <v>0.03</v>
      </c>
      <c r="F23">
        <v>0.025</v>
      </c>
      <c r="G23">
        <f t="shared" si="2"/>
        <v>0.0005421819022238687</v>
      </c>
      <c r="H23">
        <f t="shared" si="3"/>
        <v>2.9472251989123102E-05</v>
      </c>
      <c r="J23">
        <f t="shared" si="4"/>
        <v>0.059607976799326674</v>
      </c>
      <c r="K23">
        <f>A23/'Preliminary calcs'!$B$14</f>
        <v>0.25</v>
      </c>
      <c r="M23">
        <f t="shared" si="5"/>
        <v>1.9480158432284563E-07</v>
      </c>
    </row>
    <row r="24" spans="1:13" ht="12.75">
      <c r="A24">
        <v>0.021</v>
      </c>
      <c r="B24">
        <f>0.5*A24^2/'Preliminary calcs'!B$14</f>
        <v>0.00275625</v>
      </c>
      <c r="C24">
        <f t="shared" si="0"/>
        <v>0.8620493445690329</v>
      </c>
      <c r="D24">
        <f t="shared" si="1"/>
        <v>0.0031973227720252383</v>
      </c>
      <c r="E24">
        <f>'Preliminary calcs'!B$16</f>
        <v>0.03</v>
      </c>
      <c r="F24">
        <v>0.025</v>
      </c>
      <c r="G24">
        <f t="shared" si="2"/>
        <v>0.0006175182745920028</v>
      </c>
      <c r="H24">
        <f t="shared" si="3"/>
        <v>3.3567432114599344E-05</v>
      </c>
      <c r="J24">
        <f t="shared" si="4"/>
        <v>0.062588375639293</v>
      </c>
      <c r="K24">
        <f>A24/'Preliminary calcs'!$B$14</f>
        <v>0.2625</v>
      </c>
      <c r="M24">
        <f t="shared" si="5"/>
        <v>2.2186933526446363E-07</v>
      </c>
    </row>
    <row r="25" spans="1:13" ht="12.75">
      <c r="A25">
        <v>0.022</v>
      </c>
      <c r="B25">
        <f>0.5*A25^2/'Preliminary calcs'!B$14</f>
        <v>0.0030249999999999995</v>
      </c>
      <c r="C25">
        <f t="shared" si="0"/>
        <v>0.9030993133580345</v>
      </c>
      <c r="D25">
        <f t="shared" si="1"/>
        <v>0.003349576237359773</v>
      </c>
      <c r="E25">
        <f>'Preliminary calcs'!B$16</f>
        <v>0.03</v>
      </c>
      <c r="F25">
        <v>0.025</v>
      </c>
      <c r="G25">
        <f t="shared" si="2"/>
        <v>0.0006990777997703977</v>
      </c>
      <c r="H25">
        <f t="shared" si="3"/>
        <v>3.8000894147012123E-05</v>
      </c>
      <c r="J25">
        <f t="shared" si="4"/>
        <v>0.06556877447925931</v>
      </c>
      <c r="K25">
        <f>A25/'Preliminary calcs'!$B$14</f>
        <v>0.27499999999999997</v>
      </c>
      <c r="M25">
        <f t="shared" si="5"/>
        <v>2.5117301481592573E-07</v>
      </c>
    </row>
    <row r="26" spans="1:13" ht="12.75">
      <c r="A26">
        <v>0.023</v>
      </c>
      <c r="B26">
        <f>0.5*A26^2/'Preliminary calcs'!B$14</f>
        <v>0.0033062499999999997</v>
      </c>
      <c r="C26">
        <f t="shared" si="0"/>
        <v>0.9441492821470361</v>
      </c>
      <c r="D26">
        <f t="shared" si="1"/>
        <v>0.003501829702694308</v>
      </c>
      <c r="E26">
        <f>'Preliminary calcs'!B$16</f>
        <v>0.03</v>
      </c>
      <c r="F26">
        <v>0.025</v>
      </c>
      <c r="G26">
        <f t="shared" si="2"/>
        <v>0.0007870565264762453</v>
      </c>
      <c r="H26">
        <f t="shared" si="3"/>
        <v>4.2783295021186415E-05</v>
      </c>
      <c r="J26">
        <f t="shared" si="4"/>
        <v>0.06854917331922565</v>
      </c>
      <c r="K26">
        <f>A26/'Preliminary calcs'!$B$14</f>
        <v>0.2875</v>
      </c>
      <c r="M26">
        <f t="shared" si="5"/>
        <v>2.827830617000231E-07</v>
      </c>
    </row>
    <row r="27" spans="1:13" ht="12.75">
      <c r="A27">
        <v>0.024</v>
      </c>
      <c r="B27">
        <f>0.5*A27^2/'Preliminary calcs'!B$14</f>
        <v>0.0036</v>
      </c>
      <c r="C27">
        <f t="shared" si="0"/>
        <v>0.9851992509360377</v>
      </c>
      <c r="D27">
        <f t="shared" si="1"/>
        <v>0.0036540831680288433</v>
      </c>
      <c r="E27">
        <f>'Preliminary calcs'!B$16</f>
        <v>0.03</v>
      </c>
      <c r="F27">
        <v>0.025</v>
      </c>
      <c r="G27">
        <f t="shared" si="2"/>
        <v>0.0008816475528574473</v>
      </c>
      <c r="H27">
        <f t="shared" si="3"/>
        <v>4.792513128311586E-05</v>
      </c>
      <c r="J27">
        <f t="shared" si="4"/>
        <v>0.071529572159192</v>
      </c>
      <c r="K27">
        <f>A27/'Preliminary calcs'!$B$14</f>
        <v>0.3</v>
      </c>
      <c r="M27">
        <f t="shared" si="5"/>
        <v>3.167688545238016E-07</v>
      </c>
    </row>
    <row r="28" spans="1:13" ht="12.75">
      <c r="A28">
        <v>0.025</v>
      </c>
      <c r="B28">
        <f>0.5*A28^2/'Preliminary calcs'!B$14</f>
        <v>0.003906250000000001</v>
      </c>
      <c r="C28">
        <f t="shared" si="0"/>
        <v>1.0262492197250392</v>
      </c>
      <c r="D28">
        <f t="shared" si="1"/>
        <v>0.0038063366333633795</v>
      </c>
      <c r="E28">
        <f>'Preliminary calcs'!B$16</f>
        <v>0.03</v>
      </c>
      <c r="F28">
        <v>0.025</v>
      </c>
      <c r="G28">
        <f t="shared" si="2"/>
        <v>0.0009830411965426737</v>
      </c>
      <c r="H28">
        <f t="shared" si="3"/>
        <v>5.343674833364679E-05</v>
      </c>
      <c r="J28">
        <f t="shared" si="4"/>
        <v>0.07450997099915835</v>
      </c>
      <c r="K28">
        <f>A28/'Preliminary calcs'!$B$14</f>
        <v>0.3125</v>
      </c>
      <c r="M28">
        <f t="shared" si="5"/>
        <v>3.531987728761712E-07</v>
      </c>
    </row>
    <row r="29" spans="1:13" ht="12.75">
      <c r="A29">
        <v>0.026000000000000002</v>
      </c>
      <c r="B29">
        <f>0.5*A29^2/'Preliminary calcs'!B$14</f>
        <v>0.004225000000000001</v>
      </c>
      <c r="C29">
        <f t="shared" si="0"/>
        <v>1.067299188514041</v>
      </c>
      <c r="D29">
        <f t="shared" si="1"/>
        <v>0.003958590098697914</v>
      </c>
      <c r="E29">
        <f>'Preliminary calcs'!B$16</f>
        <v>0.03</v>
      </c>
      <c r="F29">
        <v>0.025</v>
      </c>
      <c r="G29">
        <f t="shared" si="2"/>
        <v>0.0010914251482425578</v>
      </c>
      <c r="H29">
        <f t="shared" si="3"/>
        <v>5.932834877802495E-05</v>
      </c>
      <c r="J29">
        <f t="shared" si="4"/>
        <v>0.07749036983912466</v>
      </c>
      <c r="K29">
        <f>A29/'Preliminary calcs'!$B$14</f>
        <v>0.325</v>
      </c>
      <c r="M29">
        <f t="shared" si="5"/>
        <v>3.921402525155829E-07</v>
      </c>
    </row>
    <row r="30" spans="1:13" ht="12.75">
      <c r="A30">
        <v>0.027</v>
      </c>
      <c r="B30">
        <f>0.5*A30^2/'Preliminary calcs'!B$14</f>
        <v>0.0045562499999999995</v>
      </c>
      <c r="C30">
        <f t="shared" si="0"/>
        <v>1.1083491573030422</v>
      </c>
      <c r="D30">
        <f t="shared" si="1"/>
        <v>0.0041108435640324495</v>
      </c>
      <c r="E30">
        <f>'Preliminary calcs'!B$16</f>
        <v>0.03</v>
      </c>
      <c r="F30">
        <v>0.025</v>
      </c>
      <c r="G30">
        <f t="shared" si="2"/>
        <v>0.001206984611085582</v>
      </c>
      <c r="H30">
        <f t="shared" si="3"/>
        <v>6.561000000000004E-05</v>
      </c>
      <c r="J30">
        <f t="shared" si="4"/>
        <v>0.08047076867909099</v>
      </c>
      <c r="K30">
        <f>A30/'Preliminary calcs'!$B$14</f>
        <v>0.33749999999999997</v>
      </c>
      <c r="M30">
        <f t="shared" si="5"/>
        <v>4.3365983543228265E-07</v>
      </c>
    </row>
    <row r="31" spans="1:13" ht="12.75">
      <c r="A31">
        <v>0.028</v>
      </c>
      <c r="B31">
        <f>0.5*A31^2/'Preliminary calcs'!B$14</f>
        <v>0.004900000000000001</v>
      </c>
      <c r="C31">
        <f t="shared" si="0"/>
        <v>1.149399126092044</v>
      </c>
      <c r="D31">
        <f t="shared" si="1"/>
        <v>0.004263097029366984</v>
      </c>
      <c r="E31">
        <f>'Preliminary calcs'!B$16</f>
        <v>0.03</v>
      </c>
      <c r="F31">
        <v>0.025</v>
      </c>
      <c r="G31">
        <f t="shared" si="2"/>
        <v>0.0013299024275096895</v>
      </c>
      <c r="H31">
        <f t="shared" si="3"/>
        <v>7.229164105947646E-05</v>
      </c>
      <c r="J31">
        <f t="shared" si="4"/>
        <v>0.08345116751905735</v>
      </c>
      <c r="K31">
        <f>A31/'Preliminary calcs'!$B$14</f>
        <v>0.35</v>
      </c>
      <c r="M31">
        <f t="shared" si="5"/>
        <v>4.778232154394489E-07</v>
      </c>
    </row>
    <row r="32" spans="1:13" ht="12.75">
      <c r="A32">
        <v>0.029</v>
      </c>
      <c r="B32">
        <f>0.5*A32^2/'Preliminary calcs'!B$14</f>
        <v>0.0052562500000000005</v>
      </c>
      <c r="C32">
        <f t="shared" si="0"/>
        <v>1.1904490948810453</v>
      </c>
      <c r="D32">
        <f t="shared" si="1"/>
        <v>0.00441535049470152</v>
      </c>
      <c r="E32">
        <f>'Preliminary calcs'!B$16</f>
        <v>0.03</v>
      </c>
      <c r="F32">
        <v>0.025</v>
      </c>
      <c r="G32">
        <f t="shared" si="2"/>
        <v>0.0014603591952394308</v>
      </c>
      <c r="H32">
        <f t="shared" si="3"/>
        <v>7.938308899686983E-05</v>
      </c>
      <c r="J32">
        <f t="shared" si="4"/>
        <v>0.08643156635902366</v>
      </c>
      <c r="K32">
        <f>A32/'Preliminary calcs'!$B$14</f>
        <v>0.3625</v>
      </c>
      <c r="M32">
        <f t="shared" si="5"/>
        <v>5.246952798428418E-07</v>
      </c>
    </row>
    <row r="33" spans="1:13" ht="12.75">
      <c r="A33">
        <v>0.03</v>
      </c>
      <c r="B33">
        <f>0.5*A33^2/'Preliminary calcs'!B$14</f>
        <v>0.005625</v>
      </c>
      <c r="C33">
        <f t="shared" si="0"/>
        <v>1.2314990636700471</v>
      </c>
      <c r="D33">
        <f t="shared" si="1"/>
        <v>0.004567603960036054</v>
      </c>
      <c r="E33">
        <f>'Preliminary calcs'!B$16</f>
        <v>0.03</v>
      </c>
      <c r="F33">
        <v>0.025</v>
      </c>
      <c r="G33">
        <f t="shared" si="2"/>
        <v>0.0015985333736426403</v>
      </c>
      <c r="H33">
        <f t="shared" si="3"/>
        <v>8.689404461450665E-05</v>
      </c>
      <c r="J33">
        <f t="shared" si="4"/>
        <v>0.08941196519899</v>
      </c>
      <c r="K33">
        <f>A33/'Preliminary calcs'!$B$14</f>
        <v>0.375</v>
      </c>
      <c r="M33">
        <f t="shared" si="5"/>
        <v>5.743401476539016E-07</v>
      </c>
    </row>
    <row r="34" spans="1:13" ht="12.75">
      <c r="A34">
        <v>0.031</v>
      </c>
      <c r="B34">
        <f>0.5*A34^2/'Preliminary calcs'!B$14</f>
        <v>0.0060062499999999994</v>
      </c>
      <c r="C34">
        <f t="shared" si="0"/>
        <v>1.2725490324590487</v>
      </c>
      <c r="D34">
        <f t="shared" si="1"/>
        <v>0.004719857425370589</v>
      </c>
      <c r="E34">
        <f>'Preliminary calcs'!B$16</f>
        <v>0.03</v>
      </c>
      <c r="F34">
        <v>0.025</v>
      </c>
      <c r="G34">
        <f t="shared" si="2"/>
        <v>0.0017446013815679146</v>
      </c>
      <c r="H34">
        <f t="shared" si="3"/>
        <v>9.48340977949344E-05</v>
      </c>
      <c r="J34">
        <f t="shared" si="4"/>
        <v>0.09239236403895633</v>
      </c>
      <c r="K34">
        <f>A34/'Preliminary calcs'!$B$14</f>
        <v>0.3875</v>
      </c>
      <c r="M34">
        <f t="shared" si="5"/>
        <v>6.268212047419634E-07</v>
      </c>
    </row>
    <row r="35" spans="1:13" ht="12.75">
      <c r="A35">
        <v>0.032</v>
      </c>
      <c r="B35">
        <f>0.5*A35^2/'Preliminary calcs'!B$14</f>
        <v>0.0063999999999999994</v>
      </c>
      <c r="C35">
        <f t="shared" si="0"/>
        <v>1.3135990012480503</v>
      </c>
      <c r="D35">
        <f t="shared" si="1"/>
        <v>0.004872110890705124</v>
      </c>
      <c r="E35">
        <f>'Preliminary calcs'!B$16</f>
        <v>0.03</v>
      </c>
      <c r="F35">
        <v>0.025</v>
      </c>
      <c r="G35">
        <f t="shared" si="2"/>
        <v>0.0018987376876057236</v>
      </c>
      <c r="H35">
        <f t="shared" si="3"/>
        <v>0.0001032127324073882</v>
      </c>
      <c r="J35">
        <f t="shared" si="4"/>
        <v>0.09537276287892266</v>
      </c>
      <c r="K35">
        <f>A35/'Preliminary calcs'!$B$14</f>
        <v>0.4</v>
      </c>
      <c r="M35">
        <f t="shared" si="5"/>
        <v>6.822011362643523E-07</v>
      </c>
    </row>
    <row r="36" spans="1:13" ht="12.75">
      <c r="A36">
        <v>0.033</v>
      </c>
      <c r="B36">
        <f>0.5*A36^2/'Preliminary calcs'!B$14</f>
        <v>0.006806250000000001</v>
      </c>
      <c r="C36">
        <f t="shared" si="0"/>
        <v>1.3546489700370519</v>
      </c>
      <c r="D36">
        <f t="shared" si="1"/>
        <v>0.00502436435603966</v>
      </c>
      <c r="E36">
        <f>'Preliminary calcs'!B$16</f>
        <v>0.03</v>
      </c>
      <c r="F36">
        <v>0.025</v>
      </c>
      <c r="G36">
        <f t="shared" si="2"/>
        <v>0.002061114893584605</v>
      </c>
      <c r="H36">
        <f t="shared" si="3"/>
        <v>0.00011203933084652853</v>
      </c>
      <c r="J36">
        <f t="shared" si="4"/>
        <v>0.09835316171888898</v>
      </c>
      <c r="K36">
        <f>A36/'Preliminary calcs'!$B$14</f>
        <v>0.41250000000000003</v>
      </c>
      <c r="M36">
        <f t="shared" si="5"/>
        <v>7.405419566658832E-07</v>
      </c>
    </row>
    <row r="37" spans="1:13" ht="12.75">
      <c r="A37">
        <v>0.034</v>
      </c>
      <c r="B37">
        <f>0.5*A37^2/'Preliminary calcs'!B$14</f>
        <v>0.0072250000000000005</v>
      </c>
      <c r="C37">
        <f t="shared" si="0"/>
        <v>1.3956989388260537</v>
      </c>
      <c r="D37">
        <f t="shared" si="1"/>
        <v>0.005176617821374194</v>
      </c>
      <c r="E37">
        <f>'Preliminary calcs'!B$16</f>
        <v>0.03</v>
      </c>
      <c r="F37">
        <v>0.025</v>
      </c>
      <c r="G37">
        <f t="shared" si="2"/>
        <v>0.0022319038120044545</v>
      </c>
      <c r="H37">
        <f t="shared" si="3"/>
        <v>0.00012132317824160655</v>
      </c>
      <c r="J37">
        <f t="shared" si="4"/>
        <v>0.10133356055885534</v>
      </c>
      <c r="K37">
        <f>A37/'Preliminary calcs'!$B$14</f>
        <v>0.42500000000000004</v>
      </c>
      <c r="M37">
        <f t="shared" si="5"/>
        <v>8.019050375000251E-07</v>
      </c>
    </row>
    <row r="38" spans="1:13" ht="12.75">
      <c r="A38">
        <v>0.035</v>
      </c>
      <c r="B38">
        <f>0.5*A38^2/'Preliminary calcs'!B$14</f>
        <v>0.007656250000000001</v>
      </c>
      <c r="C38">
        <f t="shared" si="0"/>
        <v>1.436748907615055</v>
      </c>
      <c r="D38">
        <f t="shared" si="1"/>
        <v>0.00532887128670873</v>
      </c>
      <c r="E38">
        <f>'Preliminary calcs'!B$16</f>
        <v>0.03</v>
      </c>
      <c r="F38">
        <v>0.025</v>
      </c>
      <c r="G38">
        <f t="shared" si="2"/>
        <v>0.002411273538016993</v>
      </c>
      <c r="H38">
        <f t="shared" si="3"/>
        <v>0.00013107346636922226</v>
      </c>
      <c r="J38">
        <f t="shared" si="4"/>
        <v>0.10431395939882168</v>
      </c>
      <c r="K38">
        <f>A38/'Preliminary calcs'!$B$14</f>
        <v>0.43750000000000006</v>
      </c>
      <c r="M38">
        <f t="shared" si="5"/>
        <v>8.66351133290898E-07</v>
      </c>
    </row>
    <row r="39" spans="1:13" ht="12.75">
      <c r="A39">
        <v>0.036000000000000004</v>
      </c>
      <c r="B39">
        <f>0.5*A39^2/'Preliminary calcs'!B$14</f>
        <v>0.008100000000000001</v>
      </c>
      <c r="C39">
        <f t="shared" si="0"/>
        <v>1.4777988764040566</v>
      </c>
      <c r="D39">
        <f t="shared" si="1"/>
        <v>0.005481124752043266</v>
      </c>
      <c r="E39">
        <f>'Preliminary calcs'!B$16</f>
        <v>0.03</v>
      </c>
      <c r="F39">
        <v>0.025</v>
      </c>
      <c r="G39">
        <f t="shared" si="2"/>
        <v>0.0025993915164860483</v>
      </c>
      <c r="H39">
        <f t="shared" si="3"/>
        <v>0.00014129929729862732</v>
      </c>
      <c r="J39">
        <f t="shared" si="4"/>
        <v>0.10729435823878802</v>
      </c>
      <c r="K39">
        <f>A39/'Preliminary calcs'!$B$14</f>
        <v>0.45000000000000007</v>
      </c>
      <c r="M39">
        <f t="shared" si="5"/>
        <v>9.339404056274937E-07</v>
      </c>
    </row>
    <row r="40" spans="1:13" ht="12.75">
      <c r="A40">
        <v>0.037</v>
      </c>
      <c r="B40">
        <f>0.5*A40^2/'Preliminary calcs'!B$14</f>
        <v>0.008556249999999998</v>
      </c>
      <c r="C40">
        <f t="shared" si="0"/>
        <v>1.5188488451930577</v>
      </c>
      <c r="D40">
        <f t="shared" si="1"/>
        <v>0.0056333782173778</v>
      </c>
      <c r="E40">
        <f>'Preliminary calcs'!B$16</f>
        <v>0.03</v>
      </c>
      <c r="F40">
        <v>0.025</v>
      </c>
      <c r="G40">
        <f t="shared" si="2"/>
        <v>0.0027964236045945378</v>
      </c>
      <c r="H40">
        <f t="shared" si="3"/>
        <v>0.00015200968679495314</v>
      </c>
      <c r="J40">
        <f t="shared" si="4"/>
        <v>0.11027475707875431</v>
      </c>
      <c r="K40">
        <f>A40/'Preliminary calcs'!$B$14</f>
        <v>0.46249999999999997</v>
      </c>
      <c r="M40">
        <f t="shared" si="5"/>
        <v>1.0047324456578612E-06</v>
      </c>
    </row>
    <row r="41" spans="1:13" ht="12.75">
      <c r="A41">
        <v>0.038</v>
      </c>
      <c r="B41">
        <f>0.5*A41^2/'Preliminary calcs'!B$14</f>
        <v>0.009025</v>
      </c>
      <c r="C41">
        <f t="shared" si="0"/>
        <v>1.5598988139820595</v>
      </c>
      <c r="D41">
        <f t="shared" si="1"/>
        <v>0.005785631682712336</v>
      </c>
      <c r="E41">
        <f>'Preliminary calcs'!B$16</f>
        <v>0.03</v>
      </c>
      <c r="F41">
        <v>0.025</v>
      </c>
      <c r="G41">
        <f t="shared" si="2"/>
        <v>0.0030025341304090354</v>
      </c>
      <c r="H41">
        <f t="shared" si="3"/>
        <v>0.00016321356750270008</v>
      </c>
      <c r="J41">
        <f t="shared" si="4"/>
        <v>0.11325515591872064</v>
      </c>
      <c r="K41">
        <f>A41/'Preliminary calcs'!$B$14</f>
        <v>0.475</v>
      </c>
      <c r="M41">
        <f t="shared" si="5"/>
        <v>1.0787862951308737E-06</v>
      </c>
    </row>
    <row r="42" spans="1:13" ht="12.75">
      <c r="A42">
        <v>0.039</v>
      </c>
      <c r="B42">
        <f>0.5*A42^2/'Preliminary calcs'!B$14</f>
        <v>0.009506249999999999</v>
      </c>
      <c r="C42">
        <f t="shared" si="0"/>
        <v>1.600948782771061</v>
      </c>
      <c r="D42">
        <f t="shared" si="1"/>
        <v>0.005937885148046871</v>
      </c>
      <c r="E42">
        <f>'Preliminary calcs'!B$16</f>
        <v>0.03</v>
      </c>
      <c r="F42">
        <v>0.025</v>
      </c>
      <c r="G42">
        <f t="shared" si="2"/>
        <v>0.003217885947764831</v>
      </c>
      <c r="H42">
        <f t="shared" si="3"/>
        <v>0.0001749197919292118</v>
      </c>
      <c r="J42">
        <f t="shared" si="4"/>
        <v>0.11623555475868697</v>
      </c>
      <c r="K42">
        <f>A42/'Preliminary calcs'!$B$14</f>
        <v>0.4875</v>
      </c>
      <c r="M42">
        <f t="shared" si="5"/>
        <v>1.1561604661160045E-06</v>
      </c>
    </row>
    <row r="43" spans="1:13" ht="12.75">
      <c r="A43">
        <v>0.04</v>
      </c>
      <c r="B43">
        <f>0.5*A43^2/'Preliminary calcs'!B$14</f>
        <v>0.01</v>
      </c>
      <c r="C43">
        <f t="shared" si="0"/>
        <v>1.641998751560063</v>
      </c>
      <c r="D43">
        <f t="shared" si="1"/>
        <v>0.006090138613381406</v>
      </c>
      <c r="E43">
        <f>'Preliminary calcs'!B$16</f>
        <v>0.03</v>
      </c>
      <c r="F43">
        <v>0.025</v>
      </c>
      <c r="G43">
        <f t="shared" si="2"/>
        <v>0.0034426404877931542</v>
      </c>
      <c r="H43">
        <f t="shared" si="3"/>
        <v>0.00018713713524562374</v>
      </c>
      <c r="J43">
        <f t="shared" si="4"/>
        <v>0.11921595359865331</v>
      </c>
      <c r="K43">
        <f>A43/'Preliminary calcs'!$B$14</f>
        <v>0.5</v>
      </c>
      <c r="M43">
        <f t="shared" si="5"/>
        <v>1.2369129595166277E-06</v>
      </c>
    </row>
    <row r="44" spans="1:13" ht="12.75">
      <c r="A44">
        <v>0.041</v>
      </c>
      <c r="B44">
        <f>0.5*A44^2/'Preliminary calcs'!B$14</f>
        <v>0.010506250000000002</v>
      </c>
      <c r="C44">
        <f t="shared" si="0"/>
        <v>1.6830487203490643</v>
      </c>
      <c r="D44">
        <f t="shared" si="1"/>
        <v>0.006242392078715942</v>
      </c>
      <c r="E44">
        <f>'Preliminary calcs'!B$16</f>
        <v>0.03</v>
      </c>
      <c r="F44">
        <v>0.025</v>
      </c>
      <c r="G44">
        <f t="shared" si="2"/>
        <v>0.0036769578073765708</v>
      </c>
      <c r="H44">
        <f t="shared" si="3"/>
        <v>0.00019987429792083015</v>
      </c>
      <c r="J44">
        <f t="shared" si="4"/>
        <v>0.12219635243861966</v>
      </c>
      <c r="K44">
        <f>A44/'Preliminary calcs'!$B$14</f>
        <v>0.5125</v>
      </c>
      <c r="M44">
        <f t="shared" si="5"/>
        <v>1.3211012824796552E-06</v>
      </c>
    </row>
    <row r="45" spans="1:13" ht="12.75">
      <c r="A45">
        <v>0.042</v>
      </c>
      <c r="B45">
        <f>0.5*A45^2/'Preliminary calcs'!B$14</f>
        <v>0.011025</v>
      </c>
      <c r="C45">
        <f t="shared" si="0"/>
        <v>1.7240986891380659</v>
      </c>
      <c r="D45">
        <f t="shared" si="1"/>
        <v>0.0063946455440504766</v>
      </c>
      <c r="E45">
        <f>'Preliminary calcs'!B$16</f>
        <v>0.03</v>
      </c>
      <c r="F45">
        <v>0.025</v>
      </c>
      <c r="G45">
        <f t="shared" si="2"/>
        <v>0.003920996634787733</v>
      </c>
      <c r="H45">
        <f t="shared" si="3"/>
        <v>0.00021313990820234403</v>
      </c>
      <c r="J45">
        <f t="shared" si="4"/>
        <v>0.125176751278586</v>
      </c>
      <c r="K45">
        <f>A45/'Preliminary calcs'!$B$14</f>
        <v>0.525</v>
      </c>
      <c r="M45">
        <f t="shared" si="5"/>
        <v>1.4087824647931808E-06</v>
      </c>
    </row>
    <row r="46" spans="1:13" ht="12.75">
      <c r="A46">
        <v>0.043000000000000003</v>
      </c>
      <c r="B46">
        <f>0.5*A46^2/'Preliminary calcs'!B$14</f>
        <v>0.011556250000000002</v>
      </c>
      <c r="C46">
        <f t="shared" si="0"/>
        <v>1.7651486579270674</v>
      </c>
      <c r="D46">
        <f t="shared" si="1"/>
        <v>0.006546899009385013</v>
      </c>
      <c r="E46">
        <f>'Preliminary calcs'!B$16</f>
        <v>0.03</v>
      </c>
      <c r="F46">
        <v>0.025</v>
      </c>
      <c r="G46">
        <f t="shared" si="2"/>
        <v>0.004174914412739688</v>
      </c>
      <c r="H46">
        <f t="shared" si="3"/>
        <v>0.00022694252445645206</v>
      </c>
      <c r="J46">
        <f t="shared" si="4"/>
        <v>0.1281571501185523</v>
      </c>
      <c r="K46">
        <f>A46/'Preliminary calcs'!$B$14</f>
        <v>0.5375</v>
      </c>
      <c r="M46">
        <f t="shared" si="5"/>
        <v>1.5000130743540905E-06</v>
      </c>
    </row>
    <row r="47" spans="1:13" ht="12.75">
      <c r="A47">
        <v>0.044</v>
      </c>
      <c r="B47">
        <f>0.5*A47^2/'Preliminary calcs'!B$14</f>
        <v>0.012099999999999998</v>
      </c>
      <c r="C47">
        <f t="shared" si="0"/>
        <v>1.806198626716069</v>
      </c>
      <c r="D47">
        <f t="shared" si="1"/>
        <v>0.006699152474719546</v>
      </c>
      <c r="E47">
        <f>'Preliminary calcs'!B$16</f>
        <v>0.03</v>
      </c>
      <c r="F47">
        <v>0.025</v>
      </c>
      <c r="G47">
        <f t="shared" si="2"/>
        <v>0.004438867339052573</v>
      </c>
      <c r="H47">
        <f t="shared" si="3"/>
        <v>0.00024129063737879687</v>
      </c>
      <c r="J47">
        <f t="shared" si="4"/>
        <v>0.13113754895851862</v>
      </c>
      <c r="K47">
        <f>A47/'Preliminary calcs'!$B$14</f>
        <v>0.5499999999999999</v>
      </c>
      <c r="M47">
        <f t="shared" si="5"/>
        <v>1.594849231779298E-06</v>
      </c>
    </row>
    <row r="48" spans="1:13" ht="12.75">
      <c r="A48">
        <v>0.045</v>
      </c>
      <c r="B48">
        <f>0.5*A48^2/'Preliminary calcs'!B$14</f>
        <v>0.012656249999999999</v>
      </c>
      <c r="C48">
        <f t="shared" si="0"/>
        <v>1.8472485955050706</v>
      </c>
      <c r="D48">
        <f t="shared" si="1"/>
        <v>0.006851405940054081</v>
      </c>
      <c r="E48">
        <f>'Preliminary calcs'!B$16</f>
        <v>0.03</v>
      </c>
      <c r="F48">
        <v>0.025</v>
      </c>
      <c r="G48">
        <f t="shared" si="2"/>
        <v>0.004713010405120869</v>
      </c>
      <c r="H48">
        <f t="shared" si="3"/>
        <v>0.00025619267208540656</v>
      </c>
      <c r="J48">
        <f t="shared" si="4"/>
        <v>0.13411794779848496</v>
      </c>
      <c r="K48">
        <f>A48/'Preliminary calcs'!$B$14</f>
        <v>0.5625</v>
      </c>
      <c r="M48">
        <f t="shared" si="5"/>
        <v>1.6933466242267044E-06</v>
      </c>
    </row>
    <row r="49" spans="1:13" ht="12.75">
      <c r="A49">
        <v>0.046</v>
      </c>
      <c r="B49">
        <f>0.5*A49^2/'Preliminary calcs'!B$14</f>
        <v>0.013224999999999999</v>
      </c>
      <c r="C49">
        <f t="shared" si="0"/>
        <v>1.8882985642940722</v>
      </c>
      <c r="D49">
        <f t="shared" si="1"/>
        <v>0.007003659405388616</v>
      </c>
      <c r="E49">
        <f>'Preliminary calcs'!B$16</f>
        <v>0.03</v>
      </c>
      <c r="F49">
        <v>0.025</v>
      </c>
      <c r="G49">
        <f t="shared" si="2"/>
        <v>0.004997497432347314</v>
      </c>
      <c r="H49">
        <f t="shared" si="3"/>
        <v>0.00027165699009318897</v>
      </c>
      <c r="J49">
        <f t="shared" si="4"/>
        <v>0.13709834663845133</v>
      </c>
      <c r="K49">
        <f>A49/'Preliminary calcs'!$B$14</f>
        <v>0.575</v>
      </c>
      <c r="M49">
        <f t="shared" si="5"/>
        <v>1.7955605184856192E-06</v>
      </c>
    </row>
    <row r="50" spans="1:13" ht="12.75">
      <c r="A50">
        <v>0.047</v>
      </c>
      <c r="B50">
        <f>0.5*A50^2/'Preliminary calcs'!B$14</f>
        <v>0.013806249999999999</v>
      </c>
      <c r="C50">
        <f t="shared" si="0"/>
        <v>1.9293485330830737</v>
      </c>
      <c r="D50">
        <f t="shared" si="1"/>
        <v>0.007155912870723151</v>
      </c>
      <c r="E50">
        <f>'Preliminary calcs'!B$16</f>
        <v>0.03</v>
      </c>
      <c r="F50">
        <v>0.025</v>
      </c>
      <c r="G50">
        <f t="shared" si="2"/>
        <v>0.005292481106693671</v>
      </c>
      <c r="H50">
        <f t="shared" si="3"/>
        <v>0.00028769189119806486</v>
      </c>
      <c r="J50">
        <f t="shared" si="4"/>
        <v>0.14007874547841762</v>
      </c>
      <c r="K50">
        <f>A50/'Preliminary calcs'!$B$14</f>
        <v>0.5875</v>
      </c>
      <c r="M50">
        <f t="shared" si="5"/>
        <v>1.9015457733905636E-06</v>
      </c>
    </row>
    <row r="51" spans="1:13" ht="12.75">
      <c r="A51">
        <v>0.048</v>
      </c>
      <c r="B51">
        <f>0.5*A51^2/'Preliminary calcs'!B$14</f>
        <v>0.0144</v>
      </c>
      <c r="C51">
        <f t="shared" si="0"/>
        <v>1.9703985018720753</v>
      </c>
      <c r="D51">
        <f t="shared" si="1"/>
        <v>0.0073081663360576865</v>
      </c>
      <c r="E51">
        <f>'Preliminary calcs'!B$16</f>
        <v>0.03</v>
      </c>
      <c r="F51">
        <v>0.025</v>
      </c>
      <c r="G51">
        <f t="shared" si="2"/>
        <v>0.005598113011484399</v>
      </c>
      <c r="H51">
        <f t="shared" si="3"/>
        <v>0.00030430561525812916</v>
      </c>
      <c r="J51">
        <f t="shared" si="4"/>
        <v>0.14305914431838396</v>
      </c>
      <c r="K51">
        <f>A51/'Preliminary calcs'!$B$14</f>
        <v>0.6</v>
      </c>
      <c r="M51">
        <f t="shared" si="5"/>
        <v>2.0113568516073724E-06</v>
      </c>
    </row>
    <row r="52" spans="1:13" ht="12.75">
      <c r="A52">
        <v>0.049</v>
      </c>
      <c r="B52">
        <f>0.5*A52^2/'Preliminary calcs'!B$14</f>
        <v>0.015006250000000002</v>
      </c>
      <c r="C52">
        <f t="shared" si="0"/>
        <v>2.011448470661077</v>
      </c>
      <c r="D52">
        <f t="shared" si="1"/>
        <v>0.007460419801392223</v>
      </c>
      <c r="E52">
        <f>'Preliminary calcs'!B$16</f>
        <v>0.03</v>
      </c>
      <c r="F52">
        <v>0.025</v>
      </c>
      <c r="G52">
        <f t="shared" si="2"/>
        <v>0.005914543658586735</v>
      </c>
      <c r="H52">
        <f t="shared" si="3"/>
        <v>0.00032150634388855554</v>
      </c>
      <c r="J52">
        <f t="shared" si="4"/>
        <v>0.14603954315835035</v>
      </c>
      <c r="K52">
        <f>A52/'Preliminary calcs'!$B$14</f>
        <v>0.6125</v>
      </c>
      <c r="M52">
        <f t="shared" si="5"/>
        <v>2.1250478308359394E-06</v>
      </c>
    </row>
    <row r="53" spans="1:13" ht="12.75">
      <c r="A53">
        <v>0.05</v>
      </c>
      <c r="B53">
        <f>0.5*A53^2/'Preliminary calcs'!B$14</f>
        <v>0.015625000000000003</v>
      </c>
      <c r="C53">
        <f t="shared" si="0"/>
        <v>2.0524984394500785</v>
      </c>
      <c r="D53">
        <f t="shared" si="1"/>
        <v>0.007612673266726759</v>
      </c>
      <c r="E53">
        <f>'Preliminary calcs'!B$16</f>
        <v>0.03</v>
      </c>
      <c r="F53">
        <v>0.025</v>
      </c>
      <c r="G53">
        <f t="shared" si="2"/>
        <v>0.006241922518079672</v>
      </c>
      <c r="H53">
        <f t="shared" si="3"/>
        <v>0.0003393022020743636</v>
      </c>
      <c r="J53">
        <f t="shared" si="4"/>
        <v>0.14901994199831664</v>
      </c>
      <c r="K53">
        <f>A53/'Preliminary calcs'!$B$14</f>
        <v>0.625</v>
      </c>
      <c r="M53">
        <f t="shared" si="5"/>
        <v>2.2426724144700447E-06</v>
      </c>
    </row>
    <row r="54" spans="1:13" ht="12.75">
      <c r="A54">
        <v>0.051000000000000004</v>
      </c>
      <c r="B54">
        <f>0.5*A54^2/'Preliminary calcs'!B$14</f>
        <v>0.016256250000000003</v>
      </c>
      <c r="C54">
        <f t="shared" si="0"/>
        <v>2.0935484082390805</v>
      </c>
      <c r="D54">
        <f t="shared" si="1"/>
        <v>0.007764926732061292</v>
      </c>
      <c r="E54">
        <f>'Preliminary calcs'!B$16</f>
        <v>0.03</v>
      </c>
      <c r="F54">
        <v>0.025</v>
      </c>
      <c r="G54">
        <f t="shared" si="2"/>
        <v>0.006580398046514294</v>
      </c>
      <c r="H54">
        <f t="shared" si="3"/>
        <v>0.00035770125970660787</v>
      </c>
      <c r="J54">
        <f t="shared" si="4"/>
        <v>0.15200034083828298</v>
      </c>
      <c r="K54">
        <f>A54/'Preliminary calcs'!$B$14</f>
        <v>0.6375000000000001</v>
      </c>
      <c r="M54">
        <f t="shared" si="5"/>
        <v>2.364283941751071E-06</v>
      </c>
    </row>
    <row r="55" spans="1:13" ht="12.75">
      <c r="A55">
        <v>0.052000000000000005</v>
      </c>
      <c r="B55">
        <f>0.5*A55^2/'Preliminary calcs'!B$14</f>
        <v>0.016900000000000005</v>
      </c>
      <c r="C55">
        <f t="shared" si="0"/>
        <v>2.134598377028082</v>
      </c>
      <c r="D55">
        <f t="shared" si="1"/>
        <v>0.007917180197395828</v>
      </c>
      <c r="E55">
        <f>'Preliminary calcs'!B$16</f>
        <v>0.03</v>
      </c>
      <c r="F55">
        <v>0.025</v>
      </c>
      <c r="G55">
        <f t="shared" si="2"/>
        <v>0.006930117713859136</v>
      </c>
      <c r="H55">
        <f t="shared" si="3"/>
        <v>0.0003767115330470921</v>
      </c>
      <c r="J55">
        <f t="shared" si="4"/>
        <v>0.15498073967824935</v>
      </c>
      <c r="K55">
        <f>A55/'Preliminary calcs'!$B$14</f>
        <v>0.65</v>
      </c>
      <c r="M55">
        <f t="shared" si="5"/>
        <v>2.489935397449246E-06</v>
      </c>
    </row>
    <row r="56" spans="1:13" ht="12.75">
      <c r="A56">
        <v>0.053</v>
      </c>
      <c r="B56">
        <f>0.5*A56^2/'Preliminary calcs'!B$14</f>
        <v>0.01755625</v>
      </c>
      <c r="C56">
        <f t="shared" si="0"/>
        <v>2.175648345817083</v>
      </c>
      <c r="D56">
        <f t="shared" si="1"/>
        <v>0.008069433662730363</v>
      </c>
      <c r="E56">
        <f>'Preliminary calcs'!B$16</f>
        <v>0.03</v>
      </c>
      <c r="F56">
        <v>0.025</v>
      </c>
      <c r="G56">
        <f t="shared" si="2"/>
        <v>0.007291228029216274</v>
      </c>
      <c r="H56">
        <f t="shared" si="3"/>
        <v>0.0003963409861262594</v>
      </c>
      <c r="J56">
        <f t="shared" si="4"/>
        <v>0.15796113851821567</v>
      </c>
      <c r="K56">
        <f>A56/'Preliminary calcs'!$B$14</f>
        <v>0.6625</v>
      </c>
      <c r="M56">
        <f t="shared" si="5"/>
        <v>2.6196794211032274E-06</v>
      </c>
    </row>
    <row r="57" spans="1:13" ht="12.75">
      <c r="A57">
        <v>0.054</v>
      </c>
      <c r="B57">
        <f>0.5*A57^2/'Preliminary calcs'!B$14</f>
        <v>0.018224999999999998</v>
      </c>
      <c r="C57">
        <f t="shared" si="0"/>
        <v>2.2166983146060844</v>
      </c>
      <c r="D57">
        <f t="shared" si="1"/>
        <v>0.008221687128064899</v>
      </c>
      <c r="E57">
        <f>'Preliminary calcs'!B$16</f>
        <v>0.03</v>
      </c>
      <c r="F57">
        <v>0.025</v>
      </c>
      <c r="G57">
        <f t="shared" si="2"/>
        <v>0.007663874565386726</v>
      </c>
      <c r="H57">
        <f t="shared" si="3"/>
        <v>0.00041659753207853444</v>
      </c>
      <c r="J57">
        <f t="shared" si="4"/>
        <v>0.16094153735818195</v>
      </c>
      <c r="K57">
        <f>A57/'Preliminary calcs'!$B$14</f>
        <v>0.6749999999999999</v>
      </c>
      <c r="M57">
        <f t="shared" si="5"/>
        <v>2.753568315846251E-06</v>
      </c>
    </row>
    <row r="58" spans="1:13" ht="12.75">
      <c r="A58">
        <v>0.055</v>
      </c>
      <c r="B58">
        <f>0.5*A58^2/'Preliminary calcs'!B$14</f>
        <v>0.01890625</v>
      </c>
      <c r="C58">
        <f t="shared" si="0"/>
        <v>2.2577482833950864</v>
      </c>
      <c r="D58">
        <f t="shared" si="1"/>
        <v>0.008373940593399432</v>
      </c>
      <c r="E58">
        <f>'Preliminary calcs'!B$16</f>
        <v>0.03</v>
      </c>
      <c r="F58">
        <v>0.025</v>
      </c>
      <c r="G58">
        <f t="shared" si="2"/>
        <v>0.00804820198235738</v>
      </c>
      <c r="H58">
        <f t="shared" si="3"/>
        <v>0.0004374890344190366</v>
      </c>
      <c r="J58">
        <f t="shared" si="4"/>
        <v>0.16392193619814835</v>
      </c>
      <c r="K58">
        <f>A58/'Preliminary calcs'!$B$14</f>
        <v>0.6875</v>
      </c>
      <c r="M58">
        <f t="shared" si="5"/>
        <v>2.8916540568448073E-06</v>
      </c>
    </row>
    <row r="59" spans="1:13" ht="12.75">
      <c r="A59">
        <v>0.056</v>
      </c>
      <c r="B59">
        <f>0.5*A59^2/'Preliminary calcs'!B$14</f>
        <v>0.019600000000000003</v>
      </c>
      <c r="C59">
        <f t="shared" si="0"/>
        <v>2.298798252184088</v>
      </c>
      <c r="D59">
        <f t="shared" si="1"/>
        <v>0.008526194058733968</v>
      </c>
      <c r="E59">
        <f>'Preliminary calcs'!B$16</f>
        <v>0.03</v>
      </c>
      <c r="F59">
        <v>0.025</v>
      </c>
      <c r="G59">
        <f t="shared" si="2"/>
        <v>0.008444354049775773</v>
      </c>
      <c r="H59">
        <f t="shared" si="3"/>
        <v>0.0004590233082652819</v>
      </c>
      <c r="J59">
        <f t="shared" si="4"/>
        <v>0.16690233503811464</v>
      </c>
      <c r="K59">
        <f>A59/'Preliminary calcs'!$B$14</f>
        <v>0.7</v>
      </c>
      <c r="M59">
        <f t="shared" si="5"/>
        <v>3.033988299373634E-06</v>
      </c>
    </row>
    <row r="60" spans="1:13" ht="12.75">
      <c r="A60">
        <v>0.057</v>
      </c>
      <c r="B60">
        <f>0.5*A60^2/'Preliminary calcs'!B$14</f>
        <v>0.02030625</v>
      </c>
      <c r="C60">
        <f t="shared" si="0"/>
        <v>2.3398482209730895</v>
      </c>
      <c r="D60">
        <f t="shared" si="1"/>
        <v>0.008678447524068503</v>
      </c>
      <c r="E60">
        <f>'Preliminary calcs'!B$16</f>
        <v>0.03</v>
      </c>
      <c r="F60">
        <v>0.025</v>
      </c>
      <c r="G60">
        <f t="shared" si="2"/>
        <v>0.00885247366847397</v>
      </c>
      <c r="H60">
        <f t="shared" si="3"/>
        <v>0.00048120812150718805</v>
      </c>
      <c r="J60">
        <f t="shared" si="4"/>
        <v>0.169882733878081</v>
      </c>
      <c r="K60">
        <f>A60/'Preliminary calcs'!$B$14</f>
        <v>0.7125</v>
      </c>
      <c r="M60">
        <f t="shared" si="5"/>
        <v>3.1806223865490817E-06</v>
      </c>
    </row>
    <row r="61" spans="1:13" ht="12.75">
      <c r="A61">
        <v>0.058</v>
      </c>
      <c r="B61">
        <f>0.5*A61^2/'Preliminary calcs'!B$14</f>
        <v>0.021025000000000002</v>
      </c>
      <c r="C61">
        <f t="shared" si="0"/>
        <v>2.3808981897620907</v>
      </c>
      <c r="D61">
        <f t="shared" si="1"/>
        <v>0.00883070098940304</v>
      </c>
      <c r="E61">
        <f>'Preliminary calcs'!B$16</f>
        <v>0.03</v>
      </c>
      <c r="F61">
        <v>0.025</v>
      </c>
      <c r="G61">
        <f t="shared" si="2"/>
        <v>0.009272702891098022</v>
      </c>
      <c r="H61">
        <f t="shared" si="3"/>
        <v>0.0005040511959284653</v>
      </c>
      <c r="J61">
        <f t="shared" si="4"/>
        <v>0.17286313271804735</v>
      </c>
      <c r="K61">
        <f>A61/'Preliminary calcs'!$B$14</f>
        <v>0.725</v>
      </c>
      <c r="M61">
        <f t="shared" si="5"/>
        <v>3.3316073567411026E-06</v>
      </c>
    </row>
    <row r="62" spans="1:13" ht="12.75">
      <c r="A62">
        <v>0.059000000000000004</v>
      </c>
      <c r="B62">
        <f>0.5*A62^2/'Preliminary calcs'!B$14</f>
        <v>0.021756250000000005</v>
      </c>
      <c r="C62">
        <f t="shared" si="0"/>
        <v>2.4219481585510927</v>
      </c>
      <c r="D62">
        <f t="shared" si="1"/>
        <v>0.008982954454737575</v>
      </c>
      <c r="E62">
        <f>'Preliminary calcs'!B$16</f>
        <v>0.03</v>
      </c>
      <c r="F62">
        <v>0.025</v>
      </c>
      <c r="G62">
        <f t="shared" si="2"/>
        <v>0.009705182941895046</v>
      </c>
      <c r="H62">
        <f t="shared" si="3"/>
        <v>0.0005275602082822116</v>
      </c>
      <c r="J62">
        <f t="shared" si="4"/>
        <v>0.1758435315580137</v>
      </c>
      <c r="K62">
        <f>A62/'Preliminary calcs'!$B$14</f>
        <v>0.7375</v>
      </c>
      <c r="M62">
        <f t="shared" si="5"/>
        <v>3.4869939506825897E-06</v>
      </c>
    </row>
    <row r="63" spans="1:13" ht="12.75">
      <c r="A63">
        <v>0.06</v>
      </c>
      <c r="B63">
        <f>0.5*A63^2/'Preliminary calcs'!B$14</f>
        <v>0.0225</v>
      </c>
      <c r="C63">
        <f t="shared" si="0"/>
        <v>2.4629981273400943</v>
      </c>
      <c r="D63">
        <f t="shared" si="1"/>
        <v>0.009135207920072108</v>
      </c>
      <c r="E63">
        <f>'Preliminary calcs'!B$16</f>
        <v>0.03</v>
      </c>
      <c r="F63">
        <v>0.025</v>
      </c>
      <c r="G63">
        <f t="shared" si="2"/>
        <v>0.010150054235706403</v>
      </c>
      <c r="H63">
        <f t="shared" si="3"/>
        <v>0.0005517427913233583</v>
      </c>
      <c r="J63">
        <f t="shared" si="4"/>
        <v>0.17882393039797992</v>
      </c>
      <c r="K63">
        <f>A63/'Preliminary calcs'!$B$14</f>
        <v>0.75</v>
      </c>
      <c r="M63">
        <f t="shared" si="5"/>
        <v>3.64683261829349E-06</v>
      </c>
    </row>
    <row r="64" spans="1:13" ht="12.75">
      <c r="A64">
        <v>0.061</v>
      </c>
      <c r="B64">
        <f>0.5*A64^2/'Preliminary calcs'!B$14</f>
        <v>0.02325625</v>
      </c>
      <c r="C64">
        <f t="shared" si="0"/>
        <v>2.504048096129096</v>
      </c>
      <c r="D64">
        <f t="shared" si="1"/>
        <v>0.009287461385406643</v>
      </c>
      <c r="E64">
        <f>'Preliminary calcs'!B$16</f>
        <v>0.03</v>
      </c>
      <c r="F64">
        <v>0.025</v>
      </c>
      <c r="G64">
        <f t="shared" si="2"/>
        <v>0.01060745639621158</v>
      </c>
      <c r="H64">
        <f t="shared" si="3"/>
        <v>0.0005766065348003799</v>
      </c>
      <c r="J64">
        <f t="shared" si="4"/>
        <v>0.18180432923794632</v>
      </c>
      <c r="K64">
        <f>A64/'Preliminary calcs'!$B$14</f>
        <v>0.7625</v>
      </c>
      <c r="M64">
        <f t="shared" si="5"/>
        <v>3.8111735252356615E-06</v>
      </c>
    </row>
    <row r="65" spans="1:13" ht="12.75">
      <c r="A65">
        <v>0.062</v>
      </c>
      <c r="B65">
        <f>0.5*A65^2/'Preliminary calcs'!B$14</f>
        <v>0.024024999999999998</v>
      </c>
      <c r="C65">
        <f t="shared" si="0"/>
        <v>2.5450980649180974</v>
      </c>
      <c r="D65">
        <f t="shared" si="1"/>
        <v>0.009439714850741177</v>
      </c>
      <c r="E65">
        <f>'Preliminary calcs'!B$16</f>
        <v>0.03</v>
      </c>
      <c r="F65">
        <v>0.025</v>
      </c>
      <c r="G65">
        <f t="shared" si="2"/>
        <v>0.01107752827346433</v>
      </c>
      <c r="H65">
        <f t="shared" si="3"/>
        <v>0.0006021589864085357</v>
      </c>
      <c r="J65">
        <f t="shared" si="4"/>
        <v>0.18478472807791263</v>
      </c>
      <c r="K65">
        <f>A65/'Preliminary calcs'!$B$14</f>
        <v>0.775</v>
      </c>
      <c r="M65">
        <f t="shared" si="5"/>
        <v>3.980066559213473E-06</v>
      </c>
    </row>
    <row r="66" spans="1:13" ht="12.75">
      <c r="A66">
        <v>0.063</v>
      </c>
      <c r="B66">
        <f>0.5*A66^2/'Preliminary calcs'!B$14</f>
        <v>0.024806250000000002</v>
      </c>
      <c r="C66">
        <f t="shared" si="0"/>
        <v>2.5861480337070994</v>
      </c>
      <c r="D66">
        <f t="shared" si="1"/>
        <v>0.009591968316075712</v>
      </c>
      <c r="E66">
        <f>'Preliminary calcs'!B$16</f>
        <v>0.03</v>
      </c>
      <c r="F66">
        <v>0.025</v>
      </c>
      <c r="G66">
        <f t="shared" si="2"/>
        <v>0.011560407960759737</v>
      </c>
      <c r="H66">
        <f t="shared" si="3"/>
        <v>0.000628407652706739</v>
      </c>
      <c r="J66">
        <f t="shared" si="4"/>
        <v>0.187765126917879</v>
      </c>
      <c r="K66">
        <f>A66/'Preliminary calcs'!$B$14</f>
        <v>0.7875</v>
      </c>
      <c r="M66">
        <f t="shared" si="5"/>
        <v>4.153561336034007E-06</v>
      </c>
    </row>
    <row r="67" spans="1:13" ht="12.75">
      <c r="A67">
        <v>0.064</v>
      </c>
      <c r="B67">
        <f>0.5*A67^2/'Preliminary calcs'!B$14</f>
        <v>0.025599999999999998</v>
      </c>
      <c r="C67">
        <f t="shared" si="0"/>
        <v>2.6271980024961006</v>
      </c>
      <c r="D67">
        <f t="shared" si="1"/>
        <v>0.009744221781410248</v>
      </c>
      <c r="E67">
        <f>'Preliminary calcs'!B$16</f>
        <v>0.03</v>
      </c>
      <c r="F67">
        <v>0.025</v>
      </c>
      <c r="G67">
        <f t="shared" si="2"/>
        <v>0.012056232810867974</v>
      </c>
      <c r="H67">
        <f t="shared" si="3"/>
        <v>0.0006553599999999998</v>
      </c>
      <c r="J67">
        <f t="shared" si="4"/>
        <v>0.19074552575784537</v>
      </c>
      <c r="K67">
        <f>A67/'Preliminary calcs'!$B$14</f>
        <v>0.8</v>
      </c>
      <c r="M67">
        <f t="shared" si="5"/>
        <v>4.3317072054397415E-06</v>
      </c>
    </row>
    <row r="68" spans="1:13" ht="12.75">
      <c r="A68">
        <v>0.065</v>
      </c>
      <c r="B68">
        <f>0.5*A68^2/'Preliminary calcs'!B$14</f>
        <v>0.026406250000000003</v>
      </c>
      <c r="C68">
        <f t="shared" si="0"/>
        <v>2.668247971285102</v>
      </c>
      <c r="D68">
        <f t="shared" si="1"/>
        <v>0.009896475246744784</v>
      </c>
      <c r="E68">
        <f>'Preliminary calcs'!B$16</f>
        <v>0.03</v>
      </c>
      <c r="F68">
        <v>0.025</v>
      </c>
      <c r="G68">
        <f t="shared" si="2"/>
        <v>0.012565139451668237</v>
      </c>
      <c r="H68">
        <f t="shared" si="3"/>
        <v>0.000683023455189271</v>
      </c>
      <c r="J68">
        <f t="shared" si="4"/>
        <v>0.19372592459781166</v>
      </c>
      <c r="K68">
        <f>A68/'Preliminary calcs'!$B$14</f>
        <v>0.8125</v>
      </c>
      <c r="M68">
        <f t="shared" si="5"/>
        <v>4.514553256725631E-06</v>
      </c>
    </row>
    <row r="69" spans="1:13" ht="12.75">
      <c r="A69">
        <v>0.066</v>
      </c>
      <c r="B69">
        <f>0.5*A69^2/'Preliminary calcs'!B$14</f>
        <v>0.027225000000000003</v>
      </c>
      <c r="C69">
        <f aca="true" t="shared" si="6" ref="C69:C103">A69+2*SQRT(A69^2+(A69/0.05)^2)</f>
        <v>2.7092979400741037</v>
      </c>
      <c r="D69">
        <f aca="true" t="shared" si="7" ref="D69:D103">B69/C69</f>
        <v>0.01004872871207932</v>
      </c>
      <c r="E69">
        <f>'Preliminary calcs'!B$16</f>
        <v>0.03</v>
      </c>
      <c r="F69">
        <v>0.025</v>
      </c>
      <c r="G69">
        <f aca="true" t="shared" si="8" ref="G69:G103">1.49/F69*B69*D69^(2/3)*SQRT(E69)</f>
        <v>0.013087263801214105</v>
      </c>
      <c r="H69">
        <f aca="true" t="shared" si="9" ref="H69:H132">A69^(8/3)</f>
        <v>0.0007114054065903686</v>
      </c>
      <c r="J69">
        <f aca="true" t="shared" si="10" ref="J69:J132">G69^(3/8)</f>
        <v>0.19670632343777802</v>
      </c>
      <c r="K69">
        <f>A69/'Preliminary calcs'!$B$14</f>
        <v>0.8250000000000001</v>
      </c>
      <c r="M69">
        <f aca="true" t="shared" si="11" ref="M69:M132">D69^(8/3)</f>
        <v>4.702148324152054E-06</v>
      </c>
    </row>
    <row r="70" spans="1:13" ht="12.75">
      <c r="A70">
        <v>0.067</v>
      </c>
      <c r="B70">
        <f>0.5*A70^2/'Preliminary calcs'!B$14</f>
        <v>0.028056250000000005</v>
      </c>
      <c r="C70">
        <f t="shared" si="6"/>
        <v>2.7503479088631058</v>
      </c>
      <c r="D70">
        <f t="shared" si="7"/>
        <v>0.010200982177413854</v>
      </c>
      <c r="E70">
        <f>'Preliminary calcs'!B$16</f>
        <v>0.03</v>
      </c>
      <c r="F70">
        <v>0.025</v>
      </c>
      <c r="G70">
        <f t="shared" si="8"/>
        <v>0.013622741082259235</v>
      </c>
      <c r="H70">
        <f t="shared" si="9"/>
        <v>0.00074051320472358</v>
      </c>
      <c r="J70">
        <f t="shared" si="10"/>
        <v>0.19968672227774434</v>
      </c>
      <c r="K70">
        <f>A70/'Preliminary calcs'!$B$14</f>
        <v>0.8375</v>
      </c>
      <c r="M70">
        <f t="shared" si="11"/>
        <v>4.89454099216369E-06</v>
      </c>
    </row>
    <row r="71" spans="1:13" ht="12.75">
      <c r="A71">
        <v>0.068</v>
      </c>
      <c r="B71">
        <f>0.5*A71^2/'Preliminary calcs'!B$14</f>
        <v>0.028900000000000002</v>
      </c>
      <c r="C71">
        <f t="shared" si="6"/>
        <v>2.7913978776521073</v>
      </c>
      <c r="D71">
        <f t="shared" si="7"/>
        <v>0.010353235642748388</v>
      </c>
      <c r="E71">
        <f>'Preliminary calcs'!B$16</f>
        <v>0.03</v>
      </c>
      <c r="F71">
        <v>0.025</v>
      </c>
      <c r="G71">
        <f t="shared" si="8"/>
        <v>0.01417170583627082</v>
      </c>
      <c r="H71">
        <f t="shared" si="9"/>
        <v>0.0007703541630754062</v>
      </c>
      <c r="J71">
        <f t="shared" si="10"/>
        <v>0.20266712111771068</v>
      </c>
      <c r="K71">
        <f>A71/'Preliminary calcs'!$B$14</f>
        <v>0.8500000000000001</v>
      </c>
      <c r="M71">
        <f t="shared" si="11"/>
        <v>5.091779600424551E-06</v>
      </c>
    </row>
    <row r="72" spans="1:13" ht="12.75">
      <c r="A72">
        <v>0.069</v>
      </c>
      <c r="B72">
        <f>0.5*A72^2/'Preliminary calcs'!B$14</f>
        <v>0.02975625</v>
      </c>
      <c r="C72">
        <f t="shared" si="6"/>
        <v>2.8324478464411085</v>
      </c>
      <c r="D72">
        <f t="shared" si="7"/>
        <v>0.010505489108082924</v>
      </c>
      <c r="E72">
        <f>'Preliminary calcs'!B$16</f>
        <v>0.03</v>
      </c>
      <c r="F72">
        <v>0.025</v>
      </c>
      <c r="G72">
        <f t="shared" si="8"/>
        <v>0.014734291936955949</v>
      </c>
      <c r="H72">
        <f t="shared" si="9"/>
        <v>0.000800935558833843</v>
      </c>
      <c r="J72">
        <f t="shared" si="10"/>
        <v>0.20564751995767702</v>
      </c>
      <c r="K72">
        <f>A72/'Preliminary calcs'!$B$14</f>
        <v>0.8625</v>
      </c>
      <c r="M72">
        <f t="shared" si="11"/>
        <v>5.293912248677763E-06</v>
      </c>
    </row>
    <row r="73" spans="1:13" ht="12.75">
      <c r="A73">
        <v>0.07</v>
      </c>
      <c r="B73">
        <f>0.5*A73^2/'Preliminary calcs'!B$14</f>
        <v>0.030625000000000003</v>
      </c>
      <c r="C73">
        <f t="shared" si="6"/>
        <v>2.87349781523011</v>
      </c>
      <c r="D73">
        <f t="shared" si="7"/>
        <v>0.01065774257341746</v>
      </c>
      <c r="E73">
        <f>'Preliminary calcs'!B$16</f>
        <v>0.03</v>
      </c>
      <c r="F73">
        <v>0.025</v>
      </c>
      <c r="G73">
        <f t="shared" si="8"/>
        <v>0.015310632603325026</v>
      </c>
      <c r="H73">
        <f t="shared" si="9"/>
        <v>0.0008322646335984878</v>
      </c>
      <c r="J73">
        <f t="shared" si="10"/>
        <v>0.20862791879764328</v>
      </c>
      <c r="K73">
        <f>A73/'Preliminary calcs'!$B$14</f>
        <v>0.8750000000000001</v>
      </c>
      <c r="M73">
        <f t="shared" si="11"/>
        <v>5.500986801439251E-06</v>
      </c>
    </row>
    <row r="74" spans="1:13" ht="12.75">
      <c r="A74">
        <v>0.07100000000000001</v>
      </c>
      <c r="B74">
        <f>0.5*A74^2/'Preliminary calcs'!B$14</f>
        <v>0.031506250000000006</v>
      </c>
      <c r="C74">
        <f t="shared" si="6"/>
        <v>2.914547784019112</v>
      </c>
      <c r="D74">
        <f t="shared" si="7"/>
        <v>0.010809996038751995</v>
      </c>
      <c r="E74">
        <f>'Preliminary calcs'!B$16</f>
        <v>0.03</v>
      </c>
      <c r="F74">
        <v>0.025</v>
      </c>
      <c r="G74">
        <f t="shared" si="8"/>
        <v>0.015900860412314328</v>
      </c>
      <c r="H74">
        <f t="shared" si="9"/>
        <v>0.0008643485940666815</v>
      </c>
      <c r="J74">
        <f t="shared" si="10"/>
        <v>0.21160831763760965</v>
      </c>
      <c r="K74">
        <f>A74/'Preliminary calcs'!$B$14</f>
        <v>0.8875000000000001</v>
      </c>
      <c r="M74">
        <f t="shared" si="11"/>
        <v>5.713050892532877E-06</v>
      </c>
    </row>
    <row r="75" spans="1:13" ht="12.75">
      <c r="A75">
        <v>0.07200000000000001</v>
      </c>
      <c r="B75">
        <f>0.5*A75^2/'Preliminary calcs'!B$14</f>
        <v>0.032400000000000005</v>
      </c>
      <c r="C75">
        <f t="shared" si="6"/>
        <v>2.955597752808113</v>
      </c>
      <c r="D75">
        <f t="shared" si="7"/>
        <v>0.010962249504086531</v>
      </c>
      <c r="E75">
        <f>'Preliminary calcs'!B$16</f>
        <v>0.03</v>
      </c>
      <c r="F75">
        <v>0.025</v>
      </c>
      <c r="G75">
        <f t="shared" si="8"/>
        <v>0.016505107310988663</v>
      </c>
      <c r="H75">
        <f t="shared" si="9"/>
        <v>0.0008971946126968332</v>
      </c>
      <c r="J75">
        <f t="shared" si="10"/>
        <v>0.21458871647757596</v>
      </c>
      <c r="K75">
        <f>A75/'Preliminary calcs'!$B$14</f>
        <v>0.9000000000000001</v>
      </c>
      <c r="M75">
        <f t="shared" si="11"/>
        <v>5.930151929474759E-06</v>
      </c>
    </row>
    <row r="76" spans="1:13" ht="12.75">
      <c r="A76">
        <v>0.073</v>
      </c>
      <c r="B76">
        <f>0.5*A76^2/'Preliminary calcs'!B$14</f>
        <v>0.033306249999999996</v>
      </c>
      <c r="C76">
        <f t="shared" si="6"/>
        <v>2.9966477215971143</v>
      </c>
      <c r="D76">
        <f t="shared" si="7"/>
        <v>0.011114502969421064</v>
      </c>
      <c r="E76">
        <f>'Preliminary calcs'!B$16</f>
        <v>0.03</v>
      </c>
      <c r="F76">
        <v>0.025</v>
      </c>
      <c r="G76">
        <f t="shared" si="8"/>
        <v>0.017123504628344</v>
      </c>
      <c r="H76">
        <f t="shared" si="9"/>
        <v>0.0009308098283499903</v>
      </c>
      <c r="J76">
        <f t="shared" si="10"/>
        <v>0.21756911531754228</v>
      </c>
      <c r="K76">
        <f>A76/'Preliminary calcs'!$B$14</f>
        <v>0.9125</v>
      </c>
      <c r="M76">
        <f t="shared" si="11"/>
        <v>6.152337097713881E-06</v>
      </c>
    </row>
    <row r="77" spans="1:13" ht="12.75">
      <c r="A77">
        <v>0.074</v>
      </c>
      <c r="B77">
        <f>0.5*A77^2/'Preliminary calcs'!B$14</f>
        <v>0.03422499999999999</v>
      </c>
      <c r="C77">
        <f t="shared" si="6"/>
        <v>3.0376976903861155</v>
      </c>
      <c r="D77">
        <f t="shared" si="7"/>
        <v>0.0112667564347556</v>
      </c>
      <c r="E77">
        <f>'Preliminary calcs'!B$16</f>
        <v>0.03</v>
      </c>
      <c r="F77">
        <v>0.025</v>
      </c>
      <c r="G77">
        <f t="shared" si="8"/>
        <v>0.017756183086728293</v>
      </c>
      <c r="H77">
        <f t="shared" si="9"/>
        <v>0.0009652013469106602</v>
      </c>
      <c r="J77">
        <f t="shared" si="10"/>
        <v>0.2205495141575086</v>
      </c>
      <c r="K77">
        <f>A77/'Preliminary calcs'!$B$14</f>
        <v>0.9249999999999999</v>
      </c>
      <c r="M77">
        <f t="shared" si="11"/>
        <v>6.379653364735481E-06</v>
      </c>
    </row>
    <row r="78" spans="1:13" ht="12.75">
      <c r="A78">
        <v>0.075</v>
      </c>
      <c r="B78">
        <f>0.5*A78^2/'Preliminary calcs'!B$14</f>
        <v>0.03515625</v>
      </c>
      <c r="C78">
        <f t="shared" si="6"/>
        <v>3.0787476591751175</v>
      </c>
      <c r="D78">
        <f t="shared" si="7"/>
        <v>0.011419009900090137</v>
      </c>
      <c r="E78">
        <f>'Preliminary calcs'!B$16</f>
        <v>0.03</v>
      </c>
      <c r="F78">
        <v>0.025</v>
      </c>
      <c r="G78">
        <f t="shared" si="8"/>
        <v>0.01840327281289803</v>
      </c>
      <c r="H78">
        <f t="shared" si="9"/>
        <v>0.0010003762418878302</v>
      </c>
      <c r="J78">
        <f t="shared" si="10"/>
        <v>0.223529912997475</v>
      </c>
      <c r="K78">
        <f>A78/'Preliminary calcs'!$B$14</f>
        <v>0.9375</v>
      </c>
      <c r="M78">
        <f t="shared" si="11"/>
        <v>6.612147484033572E-06</v>
      </c>
    </row>
    <row r="79" spans="1:13" ht="12.75">
      <c r="A79">
        <v>0.076</v>
      </c>
      <c r="B79">
        <f>0.5*A79^2/'Preliminary calcs'!B$14</f>
        <v>0.0361</v>
      </c>
      <c r="C79">
        <f t="shared" si="6"/>
        <v>3.119797627964119</v>
      </c>
      <c r="D79">
        <f t="shared" si="7"/>
        <v>0.011571263365424671</v>
      </c>
      <c r="E79">
        <f>'Preliminary calcs'!B$16</f>
        <v>0.03</v>
      </c>
      <c r="F79">
        <v>0.025</v>
      </c>
      <c r="G79">
        <f t="shared" si="8"/>
        <v>0.01906490334872691</v>
      </c>
      <c r="H79">
        <f t="shared" si="9"/>
        <v>0.001036341554997075</v>
      </c>
      <c r="J79">
        <f t="shared" si="10"/>
        <v>0.2265103118374413</v>
      </c>
      <c r="K79">
        <f>A79/'Preliminary calcs'!$B$14</f>
        <v>0.95</v>
      </c>
      <c r="M79">
        <f t="shared" si="11"/>
        <v>6.849865998958511E-06</v>
      </c>
    </row>
    <row r="80" spans="1:13" ht="12.75">
      <c r="A80">
        <v>0.077</v>
      </c>
      <c r="B80">
        <f>0.5*A80^2/'Preliminary calcs'!B$14</f>
        <v>0.03705625</v>
      </c>
      <c r="C80">
        <f t="shared" si="6"/>
        <v>3.1608475967531207</v>
      </c>
      <c r="D80">
        <f t="shared" si="7"/>
        <v>0.011723516830759206</v>
      </c>
      <c r="E80">
        <f>'Preliminary calcs'!B$16</f>
        <v>0.03</v>
      </c>
      <c r="F80">
        <v>0.025</v>
      </c>
      <c r="G80">
        <f t="shared" si="8"/>
        <v>0.01974120366158208</v>
      </c>
      <c r="H80">
        <f t="shared" si="9"/>
        <v>0.001073104296724593</v>
      </c>
      <c r="J80">
        <f t="shared" si="10"/>
        <v>0.22949071067740764</v>
      </c>
      <c r="K80">
        <f>A80/'Preliminary calcs'!$B$14</f>
        <v>0.9625</v>
      </c>
      <c r="M80">
        <f t="shared" si="11"/>
        <v>7.092855246445099E-06</v>
      </c>
    </row>
    <row r="81" spans="1:13" ht="12.75">
      <c r="A81">
        <v>0.078</v>
      </c>
      <c r="B81">
        <f>0.5*A81^2/'Preliminary calcs'!B$14</f>
        <v>0.038024999999999996</v>
      </c>
      <c r="C81">
        <f t="shared" si="6"/>
        <v>3.201897565542122</v>
      </c>
      <c r="D81">
        <f t="shared" si="7"/>
        <v>0.011875770296093742</v>
      </c>
      <c r="E81">
        <f>'Preliminary calcs'!B$16</f>
        <v>0.03</v>
      </c>
      <c r="F81">
        <v>0.025</v>
      </c>
      <c r="G81">
        <f t="shared" si="8"/>
        <v>0.020432302154382326</v>
      </c>
      <c r="H81">
        <f t="shared" si="9"/>
        <v>0.0011106714468739581</v>
      </c>
      <c r="J81">
        <f t="shared" si="10"/>
        <v>0.23247110951737396</v>
      </c>
      <c r="K81">
        <f>A81/'Preliminary calcs'!$B$14</f>
        <v>0.975</v>
      </c>
      <c r="M81">
        <f t="shared" si="11"/>
        <v>7.341161360626368E-06</v>
      </c>
    </row>
    <row r="82" spans="1:13" ht="12.75">
      <c r="A82">
        <v>0.079</v>
      </c>
      <c r="B82">
        <f>0.5*A82^2/'Preliminary calcs'!B$14</f>
        <v>0.03900625</v>
      </c>
      <c r="C82">
        <f t="shared" si="6"/>
        <v>3.2429475343311243</v>
      </c>
      <c r="D82">
        <f t="shared" si="7"/>
        <v>0.012028023761428275</v>
      </c>
      <c r="E82">
        <f>'Preliminary calcs'!B$16</f>
        <v>0.03</v>
      </c>
      <c r="F82">
        <v>0.025</v>
      </c>
      <c r="G82">
        <f t="shared" si="8"/>
        <v>0.021138326675352162</v>
      </c>
      <c r="H82">
        <f t="shared" si="9"/>
        <v>0.001149049955096334</v>
      </c>
      <c r="J82">
        <f t="shared" si="10"/>
        <v>0.2354515083573403</v>
      </c>
      <c r="K82">
        <f>A82/'Preliminary calcs'!$B$14</f>
        <v>0.9875</v>
      </c>
      <c r="M82">
        <f t="shared" si="11"/>
        <v>7.594830276338186E-06</v>
      </c>
    </row>
    <row r="83" spans="1:13" ht="12.75">
      <c r="A83">
        <v>0.08</v>
      </c>
      <c r="B83">
        <f>0.5*A83^2/'Preliminary calcs'!B$14</f>
        <v>0.04</v>
      </c>
      <c r="C83">
        <f t="shared" si="6"/>
        <v>3.283997503120126</v>
      </c>
      <c r="D83">
        <f t="shared" si="7"/>
        <v>0.012180277226762811</v>
      </c>
      <c r="E83">
        <f>'Preliminary calcs'!B$16</f>
        <v>0.03</v>
      </c>
      <c r="F83">
        <v>0.025</v>
      </c>
      <c r="G83">
        <f t="shared" si="8"/>
        <v>0.02185940452748468</v>
      </c>
      <c r="H83">
        <f t="shared" si="9"/>
        <v>0.0011882467414048709</v>
      </c>
      <c r="J83">
        <f t="shared" si="10"/>
        <v>0.23843190719730664</v>
      </c>
      <c r="K83">
        <f>A83/'Preliminary calcs'!$B$14</f>
        <v>1</v>
      </c>
      <c r="M83">
        <f t="shared" si="11"/>
        <v>7.853907732519187E-06</v>
      </c>
    </row>
    <row r="84" spans="1:13" ht="12.75">
      <c r="A84">
        <v>0.081</v>
      </c>
      <c r="B84">
        <f>0.5*A84^2/'Preliminary calcs'!B$14</f>
        <v>0.04100625</v>
      </c>
      <c r="C84">
        <f t="shared" si="6"/>
        <v>3.325047471909127</v>
      </c>
      <c r="D84">
        <f t="shared" si="7"/>
        <v>0.012332530692097348</v>
      </c>
      <c r="E84">
        <f>'Preliminary calcs'!B$16</f>
        <v>0.03</v>
      </c>
      <c r="F84">
        <v>0.025</v>
      </c>
      <c r="G84">
        <f t="shared" si="8"/>
        <v>0.022595662477725428</v>
      </c>
      <c r="H84">
        <f t="shared" si="9"/>
        <v>0.0012282686966739197</v>
      </c>
      <c r="J84">
        <f t="shared" si="10"/>
        <v>0.24141230603727296</v>
      </c>
      <c r="K84">
        <f>A84/'Preliminary calcs'!$B$14</f>
        <v>1.0125</v>
      </c>
      <c r="M84">
        <f t="shared" si="11"/>
        <v>8.118439275510385E-06</v>
      </c>
    </row>
    <row r="85" spans="1:13" ht="12.75">
      <c r="A85">
        <v>0.082</v>
      </c>
      <c r="B85">
        <f>0.5*A85^2/'Preliminary calcs'!B$14</f>
        <v>0.04202500000000001</v>
      </c>
      <c r="C85">
        <f t="shared" si="6"/>
        <v>3.3660974406981286</v>
      </c>
      <c r="D85">
        <f t="shared" si="7"/>
        <v>0.012484784157431884</v>
      </c>
      <c r="E85">
        <f>'Preliminary calcs'!B$16</f>
        <v>0.03</v>
      </c>
      <c r="F85">
        <v>0.025</v>
      </c>
      <c r="G85">
        <f t="shared" si="8"/>
        <v>0.023347226765889018</v>
      </c>
      <c r="H85">
        <f t="shared" si="9"/>
        <v>0.001269122683123724</v>
      </c>
      <c r="J85">
        <f t="shared" si="10"/>
        <v>0.24439270487723935</v>
      </c>
      <c r="K85">
        <f>A85/'Preliminary calcs'!$B$14</f>
        <v>1.025</v>
      </c>
      <c r="M85">
        <f t="shared" si="11"/>
        <v>8.38847026225898E-06</v>
      </c>
    </row>
    <row r="86" spans="1:13" ht="12.75">
      <c r="A86">
        <v>0.083</v>
      </c>
      <c r="B86">
        <f>0.5*A86^2/'Preliminary calcs'!B$14</f>
        <v>0.043056250000000004</v>
      </c>
      <c r="C86">
        <f t="shared" si="6"/>
        <v>3.4071474094871306</v>
      </c>
      <c r="D86">
        <f t="shared" si="7"/>
        <v>0.012637037622766417</v>
      </c>
      <c r="E86">
        <f>'Preliminary calcs'!B$16</f>
        <v>0.03</v>
      </c>
      <c r="F86">
        <v>0.025</v>
      </c>
      <c r="G86">
        <f t="shared" si="8"/>
        <v>0.024114223113319223</v>
      </c>
      <c r="H86">
        <f t="shared" si="9"/>
        <v>0.0013108155347911826</v>
      </c>
      <c r="J86">
        <f t="shared" si="10"/>
        <v>0.24737310371720567</v>
      </c>
      <c r="K86">
        <f>A86/'Preliminary calcs'!$B$14</f>
        <v>1.0375</v>
      </c>
      <c r="M86">
        <f t="shared" si="11"/>
        <v>8.664045863429726E-06</v>
      </c>
    </row>
    <row r="87" spans="1:13" ht="12.75">
      <c r="A87">
        <v>0.084</v>
      </c>
      <c r="B87">
        <f>0.5*A87^2/'Preliminary calcs'!B$14</f>
        <v>0.0441</v>
      </c>
      <c r="C87">
        <f t="shared" si="6"/>
        <v>3.4481973782761317</v>
      </c>
      <c r="D87">
        <f t="shared" si="7"/>
        <v>0.012789291088100953</v>
      </c>
      <c r="E87">
        <f>'Preliminary calcs'!B$16</f>
        <v>0.03</v>
      </c>
      <c r="F87">
        <v>0.025</v>
      </c>
      <c r="G87">
        <f t="shared" si="8"/>
        <v>0.024896776731303267</v>
      </c>
      <c r="H87">
        <f t="shared" si="9"/>
        <v>0.001353354057987226</v>
      </c>
      <c r="J87">
        <f t="shared" si="10"/>
        <v>0.25035350255717204</v>
      </c>
      <c r="K87">
        <f>A87/'Preliminary calcs'!$B$14</f>
        <v>1.05</v>
      </c>
      <c r="M87">
        <f t="shared" si="11"/>
        <v>8.94521106642819E-06</v>
      </c>
    </row>
    <row r="88" spans="1:13" ht="12.75">
      <c r="A88">
        <v>0.085</v>
      </c>
      <c r="B88">
        <f>0.5*A88^2/'Preliminary calcs'!B$14</f>
        <v>0.04515625000000001</v>
      </c>
      <c r="C88">
        <f t="shared" si="6"/>
        <v>3.4892473470651333</v>
      </c>
      <c r="D88">
        <f t="shared" si="7"/>
        <v>0.01294154455343549</v>
      </c>
      <c r="E88">
        <f>'Preliminary calcs'!B$16</f>
        <v>0.03</v>
      </c>
      <c r="F88">
        <v>0.025</v>
      </c>
      <c r="G88">
        <f t="shared" si="8"/>
        <v>0.025695012329249884</v>
      </c>
      <c r="H88">
        <f t="shared" si="9"/>
        <v>0.001396745031741376</v>
      </c>
      <c r="J88">
        <f t="shared" si="10"/>
        <v>0.25333390139713835</v>
      </c>
      <c r="K88">
        <f>A88/'Preliminary calcs'!$B$14</f>
        <v>1.0625</v>
      </c>
      <c r="M88">
        <f t="shared" si="11"/>
        <v>9.232010678339036E-06</v>
      </c>
    </row>
    <row r="89" spans="1:13" ht="12.75">
      <c r="A89">
        <v>0.08600000000000001</v>
      </c>
      <c r="B89">
        <f>0.5*A89^2/'Preliminary calcs'!B$14</f>
        <v>0.04622500000000001</v>
      </c>
      <c r="C89">
        <f t="shared" si="6"/>
        <v>3.530297315854135</v>
      </c>
      <c r="D89">
        <f t="shared" si="7"/>
        <v>0.013093798018770026</v>
      </c>
      <c r="E89">
        <f>'Preliminary calcs'!B$16</f>
        <v>0.03</v>
      </c>
      <c r="F89">
        <v>0.025</v>
      </c>
      <c r="G89">
        <f t="shared" si="8"/>
        <v>0.026509054122640714</v>
      </c>
      <c r="H89">
        <f t="shared" si="9"/>
        <v>0.0014409952082339629</v>
      </c>
      <c r="J89">
        <f t="shared" si="10"/>
        <v>0.2563143002371047</v>
      </c>
      <c r="K89">
        <f>A89/'Preliminary calcs'!$B$14</f>
        <v>1.075</v>
      </c>
      <c r="M89">
        <f t="shared" si="11"/>
        <v>9.524489328782942E-06</v>
      </c>
    </row>
    <row r="90" spans="1:13" ht="12.75">
      <c r="A90">
        <v>0.08700000000000001</v>
      </c>
      <c r="B90">
        <f>0.5*A90^2/'Preliminary calcs'!B$14</f>
        <v>0.04730625000000001</v>
      </c>
      <c r="C90">
        <f t="shared" si="6"/>
        <v>3.571347284643137</v>
      </c>
      <c r="D90">
        <f t="shared" si="7"/>
        <v>0.013246051484104559</v>
      </c>
      <c r="E90">
        <f>'Preliminary calcs'!B$16</f>
        <v>0.03</v>
      </c>
      <c r="F90">
        <v>0.025</v>
      </c>
      <c r="G90">
        <f t="shared" si="8"/>
        <v>0.02733902584076373</v>
      </c>
      <c r="H90">
        <f t="shared" si="9"/>
        <v>0.0014861113132165068</v>
      </c>
      <c r="J90">
        <f t="shared" si="10"/>
        <v>0.259294699077071</v>
      </c>
      <c r="K90">
        <f>A90/'Preliminary calcs'!$B$14</f>
        <v>1.0875000000000001</v>
      </c>
      <c r="M90">
        <f t="shared" si="11"/>
        <v>9.822691472695075E-06</v>
      </c>
    </row>
    <row r="91" spans="1:13" ht="12.75">
      <c r="A91">
        <v>0.088</v>
      </c>
      <c r="B91">
        <f>0.5*A91^2/'Preliminary calcs'!B$14</f>
        <v>0.04839999999999999</v>
      </c>
      <c r="C91">
        <f t="shared" si="6"/>
        <v>3.612397253432138</v>
      </c>
      <c r="D91">
        <f t="shared" si="7"/>
        <v>0.013398304949439091</v>
      </c>
      <c r="E91">
        <f>'Preliminary calcs'!B$16</f>
        <v>0.03</v>
      </c>
      <c r="F91">
        <v>0.025</v>
      </c>
      <c r="G91">
        <f t="shared" si="8"/>
        <v>0.028185050734237348</v>
      </c>
      <c r="H91">
        <f t="shared" si="9"/>
        <v>0.0015321000464207173</v>
      </c>
      <c r="J91">
        <f t="shared" si="10"/>
        <v>0.2622750979170373</v>
      </c>
      <c r="K91">
        <f>A91/'Preliminary calcs'!$B$14</f>
        <v>1.0999999999999999</v>
      </c>
      <c r="M91">
        <f t="shared" si="11"/>
        <v>1.0126661393028526E-05</v>
      </c>
    </row>
    <row r="92" spans="1:13" ht="12.75">
      <c r="A92">
        <v>0.089</v>
      </c>
      <c r="B92">
        <f>0.5*A92^2/'Preliminary calcs'!B$14</f>
        <v>0.049506249999999995</v>
      </c>
      <c r="C92">
        <f t="shared" si="6"/>
        <v>3.6534472222211396</v>
      </c>
      <c r="D92">
        <f t="shared" si="7"/>
        <v>0.013550558414773626</v>
      </c>
      <c r="E92">
        <f>'Preliminary calcs'!B$16</f>
        <v>0.03</v>
      </c>
      <c r="F92">
        <v>0.025</v>
      </c>
      <c r="G92">
        <f t="shared" si="8"/>
        <v>0.02904725158233296</v>
      </c>
      <c r="H92">
        <f t="shared" si="9"/>
        <v>0.0015789680819565432</v>
      </c>
      <c r="J92">
        <f t="shared" si="10"/>
        <v>0.2652554967570036</v>
      </c>
      <c r="K92">
        <f>A92/'Preliminary calcs'!$B$14</f>
        <v>1.1124999999999998</v>
      </c>
      <c r="M92">
        <f t="shared" si="11"/>
        <v>1.043644320338517E-05</v>
      </c>
    </row>
    <row r="93" spans="1:13" ht="12.75">
      <c r="A93">
        <v>0.09</v>
      </c>
      <c r="B93">
        <f>0.5*A93^2/'Preliminary calcs'!B$14</f>
        <v>0.050624999999999996</v>
      </c>
      <c r="C93">
        <f t="shared" si="6"/>
        <v>3.694497191010141</v>
      </c>
      <c r="D93">
        <f t="shared" si="7"/>
        <v>0.013702811880108162</v>
      </c>
      <c r="E93">
        <f>'Preliminary calcs'!B$16</f>
        <v>0.03</v>
      </c>
      <c r="F93">
        <v>0.025</v>
      </c>
      <c r="G93">
        <f t="shared" si="8"/>
        <v>0.029925750700103747</v>
      </c>
      <c r="H93">
        <f t="shared" si="9"/>
        <v>0.0016267220686996713</v>
      </c>
      <c r="J93">
        <f t="shared" si="10"/>
        <v>0.2682358955969699</v>
      </c>
      <c r="K93">
        <f>A93/'Preliminary calcs'!$B$14</f>
        <v>1.125</v>
      </c>
      <c r="M93">
        <f t="shared" si="11"/>
        <v>1.0752080850577076E-05</v>
      </c>
    </row>
    <row r="94" spans="1:13" ht="12.75">
      <c r="A94">
        <v>0.091</v>
      </c>
      <c r="B94">
        <f>0.5*A94^2/'Preliminary calcs'!B$14</f>
        <v>0.05175625</v>
      </c>
      <c r="C94">
        <f t="shared" si="6"/>
        <v>3.7355471597991428</v>
      </c>
      <c r="D94">
        <f t="shared" si="7"/>
        <v>0.013855065345442697</v>
      </c>
      <c r="E94">
        <f>'Preliminary calcs'!B$16</f>
        <v>0.03</v>
      </c>
      <c r="F94">
        <v>0.025</v>
      </c>
      <c r="G94">
        <f t="shared" si="8"/>
        <v>0.030820669945326867</v>
      </c>
      <c r="H94">
        <f t="shared" si="9"/>
        <v>0.0016753686306689086</v>
      </c>
      <c r="J94">
        <f t="shared" si="10"/>
        <v>0.2712162944369363</v>
      </c>
      <c r="K94">
        <f>A94/'Preliminary calcs'!$B$14</f>
        <v>1.1375</v>
      </c>
      <c r="M94">
        <f t="shared" si="11"/>
        <v>1.1073618117120668E-05</v>
      </c>
    </row>
    <row r="95" spans="1:13" ht="12.75">
      <c r="A95">
        <v>0.092</v>
      </c>
      <c r="B95">
        <f>0.5*A95^2/'Preliminary calcs'!B$14</f>
        <v>0.052899999999999996</v>
      </c>
      <c r="C95">
        <f t="shared" si="6"/>
        <v>3.7765971285881443</v>
      </c>
      <c r="D95">
        <f t="shared" si="7"/>
        <v>0.014007318810777231</v>
      </c>
      <c r="E95">
        <f>'Preliminary calcs'!B$16</f>
        <v>0.03</v>
      </c>
      <c r="F95">
        <v>0.025</v>
      </c>
      <c r="G95">
        <f t="shared" si="8"/>
        <v>0.03173213072526602</v>
      </c>
      <c r="H95">
        <f t="shared" si="9"/>
        <v>0.0017249143673937711</v>
      </c>
      <c r="J95">
        <f t="shared" si="10"/>
        <v>0.27419669327690266</v>
      </c>
      <c r="K95">
        <f>A95/'Preliminary calcs'!$B$14</f>
        <v>1.15</v>
      </c>
      <c r="M95">
        <f t="shared" si="11"/>
        <v>1.1401098623666567E-05</v>
      </c>
    </row>
    <row r="96" spans="1:13" ht="12.75">
      <c r="A96">
        <v>0.093</v>
      </c>
      <c r="B96">
        <f>0.5*A96^2/'Preliminary calcs'!B$14</f>
        <v>0.05405625</v>
      </c>
      <c r="C96">
        <f t="shared" si="6"/>
        <v>3.817647097377146</v>
      </c>
      <c r="D96">
        <f t="shared" si="7"/>
        <v>0.014159572276111768</v>
      </c>
      <c r="E96">
        <f>'Preliminary calcs'!B$16</f>
        <v>0.03</v>
      </c>
      <c r="F96">
        <v>0.025</v>
      </c>
      <c r="G96">
        <f t="shared" si="8"/>
        <v>0.03266025400326081</v>
      </c>
      <c r="H96">
        <f t="shared" si="9"/>
        <v>0.0017753658542726876</v>
      </c>
      <c r="J96">
        <f t="shared" si="10"/>
        <v>0.2771770921168689</v>
      </c>
      <c r="K96">
        <f>A96/'Preliminary calcs'!$B$14</f>
        <v>1.1624999999999999</v>
      </c>
      <c r="M96">
        <f t="shared" si="11"/>
        <v>1.1734565831366982E-05</v>
      </c>
    </row>
    <row r="97" spans="1:13" ht="12.75">
      <c r="A97">
        <v>0.094</v>
      </c>
      <c r="B97">
        <f>0.5*A97^2/'Preliminary calcs'!B$14</f>
        <v>0.055224999999999996</v>
      </c>
      <c r="C97">
        <f t="shared" si="6"/>
        <v>3.8586970661661475</v>
      </c>
      <c r="D97">
        <f t="shared" si="7"/>
        <v>0.014311825741446302</v>
      </c>
      <c r="E97">
        <f>'Preliminary calcs'!B$16</f>
        <v>0.03</v>
      </c>
      <c r="F97">
        <v>0.025</v>
      </c>
      <c r="G97">
        <f t="shared" si="8"/>
        <v>0.033605160305149435</v>
      </c>
      <c r="H97">
        <f t="shared" si="9"/>
        <v>0.0018267296429221166</v>
      </c>
      <c r="J97">
        <f t="shared" si="10"/>
        <v>0.2801574909568353</v>
      </c>
      <c r="K97">
        <f>A97/'Preliminary calcs'!$B$14</f>
        <v>1.175</v>
      </c>
      <c r="M97">
        <f t="shared" si="11"/>
        <v>1.2074063044183474E-05</v>
      </c>
    </row>
    <row r="98" spans="1:13" ht="12.75">
      <c r="A98">
        <v>0.095</v>
      </c>
      <c r="B98">
        <f>0.5*A98^2/'Preliminary calcs'!B$14</f>
        <v>0.05640625</v>
      </c>
      <c r="C98">
        <f t="shared" si="6"/>
        <v>3.8997470349551495</v>
      </c>
      <c r="D98">
        <f t="shared" si="7"/>
        <v>0.014464079206780837</v>
      </c>
      <c r="E98">
        <f>'Preliminary calcs'!B$16</f>
        <v>0.03</v>
      </c>
      <c r="F98">
        <v>0.025</v>
      </c>
      <c r="G98">
        <f t="shared" si="8"/>
        <v>0.03456696972553035</v>
      </c>
      <c r="H98">
        <f t="shared" si="9"/>
        <v>0.0018790122615169262</v>
      </c>
      <c r="J98">
        <f t="shared" si="10"/>
        <v>0.2831378897968016</v>
      </c>
      <c r="K98">
        <f>A98/'Preliminary calcs'!$B$14</f>
        <v>1.1875</v>
      </c>
      <c r="M98">
        <f t="shared" si="11"/>
        <v>1.2419633411136588E-05</v>
      </c>
    </row>
    <row r="99" spans="1:13" ht="12.75">
      <c r="A99">
        <v>0.096</v>
      </c>
      <c r="B99">
        <f>0.5*A99^2/'Preliminary calcs'!B$14</f>
        <v>0.0576</v>
      </c>
      <c r="C99">
        <f t="shared" si="6"/>
        <v>3.9407970037441507</v>
      </c>
      <c r="D99">
        <f t="shared" si="7"/>
        <v>0.014616332672115373</v>
      </c>
      <c r="E99">
        <f>'Preliminary calcs'!B$16</f>
        <v>0.03</v>
      </c>
      <c r="F99">
        <v>0.025</v>
      </c>
      <c r="G99">
        <f t="shared" si="8"/>
        <v>0.0355458019338688</v>
      </c>
      <c r="H99">
        <f t="shared" si="9"/>
        <v>0.001932220215122337</v>
      </c>
      <c r="J99">
        <f t="shared" si="10"/>
        <v>0.2861182886367679</v>
      </c>
      <c r="K99">
        <f>A99/'Preliminary calcs'!$B$14</f>
        <v>1.2</v>
      </c>
      <c r="M99">
        <f t="shared" si="11"/>
        <v>1.277131992849995E-05</v>
      </c>
    </row>
    <row r="100" spans="1:13" ht="12.75">
      <c r="A100">
        <v>0.097</v>
      </c>
      <c r="B100">
        <f>0.5*A100^2/'Preliminary calcs'!B$14</f>
        <v>0.058806250000000004</v>
      </c>
      <c r="C100">
        <f t="shared" si="6"/>
        <v>3.9818469725331522</v>
      </c>
      <c r="D100">
        <f t="shared" si="7"/>
        <v>0.01476858613744991</v>
      </c>
      <c r="E100">
        <f>'Preliminary calcs'!B$16</f>
        <v>0.03</v>
      </c>
      <c r="F100">
        <v>0.025</v>
      </c>
      <c r="G100">
        <f t="shared" si="8"/>
        <v>0.03654177618045368</v>
      </c>
      <c r="H100">
        <f t="shared" si="9"/>
        <v>0.001986359986017726</v>
      </c>
      <c r="J100">
        <f t="shared" si="10"/>
        <v>0.2890986874767343</v>
      </c>
      <c r="K100">
        <f>A100/'Preliminary calcs'!$B$14</f>
        <v>1.2125</v>
      </c>
      <c r="M100">
        <f t="shared" si="11"/>
        <v>1.3129165441940533E-05</v>
      </c>
    </row>
    <row r="101" spans="1:13" ht="12.75">
      <c r="A101">
        <v>0.098</v>
      </c>
      <c r="B101">
        <f>0.5*A101^2/'Preliminary calcs'!B$14</f>
        <v>0.06002500000000001</v>
      </c>
      <c r="C101">
        <f t="shared" si="6"/>
        <v>4.022896941322154</v>
      </c>
      <c r="D101">
        <f t="shared" si="7"/>
        <v>0.014920839602784446</v>
      </c>
      <c r="E101">
        <f>'Preliminary calcs'!B$16</f>
        <v>0.03</v>
      </c>
      <c r="F101">
        <v>0.025</v>
      </c>
      <c r="G101">
        <f t="shared" si="8"/>
        <v>0.0375550113022097</v>
      </c>
      <c r="H101">
        <f t="shared" si="9"/>
        <v>0.002041438034012572</v>
      </c>
      <c r="J101">
        <f t="shared" si="10"/>
        <v>0.2920790863167006</v>
      </c>
      <c r="K101">
        <f>A101/'Preliminary calcs'!$B$14</f>
        <v>1.225</v>
      </c>
      <c r="M101">
        <f t="shared" si="11"/>
        <v>1.3493212648606839E-05</v>
      </c>
    </row>
    <row r="102" spans="1:13" ht="12.75">
      <c r="A102">
        <v>0.099</v>
      </c>
      <c r="B102">
        <f>0.5*A102^2/'Preliminary calcs'!B$14</f>
        <v>0.061256250000000005</v>
      </c>
      <c r="C102">
        <f t="shared" si="6"/>
        <v>4.063946910111156</v>
      </c>
      <c r="D102">
        <f t="shared" si="7"/>
        <v>0.015073093068118978</v>
      </c>
      <c r="E102">
        <f>'Preliminary calcs'!B$16</f>
        <v>0.03</v>
      </c>
      <c r="F102">
        <v>0.025</v>
      </c>
      <c r="G102">
        <f t="shared" si="8"/>
        <v>0.03858562572837013</v>
      </c>
      <c r="H102">
        <f t="shared" si="9"/>
        <v>0.002097460796754816</v>
      </c>
      <c r="J102">
        <f t="shared" si="10"/>
        <v>0.2950594851566669</v>
      </c>
      <c r="K102">
        <f>A102/'Preliminary calcs'!$B$14</f>
        <v>1.2375</v>
      </c>
      <c r="M102">
        <f t="shared" si="11"/>
        <v>1.3863504099167158E-05</v>
      </c>
    </row>
    <row r="103" spans="1:13" ht="12.75">
      <c r="A103">
        <v>0.1</v>
      </c>
      <c r="B103">
        <f>0.5*A103^2/'Preliminary calcs'!B$14</f>
        <v>0.06250000000000001</v>
      </c>
      <c r="C103">
        <f t="shared" si="6"/>
        <v>4.104996878900157</v>
      </c>
      <c r="D103">
        <f t="shared" si="7"/>
        <v>0.015225346533453518</v>
      </c>
      <c r="E103">
        <f>'Preliminary calcs'!B$16</f>
        <v>0.03</v>
      </c>
      <c r="F103">
        <v>0.025</v>
      </c>
      <c r="G103">
        <f t="shared" si="8"/>
        <v>0.03963373748601466</v>
      </c>
      <c r="H103">
        <f t="shared" si="9"/>
        <v>0.0021544346900318864</v>
      </c>
      <c r="J103">
        <f t="shared" si="10"/>
        <v>0.29803988399663334</v>
      </c>
      <c r="K103">
        <f>A103/'Preliminary calcs'!$B$14</f>
        <v>1.25</v>
      </c>
      <c r="M103">
        <f t="shared" si="11"/>
        <v>1.4240082199799263E-05</v>
      </c>
    </row>
    <row r="104" spans="1:13" ht="12.75">
      <c r="A104">
        <v>0.101</v>
      </c>
      <c r="B104">
        <f>0.5*A104^2/'Preliminary calcs'!B$14</f>
        <v>0.06375625000000001</v>
      </c>
      <c r="C104">
        <f aca="true" t="shared" si="12" ref="C104:C163">A104+2*SQRT(A104^2+(A104/0.05)^2)</f>
        <v>4.146046847689159</v>
      </c>
      <c r="D104">
        <f aca="true" t="shared" si="13" ref="D104:D163">B104/C104</f>
        <v>0.015377599998788051</v>
      </c>
      <c r="E104">
        <f>'Preliminary calcs'!B$16</f>
        <v>0.03</v>
      </c>
      <c r="F104">
        <v>0.025</v>
      </c>
      <c r="G104">
        <f aca="true" t="shared" si="14" ref="G104:G163">1.49/F104*B104*D104^(2/3)*SQRT(E104)</f>
        <v>0.040699464205476675</v>
      </c>
      <c r="H104">
        <f t="shared" si="9"/>
        <v>0.0022123661080646413</v>
      </c>
      <c r="J104">
        <f t="shared" si="10"/>
        <v>0.30102028283659965</v>
      </c>
      <c r="K104">
        <f>A104/'Preliminary calcs'!$B$14</f>
        <v>1.2625</v>
      </c>
      <c r="M104">
        <f t="shared" si="11"/>
        <v>1.4622989214133092E-05</v>
      </c>
    </row>
    <row r="105" spans="1:13" ht="12.75">
      <c r="A105">
        <v>0.10200000000000001</v>
      </c>
      <c r="B105">
        <f>0.5*A105^2/'Preliminary calcs'!B$14</f>
        <v>0.06502500000000001</v>
      </c>
      <c r="C105">
        <f t="shared" si="12"/>
        <v>4.187096816478161</v>
      </c>
      <c r="D105">
        <f t="shared" si="13"/>
        <v>0.015529853464122584</v>
      </c>
      <c r="E105">
        <f>'Preliminary calcs'!B$16</f>
        <v>0.03</v>
      </c>
      <c r="F105">
        <v>0.025</v>
      </c>
      <c r="G105">
        <f t="shared" si="14"/>
        <v>0.04178292312562511</v>
      </c>
      <c r="H105">
        <f t="shared" si="9"/>
        <v>0.002271261423794479</v>
      </c>
      <c r="J105">
        <f t="shared" si="10"/>
        <v>0.304000681676566</v>
      </c>
      <c r="K105">
        <f>A105/'Preliminary calcs'!$B$14</f>
        <v>1.2750000000000001</v>
      </c>
      <c r="M105">
        <f t="shared" si="11"/>
        <v>1.5012267265148707E-05</v>
      </c>
    </row>
    <row r="106" spans="1:13" ht="12.75">
      <c r="A106">
        <v>0.10300000000000001</v>
      </c>
      <c r="B106">
        <f>0.5*A106^2/'Preliminary calcs'!B$14</f>
        <v>0.06630625000000001</v>
      </c>
      <c r="C106">
        <f t="shared" si="12"/>
        <v>4.228146785267161</v>
      </c>
      <c r="D106">
        <f t="shared" si="13"/>
        <v>0.015682106929457124</v>
      </c>
      <c r="E106">
        <f>'Preliminary calcs'!B$16</f>
        <v>0.03</v>
      </c>
      <c r="F106">
        <v>0.025</v>
      </c>
      <c r="G106">
        <f t="shared" si="14"/>
        <v>0.04288423109902384</v>
      </c>
      <c r="H106">
        <f t="shared" si="9"/>
        <v>0.0023311269891637836</v>
      </c>
      <c r="J106">
        <f t="shared" si="10"/>
        <v>0.30698108051653233</v>
      </c>
      <c r="K106">
        <f>A106/'Preliminary calcs'!$B$14</f>
        <v>1.2875</v>
      </c>
      <c r="M106">
        <f t="shared" si="11"/>
        <v>1.540795833702972E-05</v>
      </c>
    </row>
    <row r="107" spans="1:13" ht="12.75">
      <c r="A107">
        <v>0.10400000000000001</v>
      </c>
      <c r="B107">
        <f>0.5*A107^2/'Preliminary calcs'!B$14</f>
        <v>0.06760000000000002</v>
      </c>
      <c r="C107">
        <f t="shared" si="12"/>
        <v>4.269196754056164</v>
      </c>
      <c r="D107">
        <f t="shared" si="13"/>
        <v>0.015834360394791656</v>
      </c>
      <c r="E107">
        <f>'Preliminary calcs'!B$16</f>
        <v>0.03</v>
      </c>
      <c r="F107">
        <v>0.025</v>
      </c>
      <c r="G107">
        <f t="shared" si="14"/>
        <v>0.0440035045969738</v>
      </c>
      <c r="H107">
        <f t="shared" si="9"/>
        <v>0.0023919691353900276</v>
      </c>
      <c r="J107">
        <f t="shared" si="10"/>
        <v>0.3099614793564987</v>
      </c>
      <c r="K107">
        <f>A107/'Preliminary calcs'!$B$14</f>
        <v>1.3</v>
      </c>
      <c r="M107">
        <f t="shared" si="11"/>
        <v>1.581010427697518E-05</v>
      </c>
    </row>
    <row r="108" spans="1:13" ht="12.75">
      <c r="A108">
        <v>0.105</v>
      </c>
      <c r="B108">
        <f>0.5*A108^2/'Preliminary calcs'!B$14</f>
        <v>0.06890624999999999</v>
      </c>
      <c r="C108">
        <f t="shared" si="12"/>
        <v>4.310246722845164</v>
      </c>
      <c r="D108">
        <f t="shared" si="13"/>
        <v>0.01598661386012619</v>
      </c>
      <c r="E108">
        <f>'Preliminary calcs'!B$16</f>
        <v>0.03</v>
      </c>
      <c r="F108">
        <v>0.025</v>
      </c>
      <c r="G108">
        <f t="shared" si="14"/>
        <v>0.0451408597144405</v>
      </c>
      <c r="H108">
        <f t="shared" si="9"/>
        <v>0.0024537941732336132</v>
      </c>
      <c r="J108">
        <f t="shared" si="10"/>
        <v>0.312941878196465</v>
      </c>
      <c r="K108">
        <f>A108/'Preliminary calcs'!$B$14</f>
        <v>1.3125</v>
      </c>
      <c r="M108">
        <f t="shared" si="11"/>
        <v>1.6218746796969743E-05</v>
      </c>
    </row>
    <row r="109" spans="1:13" ht="12.75">
      <c r="A109">
        <v>0.106</v>
      </c>
      <c r="B109">
        <f>0.5*A109^2/'Preliminary calcs'!B$14</f>
        <v>0.070225</v>
      </c>
      <c r="C109">
        <f t="shared" si="12"/>
        <v>4.351296691634166</v>
      </c>
      <c r="D109">
        <f t="shared" si="13"/>
        <v>0.016138867325460726</v>
      </c>
      <c r="E109">
        <f>'Preliminary calcs'!B$16</f>
        <v>0.03</v>
      </c>
      <c r="F109">
        <v>0.025</v>
      </c>
      <c r="G109">
        <f t="shared" si="14"/>
        <v>0.04629641217487173</v>
      </c>
      <c r="H109">
        <f t="shared" si="9"/>
        <v>0.002516608393259752</v>
      </c>
      <c r="J109">
        <f t="shared" si="10"/>
        <v>0.3159222770364313</v>
      </c>
      <c r="K109">
        <f>A109/'Preliminary calcs'!$B$14</f>
        <v>1.325</v>
      </c>
      <c r="M109">
        <f t="shared" si="11"/>
        <v>1.663392747551482E-05</v>
      </c>
    </row>
    <row r="110" spans="1:13" ht="12.75">
      <c r="A110">
        <v>0.107</v>
      </c>
      <c r="B110">
        <f>0.5*A110^2/'Preliminary calcs'!B$14</f>
        <v>0.07155624999999999</v>
      </c>
      <c r="C110">
        <f t="shared" si="12"/>
        <v>4.392346660423168</v>
      </c>
      <c r="D110">
        <f t="shared" si="13"/>
        <v>0.01629112079079526</v>
      </c>
      <c r="E110">
        <f>'Preliminary calcs'!B$16</f>
        <v>0.03</v>
      </c>
      <c r="F110">
        <v>0.025</v>
      </c>
      <c r="G110">
        <f t="shared" si="14"/>
        <v>0.04747027733490786</v>
      </c>
      <c r="H110">
        <f t="shared" si="9"/>
        <v>0.0025804180660945184</v>
      </c>
      <c r="J110">
        <f t="shared" si="10"/>
        <v>0.3189026758763977</v>
      </c>
      <c r="K110">
        <f>A110/'Preliminary calcs'!$B$14</f>
        <v>1.3375</v>
      </c>
      <c r="M110">
        <f t="shared" si="11"/>
        <v>1.7055687759320837E-05</v>
      </c>
    </row>
    <row r="111" spans="1:13" ht="12.75">
      <c r="A111">
        <v>0.108</v>
      </c>
      <c r="B111">
        <f>0.5*A111^2/'Preliminary calcs'!B$14</f>
        <v>0.07289999999999999</v>
      </c>
      <c r="C111">
        <f t="shared" si="12"/>
        <v>4.433396629212169</v>
      </c>
      <c r="D111">
        <f t="shared" si="13"/>
        <v>0.016443374256129798</v>
      </c>
      <c r="E111">
        <f>'Preliminary calcs'!B$16</f>
        <v>0.03</v>
      </c>
      <c r="F111">
        <v>0.025</v>
      </c>
      <c r="G111">
        <f t="shared" si="14"/>
        <v>0.04866257018898887</v>
      </c>
      <c r="H111">
        <f t="shared" si="9"/>
        <v>0.0026452294426752843</v>
      </c>
      <c r="J111">
        <f t="shared" si="10"/>
        <v>0.32188307471636396</v>
      </c>
      <c r="K111">
        <f>A111/'Preliminary calcs'!$B$14</f>
        <v>1.3499999999999999</v>
      </c>
      <c r="M111">
        <f t="shared" si="11"/>
        <v>1.7484068964962563E-05</v>
      </c>
    </row>
    <row r="112" spans="1:13" ht="12.75">
      <c r="A112">
        <v>0.109</v>
      </c>
      <c r="B112">
        <f>0.5*A112^2/'Preliminary calcs'!B$14</f>
        <v>0.07425625</v>
      </c>
      <c r="C112">
        <f t="shared" si="12"/>
        <v>4.474446598001171</v>
      </c>
      <c r="D112">
        <f t="shared" si="13"/>
        <v>0.01659562772146433</v>
      </c>
      <c r="E112">
        <f>'Preliminary calcs'!B$16</f>
        <v>0.03</v>
      </c>
      <c r="F112">
        <v>0.025</v>
      </c>
      <c r="G112">
        <f t="shared" si="14"/>
        <v>0.04987340537386112</v>
      </c>
      <c r="H112">
        <f t="shared" si="9"/>
        <v>0.002711048754495687</v>
      </c>
      <c r="J112">
        <f t="shared" si="10"/>
        <v>0.3248634735563303</v>
      </c>
      <c r="K112">
        <f>A112/'Preliminary calcs'!$B$14</f>
        <v>1.3625</v>
      </c>
      <c r="M112">
        <f t="shared" si="11"/>
        <v>1.7919112280498334E-05</v>
      </c>
    </row>
    <row r="113" spans="1:13" ht="12.75">
      <c r="A113">
        <v>0.11</v>
      </c>
      <c r="B113">
        <f>0.5*A113^2/'Preliminary calcs'!B$14</f>
        <v>0.075625</v>
      </c>
      <c r="C113">
        <f t="shared" si="12"/>
        <v>4.515496566790173</v>
      </c>
      <c r="D113">
        <f t="shared" si="13"/>
        <v>0.016747881186798864</v>
      </c>
      <c r="E113">
        <f>'Preliminary calcs'!B$16</f>
        <v>0.03</v>
      </c>
      <c r="F113">
        <v>0.025</v>
      </c>
      <c r="G113">
        <f t="shared" si="14"/>
        <v>0.05110289717298662</v>
      </c>
      <c r="H113">
        <f t="shared" si="9"/>
        <v>0.002777882213845323</v>
      </c>
      <c r="J113">
        <f t="shared" si="10"/>
        <v>0.3278438723962966</v>
      </c>
      <c r="K113">
        <f>A113/'Preliminary calcs'!$B$14</f>
        <v>1.375</v>
      </c>
      <c r="M113">
        <f t="shared" si="11"/>
        <v>1.836085876705423E-05</v>
      </c>
    </row>
    <row r="114" spans="1:13" ht="12.75">
      <c r="A114">
        <v>0.111</v>
      </c>
      <c r="B114">
        <f>0.5*A114^2/'Preliminary calcs'!B$14</f>
        <v>0.07700625</v>
      </c>
      <c r="C114">
        <f t="shared" si="12"/>
        <v>4.556546535579174</v>
      </c>
      <c r="D114">
        <f t="shared" si="13"/>
        <v>0.0169001346521334</v>
      </c>
      <c r="E114">
        <f>'Preliminary calcs'!B$16</f>
        <v>0.03</v>
      </c>
      <c r="F114">
        <v>0.025</v>
      </c>
      <c r="G114">
        <f t="shared" si="14"/>
        <v>0.05235115952085834</v>
      </c>
      <c r="H114">
        <f t="shared" si="9"/>
        <v>0.002845736014044318</v>
      </c>
      <c r="J114">
        <f t="shared" si="10"/>
        <v>0.33082427123626296</v>
      </c>
      <c r="K114">
        <f>A114/'Preliminary calcs'!$B$14</f>
        <v>1.3875</v>
      </c>
      <c r="M114">
        <f t="shared" si="11"/>
        <v>1.8809349360374623E-05</v>
      </c>
    </row>
    <row r="115" spans="1:13" ht="12.75">
      <c r="A115">
        <v>0.112</v>
      </c>
      <c r="B115">
        <f>0.5*A115^2/'Preliminary calcs'!B$14</f>
        <v>0.07840000000000001</v>
      </c>
      <c r="C115">
        <f t="shared" si="12"/>
        <v>4.597596504368176</v>
      </c>
      <c r="D115">
        <f t="shared" si="13"/>
        <v>0.017052388117467936</v>
      </c>
      <c r="E115">
        <f>'Preliminary calcs'!B$16</f>
        <v>0.03</v>
      </c>
      <c r="F115">
        <v>0.025</v>
      </c>
      <c r="G115">
        <f t="shared" si="14"/>
        <v>0.05361830600722396</v>
      </c>
      <c r="H115">
        <f t="shared" si="9"/>
        <v>0.002914616329672923</v>
      </c>
      <c r="J115">
        <f t="shared" si="10"/>
        <v>0.3338046700762294</v>
      </c>
      <c r="K115">
        <f>A115/'Preliminary calcs'!$B$14</f>
        <v>1.4</v>
      </c>
      <c r="M115">
        <f t="shared" si="11"/>
        <v>1.9264624872339687E-05</v>
      </c>
    </row>
    <row r="116" spans="1:13" ht="12.75">
      <c r="A116">
        <v>0.113</v>
      </c>
      <c r="B116">
        <f>0.5*A116^2/'Preliminary calcs'!B$14</f>
        <v>0.07980625000000001</v>
      </c>
      <c r="C116">
        <f t="shared" si="12"/>
        <v>4.638646473157177</v>
      </c>
      <c r="D116">
        <f t="shared" si="13"/>
        <v>0.017204641582802473</v>
      </c>
      <c r="E116">
        <f>'Preliminary calcs'!B$16</f>
        <v>0.03</v>
      </c>
      <c r="F116">
        <v>0.025</v>
      </c>
      <c r="G116">
        <f t="shared" si="14"/>
        <v>0.054904449881220854</v>
      </c>
      <c r="H116">
        <f t="shared" si="9"/>
        <v>0.0029845293167963002</v>
      </c>
      <c r="J116">
        <f t="shared" si="10"/>
        <v>0.33678506891619564</v>
      </c>
      <c r="K116">
        <f>A116/'Preliminary calcs'!$B$14</f>
        <v>1.4125</v>
      </c>
      <c r="M116">
        <f t="shared" si="11"/>
        <v>1.9726725992450947E-05</v>
      </c>
    </row>
    <row r="117" spans="1:13" ht="12.75">
      <c r="A117">
        <v>0.114</v>
      </c>
      <c r="B117">
        <f>0.5*A117^2/'Preliminary calcs'!B$14</f>
        <v>0.081225</v>
      </c>
      <c r="C117">
        <f t="shared" si="12"/>
        <v>4.679696441946179</v>
      </c>
      <c r="D117">
        <f t="shared" si="13"/>
        <v>0.017356895048137005</v>
      </c>
      <c r="E117">
        <f>'Preliminary calcs'!B$16</f>
        <v>0.03</v>
      </c>
      <c r="F117">
        <v>0.025</v>
      </c>
      <c r="G117">
        <f t="shared" si="14"/>
        <v>0.056209704055425476</v>
      </c>
      <c r="H117">
        <f t="shared" si="9"/>
        <v>0.0030554811131846076</v>
      </c>
      <c r="J117">
        <f t="shared" si="10"/>
        <v>0.33976546775616195</v>
      </c>
      <c r="K117">
        <f>A117/'Preliminary calcs'!$B$14</f>
        <v>1.425</v>
      </c>
      <c r="M117">
        <f t="shared" si="11"/>
        <v>2.0195693289286462E-05</v>
      </c>
    </row>
    <row r="118" spans="1:13" ht="12.75">
      <c r="A118">
        <v>0.115</v>
      </c>
      <c r="B118">
        <f>0.5*A118^2/'Preliminary calcs'!B$14</f>
        <v>0.08265625</v>
      </c>
      <c r="C118">
        <f t="shared" si="12"/>
        <v>4.720746410735181</v>
      </c>
      <c r="D118">
        <f t="shared" si="13"/>
        <v>0.01750914851347154</v>
      </c>
      <c r="E118">
        <f>'Preliminary calcs'!B$16</f>
        <v>0.03</v>
      </c>
      <c r="F118">
        <v>0.025</v>
      </c>
      <c r="G118">
        <f t="shared" si="14"/>
        <v>0.05753418110981865</v>
      </c>
      <c r="H118">
        <f t="shared" si="9"/>
        <v>0.0031274778385285847</v>
      </c>
      <c r="J118">
        <f t="shared" si="10"/>
        <v>0.3427458665961283</v>
      </c>
      <c r="K118">
        <f>A118/'Preliminary calcs'!$B$14</f>
        <v>1.4375</v>
      </c>
      <c r="M118">
        <f t="shared" si="11"/>
        <v>2.0671567211925292E-05</v>
      </c>
    </row>
    <row r="119" spans="1:13" ht="12.75">
      <c r="A119">
        <v>0.116</v>
      </c>
      <c r="B119">
        <f>0.5*A119^2/'Preliminary calcs'!B$14</f>
        <v>0.08410000000000001</v>
      </c>
      <c r="C119">
        <f t="shared" si="12"/>
        <v>4.761796379524181</v>
      </c>
      <c r="D119">
        <f t="shared" si="13"/>
        <v>0.01766140197880608</v>
      </c>
      <c r="E119">
        <f>'Preliminary calcs'!B$16</f>
        <v>0.03</v>
      </c>
      <c r="F119">
        <v>0.025</v>
      </c>
      <c r="G119">
        <f t="shared" si="14"/>
        <v>0.05887799329567028</v>
      </c>
      <c r="H119">
        <f t="shared" si="9"/>
        <v>0.003200525594650698</v>
      </c>
      <c r="J119">
        <f t="shared" si="10"/>
        <v>0.34572626543609475</v>
      </c>
      <c r="K119">
        <f>A119/'Preliminary calcs'!$B$14</f>
        <v>1.45</v>
      </c>
      <c r="M119">
        <f t="shared" si="11"/>
        <v>2.1154388091343304E-05</v>
      </c>
    </row>
    <row r="120" spans="1:13" ht="12.75">
      <c r="A120">
        <v>0.117</v>
      </c>
      <c r="B120">
        <f>0.5*A120^2/'Preliminary calcs'!B$14</f>
        <v>0.08555625000000001</v>
      </c>
      <c r="C120">
        <f t="shared" si="12"/>
        <v>4.802846348313183</v>
      </c>
      <c r="D120">
        <f t="shared" si="13"/>
        <v>0.017813655444140614</v>
      </c>
      <c r="E120">
        <f>'Preliminary calcs'!B$16</f>
        <v>0.03</v>
      </c>
      <c r="F120">
        <v>0.025</v>
      </c>
      <c r="G120">
        <f t="shared" si="14"/>
        <v>0.060241252539345064</v>
      </c>
      <c r="H120">
        <f t="shared" si="9"/>
        <v>0.0032746304657120264</v>
      </c>
      <c r="J120">
        <f t="shared" si="10"/>
        <v>0.34870666427606095</v>
      </c>
      <c r="K120">
        <f>A120/'Preliminary calcs'!$B$14</f>
        <v>1.4625000000000001</v>
      </c>
      <c r="M120">
        <f t="shared" si="11"/>
        <v>2.164419614178047E-05</v>
      </c>
    </row>
    <row r="121" spans="1:13" ht="12.75">
      <c r="A121">
        <v>0.11800000000000001</v>
      </c>
      <c r="B121">
        <f>0.5*A121^2/'Preliminary calcs'!B$14</f>
        <v>0.08702500000000002</v>
      </c>
      <c r="C121">
        <f t="shared" si="12"/>
        <v>4.843896317102185</v>
      </c>
      <c r="D121">
        <f t="shared" si="13"/>
        <v>0.01796590890947515</v>
      </c>
      <c r="E121">
        <f>'Preliminary calcs'!B$16</f>
        <v>0.03</v>
      </c>
      <c r="F121">
        <v>0.025</v>
      </c>
      <c r="G121">
        <f t="shared" si="14"/>
        <v>0.061624070446032096</v>
      </c>
      <c r="H121">
        <f t="shared" si="9"/>
        <v>0.0033497985184149826</v>
      </c>
      <c r="J121">
        <f t="shared" si="10"/>
        <v>0.3516870631160273</v>
      </c>
      <c r="K121">
        <f>A121/'Preliminary calcs'!$B$14</f>
        <v>1.475</v>
      </c>
      <c r="M121">
        <f t="shared" si="11"/>
        <v>2.2141031462081194E-05</v>
      </c>
    </row>
    <row r="122" spans="1:13" ht="12.75">
      <c r="A122">
        <v>0.11900000000000001</v>
      </c>
      <c r="B122">
        <f>0.5*A122^2/'Preliminary calcs'!B$14</f>
        <v>0.08850625000000001</v>
      </c>
      <c r="C122">
        <f t="shared" si="12"/>
        <v>4.8849462858911865</v>
      </c>
      <c r="D122">
        <f t="shared" si="13"/>
        <v>0.018118162374809683</v>
      </c>
      <c r="E122">
        <f>'Preliminary calcs'!B$16</f>
        <v>0.03</v>
      </c>
      <c r="F122">
        <v>0.025</v>
      </c>
      <c r="G122">
        <f t="shared" si="14"/>
        <v>0.06302655830339968</v>
      </c>
      <c r="H122">
        <f t="shared" si="9"/>
        <v>0.003426035802201992</v>
      </c>
      <c r="J122">
        <f t="shared" si="10"/>
        <v>0.3546674619559937</v>
      </c>
      <c r="K122">
        <f>A122/'Preliminary calcs'!$B$14</f>
        <v>1.4875</v>
      </c>
      <c r="M122">
        <f t="shared" si="11"/>
        <v>2.2644934037006948E-05</v>
      </c>
    </row>
    <row r="123" spans="1:13" ht="12.75">
      <c r="A123">
        <v>0.12</v>
      </c>
      <c r="B123">
        <f>0.5*A123^2/'Preliminary calcs'!B$14</f>
        <v>0.09</v>
      </c>
      <c r="C123">
        <f t="shared" si="12"/>
        <v>4.9259962546801885</v>
      </c>
      <c r="D123">
        <f t="shared" si="13"/>
        <v>0.018270415840144216</v>
      </c>
      <c r="E123">
        <f>'Preliminary calcs'!B$16</f>
        <v>0.03</v>
      </c>
      <c r="F123">
        <v>0.025</v>
      </c>
      <c r="G123">
        <f t="shared" si="14"/>
        <v>0.06444882708517849</v>
      </c>
      <c r="H123">
        <f t="shared" si="9"/>
        <v>0.003503348349450281</v>
      </c>
      <c r="J123">
        <f t="shared" si="10"/>
        <v>0.3576478607959599</v>
      </c>
      <c r="K123">
        <f>A123/'Preliminary calcs'!$B$14</f>
        <v>1.5</v>
      </c>
      <c r="M123">
        <f t="shared" si="11"/>
        <v>2.3155943738524107E-05</v>
      </c>
    </row>
    <row r="124" spans="1:13" ht="12.75">
      <c r="A124">
        <v>0.121</v>
      </c>
      <c r="B124">
        <f>0.5*A124^2/'Preliminary calcs'!B$14</f>
        <v>0.09150625</v>
      </c>
      <c r="C124">
        <f t="shared" si="12"/>
        <v>4.96704622346919</v>
      </c>
      <c r="D124">
        <f t="shared" si="13"/>
        <v>0.018422669305478753</v>
      </c>
      <c r="E124">
        <f>'Preliminary calcs'!B$16</f>
        <v>0.03</v>
      </c>
      <c r="F124">
        <v>0.025</v>
      </c>
      <c r="G124">
        <f t="shared" si="14"/>
        <v>0.06589098745467427</v>
      </c>
      <c r="H124">
        <f t="shared" si="9"/>
        <v>0.0035817421756627887</v>
      </c>
      <c r="J124">
        <f t="shared" si="10"/>
        <v>0.3606282596359263</v>
      </c>
      <c r="K124">
        <f>A124/'Preliminary calcs'!$B$14</f>
        <v>1.5125</v>
      </c>
      <c r="M124">
        <f t="shared" si="11"/>
        <v>2.3674100327065883E-05</v>
      </c>
    </row>
    <row r="125" spans="1:13" ht="12.75">
      <c r="A125">
        <v>0.122</v>
      </c>
      <c r="B125">
        <f>0.5*A125^2/'Preliminary calcs'!B$14</f>
        <v>0.093025</v>
      </c>
      <c r="C125">
        <f t="shared" si="12"/>
        <v>5.008096192258192</v>
      </c>
      <c r="D125">
        <f t="shared" si="13"/>
        <v>0.018574922770813285</v>
      </c>
      <c r="E125">
        <f>'Preliminary calcs'!B$16</f>
        <v>0.03</v>
      </c>
      <c r="F125">
        <v>0.025</v>
      </c>
      <c r="G125">
        <f t="shared" si="14"/>
        <v>0.06735314976821226</v>
      </c>
      <c r="H125">
        <f t="shared" si="9"/>
        <v>0.0036612232796554437</v>
      </c>
      <c r="J125">
        <f t="shared" si="10"/>
        <v>0.36360865847589263</v>
      </c>
      <c r="K125">
        <f>A125/'Preliminary calcs'!$B$14</f>
        <v>1.525</v>
      </c>
      <c r="M125">
        <f t="shared" si="11"/>
        <v>2.4199443452769754E-05</v>
      </c>
    </row>
    <row r="126" spans="1:13" ht="12.75">
      <c r="A126">
        <v>0.123</v>
      </c>
      <c r="B126">
        <f>0.5*A126^2/'Preliminary calcs'!B$14</f>
        <v>0.09455625</v>
      </c>
      <c r="C126">
        <f t="shared" si="12"/>
        <v>5.049146161047194</v>
      </c>
      <c r="D126">
        <f t="shared" si="13"/>
        <v>0.018727176236147818</v>
      </c>
      <c r="E126">
        <f>'Preliminary calcs'!B$16</f>
        <v>0.03</v>
      </c>
      <c r="F126">
        <v>0.025</v>
      </c>
      <c r="G126">
        <f t="shared" si="14"/>
        <v>0.06883542407851564</v>
      </c>
      <c r="H126">
        <f t="shared" si="9"/>
        <v>0.0037417976437407775</v>
      </c>
      <c r="J126">
        <f t="shared" si="10"/>
        <v>0.36658905731585895</v>
      </c>
      <c r="K126">
        <f>A126/'Preliminary calcs'!$B$14</f>
        <v>1.5374999999999999</v>
      </c>
      <c r="M126">
        <f t="shared" si="11"/>
        <v>2.4732012656691514E-05</v>
      </c>
    </row>
    <row r="127" spans="1:13" ht="12.75">
      <c r="A127">
        <v>0.124</v>
      </c>
      <c r="B127">
        <f>0.5*A127^2/'Preliminary calcs'!B$14</f>
        <v>0.09609999999999999</v>
      </c>
      <c r="C127">
        <f t="shared" si="12"/>
        <v>5.090196129836195</v>
      </c>
      <c r="D127">
        <f t="shared" si="13"/>
        <v>0.018879429701482354</v>
      </c>
      <c r="E127">
        <f>'Preliminary calcs'!B$16</f>
        <v>0.03</v>
      </c>
      <c r="F127">
        <v>0.025</v>
      </c>
      <c r="G127">
        <f t="shared" si="14"/>
        <v>0.070337920138019</v>
      </c>
      <c r="H127">
        <f t="shared" si="9"/>
        <v>0.003823471233908056</v>
      </c>
      <c r="J127">
        <f t="shared" si="10"/>
        <v>0.36956945615582526</v>
      </c>
      <c r="K127">
        <f>A127/'Preliminary calcs'!$B$14</f>
        <v>1.55</v>
      </c>
      <c r="M127">
        <f t="shared" si="11"/>
        <v>2.527184737199567E-05</v>
      </c>
    </row>
    <row r="128" spans="1:13" ht="12.75">
      <c r="A128">
        <v>0.125</v>
      </c>
      <c r="B128">
        <f>0.5*A128^2/'Preliminary calcs'!B$14</f>
        <v>0.09765625</v>
      </c>
      <c r="C128">
        <f t="shared" si="12"/>
        <v>5.131246098625197</v>
      </c>
      <c r="D128">
        <f t="shared" si="13"/>
        <v>0.01903168316681689</v>
      </c>
      <c r="E128">
        <f>'Preliminary calcs'!B$16</f>
        <v>0.03</v>
      </c>
      <c r="F128">
        <v>0.025</v>
      </c>
      <c r="G128">
        <f t="shared" si="14"/>
        <v>0.07186074740211942</v>
      </c>
      <c r="H128">
        <f t="shared" si="9"/>
        <v>0.003906250000000004</v>
      </c>
      <c r="J128">
        <f t="shared" si="10"/>
        <v>0.3725498549957916</v>
      </c>
      <c r="K128">
        <f>A128/'Preliminary calcs'!$B$14</f>
        <v>1.5625</v>
      </c>
      <c r="M128">
        <f t="shared" si="11"/>
        <v>2.5818986925123527E-05</v>
      </c>
    </row>
    <row r="129" spans="1:13" ht="12.75">
      <c r="A129">
        <v>0.126</v>
      </c>
      <c r="B129">
        <f>0.5*A129^2/'Preliminary calcs'!B$14</f>
        <v>0.09922500000000001</v>
      </c>
      <c r="C129">
        <f t="shared" si="12"/>
        <v>5.172296067414199</v>
      </c>
      <c r="D129">
        <f t="shared" si="13"/>
        <v>0.019183936632151424</v>
      </c>
      <c r="E129">
        <f>'Preliminary calcs'!B$16</f>
        <v>0.03</v>
      </c>
      <c r="F129">
        <v>0.025</v>
      </c>
      <c r="G129">
        <f t="shared" si="14"/>
        <v>0.07340401503236621</v>
      </c>
      <c r="H129">
        <f t="shared" si="9"/>
        <v>0.003990139875886176</v>
      </c>
      <c r="J129">
        <f t="shared" si="10"/>
        <v>0.37553025383575794</v>
      </c>
      <c r="K129">
        <f>A129/'Preliminary calcs'!$B$14</f>
        <v>1.575</v>
      </c>
      <c r="M129">
        <f t="shared" si="11"/>
        <v>2.6373470536939287E-05</v>
      </c>
    </row>
    <row r="130" spans="1:13" ht="12.75">
      <c r="A130">
        <v>0.127</v>
      </c>
      <c r="B130">
        <f>0.5*A130^2/'Preliminary calcs'!B$14</f>
        <v>0.10080625</v>
      </c>
      <c r="C130">
        <f t="shared" si="12"/>
        <v>5.213346036203199</v>
      </c>
      <c r="D130">
        <f t="shared" si="13"/>
        <v>0.019336190097485963</v>
      </c>
      <c r="E130">
        <f>'Preliminary calcs'!B$16</f>
        <v>0.03</v>
      </c>
      <c r="F130">
        <v>0.025</v>
      </c>
      <c r="G130">
        <f t="shared" si="14"/>
        <v>0.07496783189959123</v>
      </c>
      <c r="H130">
        <f t="shared" si="9"/>
        <v>0.004075146779633152</v>
      </c>
      <c r="J130">
        <f t="shared" si="10"/>
        <v>0.3785106526757243</v>
      </c>
      <c r="K130">
        <f>A130/'Preliminary calcs'!$B$14</f>
        <v>1.5875</v>
      </c>
      <c r="M130">
        <f t="shared" si="11"/>
        <v>2.693533732385474E-05</v>
      </c>
    </row>
    <row r="131" spans="1:13" ht="12.75">
      <c r="A131">
        <v>0.128</v>
      </c>
      <c r="B131">
        <f>0.5*A131^2/'Preliminary calcs'!B$14</f>
        <v>0.10239999999999999</v>
      </c>
      <c r="C131">
        <f t="shared" si="12"/>
        <v>5.254396004992201</v>
      </c>
      <c r="D131">
        <f t="shared" si="13"/>
        <v>0.019488443562820496</v>
      </c>
      <c r="E131">
        <f>'Preliminary calcs'!B$16</f>
        <v>0.03</v>
      </c>
      <c r="F131">
        <v>0.025</v>
      </c>
      <c r="G131">
        <f t="shared" si="14"/>
        <v>0.07655230658698133</v>
      </c>
      <c r="H131">
        <f t="shared" si="9"/>
        <v>0.0041612766136715175</v>
      </c>
      <c r="J131">
        <f t="shared" si="10"/>
        <v>0.38149105151569057</v>
      </c>
      <c r="K131">
        <f>A131/'Preliminary calcs'!$B$14</f>
        <v>1.6</v>
      </c>
      <c r="M131">
        <f t="shared" si="11"/>
        <v>2.7504626298933044E-05</v>
      </c>
    </row>
    <row r="132" spans="1:13" ht="12.75">
      <c r="A132">
        <v>0.129</v>
      </c>
      <c r="B132">
        <f>0.5*A132^2/'Preliminary calcs'!B$14</f>
        <v>0.10400625</v>
      </c>
      <c r="C132">
        <f t="shared" si="12"/>
        <v>5.295445973781202</v>
      </c>
      <c r="D132">
        <f t="shared" si="13"/>
        <v>0.019640697028155032</v>
      </c>
      <c r="E132">
        <f>'Preliminary calcs'!B$16</f>
        <v>0.03</v>
      </c>
      <c r="F132">
        <v>0.025</v>
      </c>
      <c r="G132">
        <f t="shared" si="14"/>
        <v>0.07815754739309455</v>
      </c>
      <c r="H132">
        <f t="shared" si="9"/>
        <v>0.00424853526495984</v>
      </c>
      <c r="J132">
        <f t="shared" si="10"/>
        <v>0.38447145035565694</v>
      </c>
      <c r="K132">
        <f>A132/'Preliminary calcs'!$B$14</f>
        <v>1.6125</v>
      </c>
      <c r="M132">
        <f t="shared" si="11"/>
        <v>2.8081376372972645E-05</v>
      </c>
    </row>
    <row r="133" spans="1:13" ht="12.75">
      <c r="A133">
        <v>0.13</v>
      </c>
      <c r="B133">
        <f>0.5*A133^2/'Preliminary calcs'!B$14</f>
        <v>0.10562500000000001</v>
      </c>
      <c r="C133">
        <f t="shared" si="12"/>
        <v>5.336495942570204</v>
      </c>
      <c r="D133">
        <f t="shared" si="13"/>
        <v>0.01979295049348957</v>
      </c>
      <c r="E133">
        <f>'Preliminary calcs'!B$16</f>
        <v>0.03</v>
      </c>
      <c r="F133">
        <v>0.025</v>
      </c>
      <c r="G133">
        <f t="shared" si="14"/>
        <v>0.07978366233482112</v>
      </c>
      <c r="H133">
        <f aca="true" t="shared" si="15" ref="H133:H163">A133^(8/3)</f>
        <v>0.004336928605145611</v>
      </c>
      <c r="J133">
        <f aca="true" t="shared" si="16" ref="J133:J196">G133^(3/8)</f>
        <v>0.3874518491956233</v>
      </c>
      <c r="K133">
        <f>A133/'Preliminary calcs'!$B$14</f>
        <v>1.625</v>
      </c>
      <c r="M133">
        <f aca="true" t="shared" si="17" ref="M133:M196">D133^(8/3)</f>
        <v>2.86656263555709E-05</v>
      </c>
    </row>
    <row r="134" spans="1:13" ht="12.75">
      <c r="A134">
        <v>0.131</v>
      </c>
      <c r="B134">
        <f>0.5*A134^2/'Preliminary calcs'!B$14</f>
        <v>0.10725625000000001</v>
      </c>
      <c r="C134">
        <f t="shared" si="12"/>
        <v>5.377545911359206</v>
      </c>
      <c r="D134">
        <f t="shared" si="13"/>
        <v>0.0199452039588241</v>
      </c>
      <c r="E134">
        <f>'Preliminary calcs'!B$16</f>
        <v>0.03</v>
      </c>
      <c r="F134">
        <v>0.025</v>
      </c>
      <c r="G134">
        <f t="shared" si="14"/>
        <v>0.08143075915029119</v>
      </c>
      <c r="H134">
        <f t="shared" si="15"/>
        <v>0.004426462490723318</v>
      </c>
      <c r="J134">
        <f t="shared" si="16"/>
        <v>0.3904322480355896</v>
      </c>
      <c r="K134">
        <f>A134/'Preliminary calcs'!$B$14</f>
        <v>1.6375</v>
      </c>
      <c r="M134">
        <f t="shared" si="17"/>
        <v>2.9257414956168996E-05</v>
      </c>
    </row>
    <row r="135" spans="1:13" ht="12.75">
      <c r="A135">
        <v>0.132</v>
      </c>
      <c r="B135">
        <f>0.5*A135^2/'Preliminary calcs'!B$14</f>
        <v>0.10890000000000001</v>
      </c>
      <c r="C135">
        <f t="shared" si="12"/>
        <v>5.4185958801482075</v>
      </c>
      <c r="D135">
        <f t="shared" si="13"/>
        <v>0.02009745742415864</v>
      </c>
      <c r="E135">
        <f>'Preliminary calcs'!B$16</f>
        <v>0.03</v>
      </c>
      <c r="F135">
        <v>0.025</v>
      </c>
      <c r="G135">
        <f t="shared" si="14"/>
        <v>0.0830989453017304</v>
      </c>
      <c r="H135">
        <f t="shared" si="15"/>
        <v>0.004517142763189666</v>
      </c>
      <c r="J135">
        <f t="shared" si="16"/>
        <v>0.39341264687555594</v>
      </c>
      <c r="K135">
        <f>A135/'Preliminary calcs'!$B$14</f>
        <v>1.6500000000000001</v>
      </c>
      <c r="M135">
        <f t="shared" si="17"/>
        <v>2.985678078507784E-05</v>
      </c>
    </row>
    <row r="136" spans="1:13" ht="12.75">
      <c r="A136">
        <v>0.133</v>
      </c>
      <c r="B136">
        <f>0.5*A136^2/'Preliminary calcs'!B$14</f>
        <v>0.11055625000000002</v>
      </c>
      <c r="C136">
        <f t="shared" si="12"/>
        <v>5.4596458489372095</v>
      </c>
      <c r="D136">
        <f t="shared" si="13"/>
        <v>0.020249710889493174</v>
      </c>
      <c r="E136">
        <f>'Preliminary calcs'!B$16</f>
        <v>0.03</v>
      </c>
      <c r="F136">
        <v>0.025</v>
      </c>
      <c r="G136">
        <f t="shared" si="14"/>
        <v>0.08478832797826458</v>
      </c>
      <c r="H136">
        <f t="shared" si="15"/>
        <v>0.004608975249196027</v>
      </c>
      <c r="J136">
        <f t="shared" si="16"/>
        <v>0.3963930457155223</v>
      </c>
      <c r="K136">
        <f>A136/'Preliminary calcs'!$B$14</f>
        <v>1.6625</v>
      </c>
      <c r="M136">
        <f t="shared" si="17"/>
        <v>3.0463762354485796E-05</v>
      </c>
    </row>
    <row r="137" spans="1:13" ht="12.75">
      <c r="A137">
        <v>0.134</v>
      </c>
      <c r="B137">
        <f>0.5*A137^2/'Preliminary calcs'!B$14</f>
        <v>0.11222500000000002</v>
      </c>
      <c r="C137">
        <f t="shared" si="12"/>
        <v>5.5006958177262115</v>
      </c>
      <c r="D137">
        <f t="shared" si="13"/>
        <v>0.020401964354827707</v>
      </c>
      <c r="E137">
        <f>'Preliminary calcs'!B$16</f>
        <v>0.03</v>
      </c>
      <c r="F137">
        <v>0.025</v>
      </c>
      <c r="G137">
        <f t="shared" si="14"/>
        <v>0.08649901409867491</v>
      </c>
      <c r="H137">
        <f t="shared" si="15"/>
        <v>0.004701965760698217</v>
      </c>
      <c r="J137">
        <f t="shared" si="16"/>
        <v>0.3993734445554886</v>
      </c>
      <c r="K137">
        <f>A137/'Preliminary calcs'!$B$14</f>
        <v>1.675</v>
      </c>
      <c r="M137">
        <f t="shared" si="17"/>
        <v>3.107839807944851E-05</v>
      </c>
    </row>
    <row r="138" spans="1:13" ht="12.75">
      <c r="A138">
        <v>0.135</v>
      </c>
      <c r="B138">
        <f>0.5*A138^2/'Preliminary calcs'!B$14</f>
        <v>0.11390625000000001</v>
      </c>
      <c r="C138">
        <f t="shared" si="12"/>
        <v>5.541745786515213</v>
      </c>
      <c r="D138">
        <f t="shared" si="13"/>
        <v>0.020554217820162243</v>
      </c>
      <c r="E138">
        <f>'Preliminary calcs'!B$16</f>
        <v>0.03</v>
      </c>
      <c r="F138">
        <v>0.025</v>
      </c>
      <c r="G138">
        <f t="shared" si="14"/>
        <v>0.08823111031410504</v>
      </c>
      <c r="H138">
        <f t="shared" si="15"/>
        <v>0.004796120095103653</v>
      </c>
      <c r="J138">
        <f t="shared" si="16"/>
        <v>0.402353843395455</v>
      </c>
      <c r="K138">
        <f>A138/'Preliminary calcs'!$B$14</f>
        <v>1.6875</v>
      </c>
      <c r="M138">
        <f t="shared" si="17"/>
        <v>3.17007262788617E-05</v>
      </c>
    </row>
    <row r="139" spans="1:13" ht="12.75">
      <c r="A139">
        <v>0.136</v>
      </c>
      <c r="B139">
        <f>0.5*A139^2/'Preliminary calcs'!B$14</f>
        <v>0.11560000000000001</v>
      </c>
      <c r="C139">
        <f t="shared" si="12"/>
        <v>5.582795755304215</v>
      </c>
      <c r="D139">
        <f t="shared" si="13"/>
        <v>0.020706471285496776</v>
      </c>
      <c r="E139">
        <f>'Preliminary calcs'!B$16</f>
        <v>0.03</v>
      </c>
      <c r="F139">
        <v>0.025</v>
      </c>
      <c r="G139">
        <f t="shared" si="14"/>
        <v>0.08998472301072069</v>
      </c>
      <c r="H139">
        <f t="shared" si="15"/>
        <v>0.00489144403541593</v>
      </c>
      <c r="J139">
        <f t="shared" si="16"/>
        <v>0.4053342422354213</v>
      </c>
      <c r="K139">
        <f>A139/'Preliminary calcs'!$B$14</f>
        <v>1.7000000000000002</v>
      </c>
      <c r="M139">
        <f t="shared" si="17"/>
        <v>3.233078517641659E-05</v>
      </c>
    </row>
    <row r="140" spans="1:13" ht="12.75">
      <c r="A140">
        <v>0.137</v>
      </c>
      <c r="B140">
        <f>0.5*A140^2/'Preliminary calcs'!B$14</f>
        <v>0.11730625000000003</v>
      </c>
      <c r="C140">
        <f t="shared" si="12"/>
        <v>5.623845724093215</v>
      </c>
      <c r="D140">
        <f t="shared" si="13"/>
        <v>0.02085872475083132</v>
      </c>
      <c r="E140">
        <f>'Preliminary calcs'!B$16</f>
        <v>0.03</v>
      </c>
      <c r="F140">
        <v>0.025</v>
      </c>
      <c r="G140">
        <f t="shared" si="14"/>
        <v>0.09175995831232386</v>
      </c>
      <c r="H140">
        <f t="shared" si="15"/>
        <v>0.004987943350376891</v>
      </c>
      <c r="J140">
        <f t="shared" si="16"/>
        <v>0.4083146410753877</v>
      </c>
      <c r="K140">
        <f>A140/'Preliminary calcs'!$B$14</f>
        <v>1.7125000000000001</v>
      </c>
      <c r="M140">
        <f t="shared" si="17"/>
        <v>3.2968612901539295E-05</v>
      </c>
    </row>
    <row r="141" spans="1:13" ht="12.75">
      <c r="A141">
        <v>0.138</v>
      </c>
      <c r="B141">
        <f>0.5*A141^2/'Preliminary calcs'!B$14</f>
        <v>0.119025</v>
      </c>
      <c r="C141">
        <f t="shared" si="12"/>
        <v>5.664895692882217</v>
      </c>
      <c r="D141">
        <f t="shared" si="13"/>
        <v>0.02101097821616585</v>
      </c>
      <c r="E141">
        <f>'Preliminary calcs'!B$16</f>
        <v>0.03</v>
      </c>
      <c r="F141">
        <v>0.025</v>
      </c>
      <c r="G141">
        <f t="shared" si="14"/>
        <v>0.09355692208292171</v>
      </c>
      <c r="H141">
        <f t="shared" si="15"/>
        <v>0.0050856237946063235</v>
      </c>
      <c r="J141">
        <f t="shared" si="16"/>
        <v>0.411295039915354</v>
      </c>
      <c r="K141">
        <f>A141/'Preliminary calcs'!$B$14</f>
        <v>1.725</v>
      </c>
      <c r="M141">
        <f t="shared" si="17"/>
        <v>3.3614247490313664E-05</v>
      </c>
    </row>
    <row r="142" spans="1:13" ht="12.75">
      <c r="A142">
        <v>0.139</v>
      </c>
      <c r="B142">
        <f>0.5*A142^2/'Preliminary calcs'!B$14</f>
        <v>0.12075625000000002</v>
      </c>
      <c r="C142">
        <f t="shared" si="12"/>
        <v>5.705945661671219</v>
      </c>
      <c r="D142">
        <f t="shared" si="13"/>
        <v>0.021163231681500385</v>
      </c>
      <c r="E142">
        <f>'Preliminary calcs'!B$16</f>
        <v>0.03</v>
      </c>
      <c r="F142">
        <v>0.025</v>
      </c>
      <c r="G142">
        <f t="shared" si="14"/>
        <v>0.0953757199292523</v>
      </c>
      <c r="H142">
        <f t="shared" si="15"/>
        <v>0.005184491108739203</v>
      </c>
      <c r="J142">
        <f t="shared" si="16"/>
        <v>0.4142754387553203</v>
      </c>
      <c r="K142">
        <f>A142/'Preliminary calcs'!$B$14</f>
        <v>1.7375</v>
      </c>
      <c r="M142">
        <f t="shared" si="17"/>
        <v>3.426772688638889E-05</v>
      </c>
    </row>
    <row r="143" spans="1:13" ht="12.75">
      <c r="A143">
        <v>0.14</v>
      </c>
      <c r="B143">
        <f>0.5*A143^2/'Preliminary calcs'!B$14</f>
        <v>0.12250000000000001</v>
      </c>
      <c r="C143">
        <f t="shared" si="12"/>
        <v>5.74699563046022</v>
      </c>
      <c r="D143">
        <f t="shared" si="13"/>
        <v>0.02131548514683492</v>
      </c>
      <c r="E143">
        <f>'Preliminary calcs'!B$16</f>
        <v>0.03</v>
      </c>
      <c r="F143">
        <v>0.025</v>
      </c>
      <c r="G143">
        <f t="shared" si="14"/>
        <v>0.09721645720326709</v>
      </c>
      <c r="H143">
        <f t="shared" si="15"/>
        <v>0.005284551019560668</v>
      </c>
      <c r="J143">
        <f t="shared" si="16"/>
        <v>0.4172558375952867</v>
      </c>
      <c r="K143">
        <f>A143/'Preliminary calcs'!$B$14</f>
        <v>1.7500000000000002</v>
      </c>
      <c r="M143">
        <f t="shared" si="17"/>
        <v>3.492908894187144E-05</v>
      </c>
    </row>
    <row r="144" spans="1:13" ht="12.75">
      <c r="A144">
        <v>0.14100000000000001</v>
      </c>
      <c r="B144">
        <f>0.5*A144^2/'Preliminary calcs'!B$14</f>
        <v>0.12425625000000001</v>
      </c>
      <c r="C144">
        <f t="shared" si="12"/>
        <v>5.788045599249222</v>
      </c>
      <c r="D144">
        <f t="shared" si="13"/>
        <v>0.021467738612169454</v>
      </c>
      <c r="E144">
        <f>'Preliminary calcs'!B$16</f>
        <v>0.03</v>
      </c>
      <c r="F144">
        <v>0.025</v>
      </c>
      <c r="G144">
        <f t="shared" si="14"/>
        <v>0.09907923900457215</v>
      </c>
      <c r="H144">
        <f t="shared" si="15"/>
        <v>0.005385809240138733</v>
      </c>
      <c r="J144">
        <f t="shared" si="16"/>
        <v>0.42023623643525293</v>
      </c>
      <c r="K144">
        <f>A144/'Preliminary calcs'!$B$14</f>
        <v>1.7625000000000002</v>
      </c>
      <c r="M144">
        <f t="shared" si="17"/>
        <v>3.5598371418201927E-05</v>
      </c>
    </row>
    <row r="145" spans="1:13" ht="12.75">
      <c r="A145">
        <v>0.14200000000000002</v>
      </c>
      <c r="B145">
        <f>0.5*A145^2/'Preliminary calcs'!B$14</f>
        <v>0.12602500000000003</v>
      </c>
      <c r="C145">
        <f t="shared" si="12"/>
        <v>5.829095568038224</v>
      </c>
      <c r="D145">
        <f t="shared" si="13"/>
        <v>0.02161999207750399</v>
      </c>
      <c r="E145">
        <f>'Preliminary calcs'!B$16</f>
        <v>0.03</v>
      </c>
      <c r="F145">
        <v>0.025</v>
      </c>
      <c r="G145">
        <f t="shared" si="14"/>
        <v>0.10096417018282902</v>
      </c>
      <c r="H145">
        <f t="shared" si="15"/>
        <v>0.005488271469954736</v>
      </c>
      <c r="J145">
        <f t="shared" si="16"/>
        <v>0.42321663527521935</v>
      </c>
      <c r="K145">
        <f>A145/'Preliminary calcs'!$B$14</f>
        <v>1.7750000000000001</v>
      </c>
      <c r="M145">
        <f t="shared" si="17"/>
        <v>3.6275611987018185E-05</v>
      </c>
    </row>
    <row r="146" spans="1:13" ht="12.75">
      <c r="A146">
        <v>0.14300000000000002</v>
      </c>
      <c r="B146">
        <f>0.5*A146^2/'Preliminary calcs'!B$14</f>
        <v>0.12780625000000004</v>
      </c>
      <c r="C146">
        <f t="shared" si="12"/>
        <v>5.870145536827225</v>
      </c>
      <c r="D146">
        <f t="shared" si="13"/>
        <v>0.02177224554283853</v>
      </c>
      <c r="E146">
        <f>'Preliminary calcs'!B$16</f>
        <v>0.03</v>
      </c>
      <c r="F146">
        <v>0.025</v>
      </c>
      <c r="G146">
        <f t="shared" si="14"/>
        <v>0.10287135534011506</v>
      </c>
      <c r="H146">
        <f t="shared" si="15"/>
        <v>0.005591943395031717</v>
      </c>
      <c r="J146">
        <f t="shared" si="16"/>
        <v>0.4261970341151857</v>
      </c>
      <c r="K146">
        <f>A146/'Preliminary calcs'!$B$14</f>
        <v>1.7875</v>
      </c>
      <c r="M146">
        <f t="shared" si="17"/>
        <v>3.6960848231002844E-05</v>
      </c>
    </row>
    <row r="147" spans="1:13" ht="12.75">
      <c r="A147">
        <v>0.14400000000000002</v>
      </c>
      <c r="B147">
        <f>0.5*A147^2/'Preliminary calcs'!B$14</f>
        <v>0.12960000000000002</v>
      </c>
      <c r="C147">
        <f t="shared" si="12"/>
        <v>5.911195505616226</v>
      </c>
      <c r="D147">
        <f t="shared" si="13"/>
        <v>0.021924499008173063</v>
      </c>
      <c r="E147">
        <f>'Preliminary calcs'!B$16</f>
        <v>0.03</v>
      </c>
      <c r="F147">
        <v>0.025</v>
      </c>
      <c r="G147">
        <f t="shared" si="14"/>
        <v>0.10480089883324573</v>
      </c>
      <c r="H147">
        <f t="shared" si="15"/>
        <v>0.005696830688060615</v>
      </c>
      <c r="J147">
        <f t="shared" si="16"/>
        <v>0.429177432955152</v>
      </c>
      <c r="K147">
        <f>A147/'Preliminary calcs'!$B$14</f>
        <v>1.8000000000000003</v>
      </c>
      <c r="M147">
        <f t="shared" si="17"/>
        <v>3.765411764471798E-05</v>
      </c>
    </row>
    <row r="148" spans="1:13" ht="12.75">
      <c r="A148">
        <v>0.145</v>
      </c>
      <c r="B148">
        <f>0.5*A148^2/'Preliminary calcs'!B$14</f>
        <v>0.13140624999999997</v>
      </c>
      <c r="C148">
        <f t="shared" si="12"/>
        <v>5.952245474405226</v>
      </c>
      <c r="D148">
        <f t="shared" si="13"/>
        <v>0.0220767524735076</v>
      </c>
      <c r="E148">
        <f>'Preliminary calcs'!B$16</f>
        <v>0.03</v>
      </c>
      <c r="F148">
        <v>0.025</v>
      </c>
      <c r="G148">
        <f t="shared" si="14"/>
        <v>0.10675290477605899</v>
      </c>
      <c r="H148">
        <f t="shared" si="15"/>
        <v>0.005802939008524444</v>
      </c>
      <c r="J148">
        <f t="shared" si="16"/>
        <v>0.4321578317951183</v>
      </c>
      <c r="K148">
        <f>A148/'Preliminary calcs'!$B$14</f>
        <v>1.8124999999999998</v>
      </c>
      <c r="M148">
        <f t="shared" si="17"/>
        <v>3.83554576354258E-05</v>
      </c>
    </row>
    <row r="149" spans="1:13" ht="12.75">
      <c r="A149">
        <v>0.146</v>
      </c>
      <c r="B149">
        <f>0.5*A149^2/'Preliminary calcs'!B$14</f>
        <v>0.13322499999999998</v>
      </c>
      <c r="C149">
        <f t="shared" si="12"/>
        <v>5.993295443194229</v>
      </c>
      <c r="D149">
        <f t="shared" si="13"/>
        <v>0.02222900593884213</v>
      </c>
      <c r="E149">
        <f>'Preliminary calcs'!B$16</f>
        <v>0.03</v>
      </c>
      <c r="F149">
        <v>0.025</v>
      </c>
      <c r="G149">
        <f t="shared" si="14"/>
        <v>0.10872747704166244</v>
      </c>
      <c r="H149">
        <f t="shared" si="15"/>
        <v>0.005910274002820452</v>
      </c>
      <c r="J149">
        <f t="shared" si="16"/>
        <v>0.4351382306350846</v>
      </c>
      <c r="K149">
        <f>A149/'Preliminary calcs'!$B$14</f>
        <v>1.825</v>
      </c>
      <c r="M149">
        <f t="shared" si="17"/>
        <v>3.906490552389603E-05</v>
      </c>
    </row>
    <row r="150" spans="1:13" ht="12.75">
      <c r="A150">
        <v>0.147</v>
      </c>
      <c r="B150">
        <f>0.5*A150^2/'Preliminary calcs'!B$14</f>
        <v>0.13505624999999996</v>
      </c>
      <c r="C150">
        <f t="shared" si="12"/>
        <v>6.034345411983231</v>
      </c>
      <c r="D150">
        <f t="shared" si="13"/>
        <v>0.022381259404176658</v>
      </c>
      <c r="E150">
        <f>'Preliminary calcs'!B$16</f>
        <v>0.03</v>
      </c>
      <c r="F150">
        <v>0.025</v>
      </c>
      <c r="G150">
        <f t="shared" si="14"/>
        <v>0.11072471926464438</v>
      </c>
      <c r="H150">
        <f t="shared" si="15"/>
        <v>0.00601884130438032</v>
      </c>
      <c r="J150">
        <f t="shared" si="16"/>
        <v>0.4381186294750509</v>
      </c>
      <c r="K150">
        <f>A150/'Preliminary calcs'!$B$14</f>
        <v>1.8375</v>
      </c>
      <c r="M150">
        <f t="shared" si="17"/>
        <v>3.9782498545200355E-05</v>
      </c>
    </row>
    <row r="151" spans="1:13" ht="12.75">
      <c r="A151">
        <v>0.148</v>
      </c>
      <c r="B151">
        <f>0.5*A151^2/'Preliminary calcs'!B$14</f>
        <v>0.13689999999999997</v>
      </c>
      <c r="C151">
        <f t="shared" si="12"/>
        <v>6.075395380772231</v>
      </c>
      <c r="D151">
        <f t="shared" si="13"/>
        <v>0.0225335128695112</v>
      </c>
      <c r="E151">
        <f>'Preliminary calcs'!B$16</f>
        <v>0.03</v>
      </c>
      <c r="F151">
        <v>0.025</v>
      </c>
      <c r="G151">
        <f t="shared" si="14"/>
        <v>0.11274473484324979</v>
      </c>
      <c r="H151">
        <f t="shared" si="15"/>
        <v>0.006128646533788419</v>
      </c>
      <c r="J151">
        <f t="shared" si="16"/>
        <v>0.44109902831501724</v>
      </c>
      <c r="K151">
        <f>A151/'Preliminary calcs'!$B$14</f>
        <v>1.8499999999999999</v>
      </c>
      <c r="M151">
        <f t="shared" si="17"/>
        <v>4.050827384949425E-05</v>
      </c>
    </row>
    <row r="152" spans="1:13" ht="12.75">
      <c r="A152">
        <v>0.149</v>
      </c>
      <c r="B152">
        <f>0.5*A152^2/'Preliminary calcs'!B$14</f>
        <v>0.13875625</v>
      </c>
      <c r="C152">
        <f t="shared" si="12"/>
        <v>6.116445349561234</v>
      </c>
      <c r="D152">
        <f t="shared" si="13"/>
        <v>0.022685766334845738</v>
      </c>
      <c r="E152">
        <f>'Preliminary calcs'!B$16</f>
        <v>0.03</v>
      </c>
      <c r="F152">
        <v>0.025</v>
      </c>
      <c r="G152">
        <f t="shared" si="14"/>
        <v>0.11478762694152161</v>
      </c>
      <c r="H152">
        <f t="shared" si="15"/>
        <v>0.006239695298898244</v>
      </c>
      <c r="J152">
        <f t="shared" si="16"/>
        <v>0.4440794271549836</v>
      </c>
      <c r="K152">
        <f>A152/'Preliminary calcs'!$B$14</f>
        <v>1.8624999999999998</v>
      </c>
      <c r="M152">
        <f t="shared" si="17"/>
        <v>4.1242268502786203E-05</v>
      </c>
    </row>
    <row r="153" spans="1:13" ht="12.75">
      <c r="A153">
        <v>0.15</v>
      </c>
      <c r="B153">
        <f>0.5*A153^2/'Preliminary calcs'!B$14</f>
        <v>0.140625</v>
      </c>
      <c r="C153">
        <f t="shared" si="12"/>
        <v>6.157495318350235</v>
      </c>
      <c r="D153">
        <f t="shared" si="13"/>
        <v>0.022838019800180274</v>
      </c>
      <c r="E153">
        <f>'Preliminary calcs'!B$16</f>
        <v>0.03</v>
      </c>
      <c r="F153">
        <v>0.025</v>
      </c>
      <c r="G153">
        <f t="shared" si="14"/>
        <v>0.11685349849140837</v>
      </c>
      <c r="H153">
        <f t="shared" si="15"/>
        <v>0.006351993194946946</v>
      </c>
      <c r="J153">
        <f t="shared" si="16"/>
        <v>0.44705982599495003</v>
      </c>
      <c r="K153">
        <f>A153/'Preliminary calcs'!$B$14</f>
        <v>1.875</v>
      </c>
      <c r="M153">
        <f t="shared" si="17"/>
        <v>4.1984519487695086E-05</v>
      </c>
    </row>
    <row r="154" spans="1:13" ht="12.75">
      <c r="A154">
        <v>0.151</v>
      </c>
      <c r="B154">
        <f>0.5*A154^2/'Preliminary calcs'!B$14</f>
        <v>0.14250624999999997</v>
      </c>
      <c r="C154">
        <f t="shared" si="12"/>
        <v>6.198545287139236</v>
      </c>
      <c r="D154">
        <f t="shared" si="13"/>
        <v>0.022990273265514807</v>
      </c>
      <c r="E154">
        <f>'Preliminary calcs'!B$16</f>
        <v>0.03</v>
      </c>
      <c r="F154">
        <v>0.025</v>
      </c>
      <c r="G154">
        <f t="shared" si="14"/>
        <v>0.11894245219483887</v>
      </c>
      <c r="H154">
        <f t="shared" si="15"/>
        <v>0.006465545804668127</v>
      </c>
      <c r="J154">
        <f t="shared" si="16"/>
        <v>0.45004022483491635</v>
      </c>
      <c r="K154">
        <f>A154/'Preliminary calcs'!$B$14</f>
        <v>1.8875</v>
      </c>
      <c r="M154">
        <f t="shared" si="17"/>
        <v>4.273506370419556E-05</v>
      </c>
    </row>
    <row r="155" spans="1:13" ht="12.75">
      <c r="A155">
        <v>0.152</v>
      </c>
      <c r="B155">
        <f>0.5*A155^2/'Preliminary calcs'!B$14</f>
        <v>0.1444</v>
      </c>
      <c r="C155">
        <f t="shared" si="12"/>
        <v>6.239595255928238</v>
      </c>
      <c r="D155">
        <f t="shared" si="13"/>
        <v>0.023142526730849343</v>
      </c>
      <c r="E155">
        <f>'Preliminary calcs'!B$16</f>
        <v>0.03</v>
      </c>
      <c r="F155">
        <v>0.025</v>
      </c>
      <c r="G155">
        <f t="shared" si="14"/>
        <v>0.12105459052576457</v>
      </c>
      <c r="H155">
        <f t="shared" si="15"/>
        <v>0.00658035869840287</v>
      </c>
      <c r="J155">
        <f t="shared" si="16"/>
        <v>0.45302062367488266</v>
      </c>
      <c r="K155">
        <f>A155/'Preliminary calcs'!$B$14</f>
        <v>1.9</v>
      </c>
      <c r="M155">
        <f t="shared" si="17"/>
        <v>4.349393797035175E-05</v>
      </c>
    </row>
    <row r="156" spans="1:13" ht="12.75">
      <c r="A156">
        <v>0.153</v>
      </c>
      <c r="B156">
        <f>0.5*A156^2/'Preliminary calcs'!B$14</f>
        <v>0.14630625</v>
      </c>
      <c r="C156">
        <f t="shared" si="12"/>
        <v>6.280645224717239</v>
      </c>
      <c r="D156">
        <f t="shared" si="13"/>
        <v>0.02329478019618388</v>
      </c>
      <c r="E156">
        <f>'Preliminary calcs'!B$16</f>
        <v>0.03</v>
      </c>
      <c r="F156">
        <v>0.025</v>
      </c>
      <c r="G156">
        <f t="shared" si="14"/>
        <v>0.12319001573217057</v>
      </c>
      <c r="H156">
        <f t="shared" si="15"/>
        <v>0.006696437434209026</v>
      </c>
      <c r="J156">
        <f t="shared" si="16"/>
        <v>0.456001022514849</v>
      </c>
      <c r="K156">
        <f>A156/'Preliminary calcs'!$B$14</f>
        <v>1.9124999999999999</v>
      </c>
      <c r="M156">
        <f t="shared" si="17"/>
        <v>4.4261179023040175E-05</v>
      </c>
    </row>
    <row r="157" spans="1:13" ht="12.75">
      <c r="A157">
        <v>0.154</v>
      </c>
      <c r="B157">
        <f>0.5*A157^2/'Preliminary calcs'!B$14</f>
        <v>0.148225</v>
      </c>
      <c r="C157">
        <f t="shared" si="12"/>
        <v>6.321695193506241</v>
      </c>
      <c r="D157">
        <f t="shared" si="13"/>
        <v>0.023447033661518412</v>
      </c>
      <c r="E157">
        <f>'Preliminary calcs'!B$16</f>
        <v>0.03</v>
      </c>
      <c r="F157">
        <v>0.025</v>
      </c>
      <c r="G157">
        <f t="shared" si="14"/>
        <v>0.12534882983805545</v>
      </c>
      <c r="H157">
        <f t="shared" si="15"/>
        <v>0.006813787557968853</v>
      </c>
      <c r="J157">
        <f t="shared" si="16"/>
        <v>0.4589814213548153</v>
      </c>
      <c r="K157">
        <f>A157/'Preliminary calcs'!$B$14</f>
        <v>1.925</v>
      </c>
      <c r="M157">
        <f t="shared" si="17"/>
        <v>4.503682351866043E-05</v>
      </c>
    </row>
    <row r="158" spans="1:13" ht="12.75">
      <c r="A158">
        <v>0.155</v>
      </c>
      <c r="B158">
        <f>0.5*A158^2/'Preliminary calcs'!B$14</f>
        <v>0.15015625</v>
      </c>
      <c r="C158">
        <f t="shared" si="12"/>
        <v>6.362745162295243</v>
      </c>
      <c r="D158">
        <f t="shared" si="13"/>
        <v>0.023599287126852945</v>
      </c>
      <c r="E158">
        <f>'Preliminary calcs'!B$16</f>
        <v>0.03</v>
      </c>
      <c r="F158">
        <v>0.025</v>
      </c>
      <c r="G158">
        <f t="shared" si="14"/>
        <v>0.1275311346453814</v>
      </c>
      <c r="H158">
        <f t="shared" si="15"/>
        <v>0.006932414603495041</v>
      </c>
      <c r="J158">
        <f t="shared" si="16"/>
        <v>0.4619618201947816</v>
      </c>
      <c r="K158">
        <f>A158/'Preliminary calcs'!$B$14</f>
        <v>1.9375</v>
      </c>
      <c r="M158">
        <f t="shared" si="17"/>
        <v>4.5820908033836536E-05</v>
      </c>
    </row>
    <row r="159" spans="1:13" ht="12.75">
      <c r="A159">
        <v>0.156</v>
      </c>
      <c r="B159">
        <f>0.5*A159^2/'Preliminary calcs'!B$14</f>
        <v>0.15209999999999999</v>
      </c>
      <c r="C159">
        <f t="shared" si="12"/>
        <v>6.403795131084244</v>
      </c>
      <c r="D159">
        <f t="shared" si="13"/>
        <v>0.023751540592187485</v>
      </c>
      <c r="E159">
        <f>'Preliminary calcs'!B$16</f>
        <v>0.03</v>
      </c>
      <c r="F159">
        <v>0.025</v>
      </c>
      <c r="G159">
        <f t="shared" si="14"/>
        <v>0.1297370317359945</v>
      </c>
      <c r="H159">
        <f t="shared" si="15"/>
        <v>0.007052324092635051</v>
      </c>
      <c r="J159">
        <f t="shared" si="16"/>
        <v>0.46494221903474797</v>
      </c>
      <c r="K159">
        <f>A159/'Preliminary calcs'!$B$14</f>
        <v>1.95</v>
      </c>
      <c r="M159">
        <f t="shared" si="17"/>
        <v>4.661346906610645E-05</v>
      </c>
    </row>
    <row r="160" spans="1:13" ht="12.75">
      <c r="A160">
        <v>0.157</v>
      </c>
      <c r="B160">
        <f>0.5*A160^2/'Preliminary calcs'!B$14</f>
        <v>0.15405625</v>
      </c>
      <c r="C160">
        <f t="shared" si="12"/>
        <v>6.4448450998732465</v>
      </c>
      <c r="D160">
        <f t="shared" si="13"/>
        <v>0.023903794057522017</v>
      </c>
      <c r="E160">
        <f>'Preliminary calcs'!B$16</f>
        <v>0.03</v>
      </c>
      <c r="F160">
        <v>0.025</v>
      </c>
      <c r="G160">
        <f t="shared" si="14"/>
        <v>0.13196662247351593</v>
      </c>
      <c r="H160">
        <f t="shared" si="15"/>
        <v>0.007173521535373959</v>
      </c>
      <c r="J160">
        <f t="shared" si="16"/>
        <v>0.46792261787471423</v>
      </c>
      <c r="K160">
        <f>A160/'Preliminary calcs'!$B$14</f>
        <v>1.9625</v>
      </c>
      <c r="M160">
        <f t="shared" si="17"/>
        <v>4.74145430346015E-05</v>
      </c>
    </row>
    <row r="161" spans="1:13" ht="12.75">
      <c r="A161">
        <v>0.158</v>
      </c>
      <c r="B161">
        <f>0.5*A161^2/'Preliminary calcs'!B$14</f>
        <v>0.156025</v>
      </c>
      <c r="C161">
        <f t="shared" si="12"/>
        <v>6.4858950686622485</v>
      </c>
      <c r="D161">
        <f t="shared" si="13"/>
        <v>0.02405604752285655</v>
      </c>
      <c r="E161">
        <f>'Preliminary calcs'!B$16</f>
        <v>0.03</v>
      </c>
      <c r="F161">
        <v>0.025</v>
      </c>
      <c r="G161">
        <f t="shared" si="14"/>
        <v>0.13422000800520587</v>
      </c>
      <c r="H161">
        <f t="shared" si="15"/>
        <v>0.007296012429935742</v>
      </c>
      <c r="J161">
        <f t="shared" si="16"/>
        <v>0.47090301671468054</v>
      </c>
      <c r="K161">
        <f>A161/'Preliminary calcs'!$B$14</f>
        <v>1.975</v>
      </c>
      <c r="M161">
        <f t="shared" si="17"/>
        <v>4.822416628071666E-05</v>
      </c>
    </row>
    <row r="162" spans="1:13" ht="12.75">
      <c r="A162">
        <v>0.159</v>
      </c>
      <c r="B162">
        <f>0.5*A162^2/'Preliminary calcs'!B$14</f>
        <v>0.15800625000000001</v>
      </c>
      <c r="C162">
        <f t="shared" si="12"/>
        <v>6.526945037451249</v>
      </c>
      <c r="D162">
        <f t="shared" si="13"/>
        <v>0.024208300988191093</v>
      </c>
      <c r="E162">
        <f>'Preliminary calcs'!B$16</f>
        <v>0.03</v>
      </c>
      <c r="F162">
        <v>0.025</v>
      </c>
      <c r="G162">
        <f t="shared" si="14"/>
        <v>0.13649728926379848</v>
      </c>
      <c r="H162">
        <f t="shared" si="15"/>
        <v>0.007419802262883048</v>
      </c>
      <c r="J162">
        <f t="shared" si="16"/>
        <v>0.473883415554647</v>
      </c>
      <c r="K162">
        <f>A162/'Preliminary calcs'!$B$14</f>
        <v>1.9875</v>
      </c>
      <c r="M162">
        <f t="shared" si="17"/>
        <v>4.9042375068769156E-05</v>
      </c>
    </row>
    <row r="163" spans="1:13" ht="12.75">
      <c r="A163">
        <v>0.16</v>
      </c>
      <c r="B163">
        <f>0.5*A163^2/'Preliminary calcs'!B$14</f>
        <v>0.16</v>
      </c>
      <c r="C163">
        <f t="shared" si="12"/>
        <v>6.567995006240252</v>
      </c>
      <c r="D163">
        <f t="shared" si="13"/>
        <v>0.024360554453525623</v>
      </c>
      <c r="E163">
        <f>'Preliminary calcs'!B$16</f>
        <v>0.03</v>
      </c>
      <c r="F163">
        <v>0.025</v>
      </c>
      <c r="G163">
        <f t="shared" si="14"/>
        <v>0.13879856696931034</v>
      </c>
      <c r="H163">
        <f t="shared" si="15"/>
        <v>0.007544896509215512</v>
      </c>
      <c r="J163">
        <f t="shared" si="16"/>
        <v>0.47686381439461323</v>
      </c>
      <c r="K163">
        <f>A163/'Preliminary calcs'!$B$14</f>
        <v>2</v>
      </c>
      <c r="M163">
        <f t="shared" si="17"/>
        <v>4.9869205586648427E-05</v>
      </c>
    </row>
    <row r="164" spans="1:13" ht="12.75">
      <c r="A164">
        <v>0.17</v>
      </c>
      <c r="B164">
        <f>0.5*A164^2/'Preliminary calcs'!B$14</f>
        <v>0.18062500000000004</v>
      </c>
      <c r="C164">
        <f aca="true" t="shared" si="18" ref="C164:C227">A164+2*SQRT(A164^2+(A164/0.05)^2)</f>
        <v>6.978494694130267</v>
      </c>
      <c r="D164">
        <f aca="true" t="shared" si="19" ref="D164:D227">B164/C164</f>
        <v>0.02588308910687098</v>
      </c>
      <c r="E164">
        <f>'Preliminary calcs'!B$16</f>
        <v>0.03</v>
      </c>
      <c r="F164">
        <v>0.025</v>
      </c>
      <c r="G164">
        <f aca="true" t="shared" si="20" ref="G164:G227">1.49/F164*B164*D164^(2/3)*SQRT(E164)</f>
        <v>0.16315315840714847</v>
      </c>
      <c r="H164">
        <f aca="true" t="shared" si="21" ref="H164:H227">A164^(8/3)</f>
        <v>0.008868778130870471</v>
      </c>
      <c r="J164">
        <f t="shared" si="16"/>
        <v>0.5066678027942766</v>
      </c>
      <c r="K164">
        <f>A164/'Preliminary calcs'!$B$14</f>
        <v>2.125</v>
      </c>
      <c r="M164">
        <f t="shared" si="17"/>
        <v>5.8619613850308125E-05</v>
      </c>
    </row>
    <row r="165" spans="1:13" ht="12.75">
      <c r="A165">
        <v>0.18</v>
      </c>
      <c r="B165">
        <f>0.5*A165^2/'Preliminary calcs'!B$14</f>
        <v>0.20249999999999999</v>
      </c>
      <c r="C165">
        <f t="shared" si="18"/>
        <v>7.388994382020282</v>
      </c>
      <c r="D165">
        <f t="shared" si="19"/>
        <v>0.027405623760216324</v>
      </c>
      <c r="E165">
        <f>'Preliminary calcs'!B$16</f>
        <v>0.03</v>
      </c>
      <c r="F165">
        <v>0.025</v>
      </c>
      <c r="G165">
        <f t="shared" si="20"/>
        <v>0.19001667256913116</v>
      </c>
      <c r="H165">
        <f t="shared" si="21"/>
        <v>0.010329041292454981</v>
      </c>
      <c r="J165">
        <f t="shared" si="16"/>
        <v>0.53647179119394</v>
      </c>
      <c r="K165">
        <f>A165/'Preliminary calcs'!$B$14</f>
        <v>2.25</v>
      </c>
      <c r="M165">
        <f t="shared" si="17"/>
        <v>6.827145781221283E-05</v>
      </c>
    </row>
    <row r="166" spans="1:13" ht="12.75">
      <c r="A166">
        <v>0.19</v>
      </c>
      <c r="B166">
        <f>0.5*A166^2/'Preliminary calcs'!B$14</f>
        <v>0.225625</v>
      </c>
      <c r="C166">
        <f t="shared" si="18"/>
        <v>7.799494069910299</v>
      </c>
      <c r="D166">
        <f t="shared" si="19"/>
        <v>0.028928158413561673</v>
      </c>
      <c r="E166">
        <f>'Preliminary calcs'!B$16</f>
        <v>0.03</v>
      </c>
      <c r="F166">
        <v>0.025</v>
      </c>
      <c r="G166">
        <f t="shared" si="20"/>
        <v>0.2194865764226391</v>
      </c>
      <c r="H166">
        <f t="shared" si="21"/>
        <v>0.011930984162372451</v>
      </c>
      <c r="J166">
        <f t="shared" si="16"/>
        <v>0.5662757795936033</v>
      </c>
      <c r="K166">
        <f>A166/'Preliminary calcs'!$B$14</f>
        <v>2.375</v>
      </c>
      <c r="M166">
        <f t="shared" si="17"/>
        <v>7.885975656759044E-05</v>
      </c>
    </row>
    <row r="167" spans="1:13" ht="12.75">
      <c r="A167">
        <v>0.2</v>
      </c>
      <c r="B167">
        <f>0.5*A167^2/'Preliminary calcs'!B$14</f>
        <v>0.25000000000000006</v>
      </c>
      <c r="C167">
        <f t="shared" si="18"/>
        <v>8.209993757800314</v>
      </c>
      <c r="D167">
        <f t="shared" si="19"/>
        <v>0.030450693066907036</v>
      </c>
      <c r="E167">
        <f>'Preliminary calcs'!B$16</f>
        <v>0.03</v>
      </c>
      <c r="F167">
        <v>0.025</v>
      </c>
      <c r="G167">
        <f t="shared" si="20"/>
        <v>0.25165854631492457</v>
      </c>
      <c r="H167">
        <f t="shared" si="21"/>
        <v>0.013679807573413588</v>
      </c>
      <c r="J167">
        <f t="shared" si="16"/>
        <v>0.5960797679932668</v>
      </c>
      <c r="K167">
        <f>A167/'Preliminary calcs'!$B$14</f>
        <v>2.5</v>
      </c>
      <c r="M167">
        <f t="shared" si="17"/>
        <v>9.04188858562999E-05</v>
      </c>
    </row>
    <row r="168" spans="1:13" ht="12.75">
      <c r="A168">
        <v>0.21</v>
      </c>
      <c r="B168">
        <f>0.5*A168^2/'Preliminary calcs'!B$14</f>
        <v>0.27562499999999995</v>
      </c>
      <c r="C168">
        <f t="shared" si="18"/>
        <v>8.620493445690329</v>
      </c>
      <c r="D168">
        <f t="shared" si="19"/>
        <v>0.03197322772025238</v>
      </c>
      <c r="E168">
        <f>'Preliminary calcs'!B$16</f>
        <v>0.03</v>
      </c>
      <c r="F168">
        <v>0.025</v>
      </c>
      <c r="G168">
        <f t="shared" si="20"/>
        <v>0.286626592789807</v>
      </c>
      <c r="H168">
        <f t="shared" si="21"/>
        <v>0.015580621807617911</v>
      </c>
      <c r="J168">
        <f t="shared" si="16"/>
        <v>0.6258837563929299</v>
      </c>
      <c r="K168">
        <f>A168/'Preliminary calcs'!$B$14</f>
        <v>2.625</v>
      </c>
      <c r="M168">
        <f t="shared" si="17"/>
        <v>0.00010298262290846249</v>
      </c>
    </row>
    <row r="169" spans="1:13" ht="12.75">
      <c r="A169">
        <v>0.22</v>
      </c>
      <c r="B169">
        <f>0.5*A169^2/'Preliminary calcs'!B$14</f>
        <v>0.3025</v>
      </c>
      <c r="C169">
        <f t="shared" si="18"/>
        <v>9.030993133580345</v>
      </c>
      <c r="D169">
        <f t="shared" si="19"/>
        <v>0.03349576237359773</v>
      </c>
      <c r="E169">
        <f>'Preliminary calcs'!B$16</f>
        <v>0.03</v>
      </c>
      <c r="F169">
        <v>0.025</v>
      </c>
      <c r="G169">
        <f t="shared" si="20"/>
        <v>0.3244831709240867</v>
      </c>
      <c r="H169">
        <f t="shared" si="21"/>
        <v>0.017638452594007262</v>
      </c>
      <c r="J169">
        <f t="shared" si="16"/>
        <v>0.6556877447925933</v>
      </c>
      <c r="K169">
        <f>A169/'Preliminary calcs'!$B$14</f>
        <v>2.75</v>
      </c>
      <c r="M169">
        <f t="shared" si="17"/>
        <v>0.00011658418608744564</v>
      </c>
    </row>
    <row r="170" spans="1:13" ht="12.75">
      <c r="A170">
        <v>0.23</v>
      </c>
      <c r="B170">
        <f>0.5*A170^2/'Preliminary calcs'!B$14</f>
        <v>0.330625</v>
      </c>
      <c r="C170">
        <f t="shared" si="18"/>
        <v>9.441492821470362</v>
      </c>
      <c r="D170">
        <f t="shared" si="19"/>
        <v>0.03501829702694308</v>
      </c>
      <c r="E170">
        <f>'Preliminary calcs'!B$16</f>
        <v>0.03</v>
      </c>
      <c r="F170">
        <v>0.025</v>
      </c>
      <c r="G170">
        <f t="shared" si="20"/>
        <v>0.3653192784714201</v>
      </c>
      <c r="H170">
        <f t="shared" si="21"/>
        <v>0.01985824644355002</v>
      </c>
      <c r="J170">
        <f t="shared" si="16"/>
        <v>0.6854917331922566</v>
      </c>
      <c r="K170">
        <f>A170/'Preliminary calcs'!$B$14</f>
        <v>2.875</v>
      </c>
      <c r="M170">
        <f t="shared" si="17"/>
        <v>0.00013125627015216616</v>
      </c>
    </row>
    <row r="171" spans="1:13" ht="12.75">
      <c r="A171">
        <v>0.24</v>
      </c>
      <c r="B171">
        <f>0.5*A171^2/'Preliminary calcs'!B$14</f>
        <v>0.36</v>
      </c>
      <c r="C171">
        <f t="shared" si="18"/>
        <v>9.851992509360377</v>
      </c>
      <c r="D171">
        <f t="shared" si="19"/>
        <v>0.03654083168028843</v>
      </c>
      <c r="E171">
        <f>'Preliminary calcs'!B$16</f>
        <v>0.03</v>
      </c>
      <c r="F171">
        <v>0.025</v>
      </c>
      <c r="G171">
        <f t="shared" si="20"/>
        <v>0.4092245436525158</v>
      </c>
      <c r="H171">
        <f t="shared" si="21"/>
        <v>0.022244875421313707</v>
      </c>
      <c r="J171">
        <f t="shared" si="16"/>
        <v>0.71529572159192</v>
      </c>
      <c r="K171">
        <f>A171/'Preliminary calcs'!$B$14</f>
        <v>3</v>
      </c>
      <c r="M171">
        <f t="shared" si="17"/>
        <v>0.00014703107779939865</v>
      </c>
    </row>
    <row r="172" spans="1:13" ht="12.75">
      <c r="A172">
        <v>0.25</v>
      </c>
      <c r="B172">
        <f>0.5*A172^2/'Preliminary calcs'!B$14</f>
        <v>0.390625</v>
      </c>
      <c r="C172">
        <f t="shared" si="18"/>
        <v>10.262492197250394</v>
      </c>
      <c r="D172">
        <f t="shared" si="19"/>
        <v>0.03806336633363378</v>
      </c>
      <c r="E172">
        <f>'Preliminary calcs'!B$16</f>
        <v>0.03</v>
      </c>
      <c r="F172">
        <v>0.025</v>
      </c>
      <c r="G172">
        <f t="shared" si="20"/>
        <v>0.45628730408538176</v>
      </c>
      <c r="H172">
        <f t="shared" si="21"/>
        <v>0.024803141437003122</v>
      </c>
      <c r="J172">
        <f t="shared" si="16"/>
        <v>0.7450997099915833</v>
      </c>
      <c r="K172">
        <f>A172/'Preliminary calcs'!$B$14</f>
        <v>3.125</v>
      </c>
      <c r="M172">
        <f t="shared" si="17"/>
        <v>0.00016394034802277705</v>
      </c>
    </row>
    <row r="173" spans="1:13" ht="12.75">
      <c r="A173">
        <v>0.26</v>
      </c>
      <c r="B173">
        <f>0.5*A173^2/'Preliminary calcs'!B$14</f>
        <v>0.42250000000000004</v>
      </c>
      <c r="C173">
        <f t="shared" si="18"/>
        <v>10.672991885140409</v>
      </c>
      <c r="D173">
        <f t="shared" si="19"/>
        <v>0.03958590098697914</v>
      </c>
      <c r="E173">
        <f>'Preliminary calcs'!B$16</f>
        <v>0.03</v>
      </c>
      <c r="F173">
        <v>0.025</v>
      </c>
      <c r="G173">
        <f t="shared" si="20"/>
        <v>0.5065946780806827</v>
      </c>
      <c r="H173">
        <f t="shared" si="21"/>
        <v>0.02753778012047649</v>
      </c>
      <c r="J173">
        <f t="shared" si="16"/>
        <v>0.7749036983912466</v>
      </c>
      <c r="K173">
        <f>A173/'Preliminary calcs'!$B$14</f>
        <v>3.25</v>
      </c>
      <c r="M173">
        <f t="shared" si="17"/>
        <v>0.0001820153817286423</v>
      </c>
    </row>
    <row r="174" spans="1:13" ht="12.75">
      <c r="A174">
        <v>0.27</v>
      </c>
      <c r="B174">
        <f>0.5*A174^2/'Preliminary calcs'!B$14</f>
        <v>0.45562500000000006</v>
      </c>
      <c r="C174">
        <f t="shared" si="18"/>
        <v>11.083491573030425</v>
      </c>
      <c r="D174">
        <f t="shared" si="19"/>
        <v>0.04110843564032449</v>
      </c>
      <c r="E174">
        <f>'Preliminary calcs'!B$16</f>
        <v>0.03</v>
      </c>
      <c r="F174">
        <v>0.025</v>
      </c>
      <c r="G174">
        <f t="shared" si="20"/>
        <v>0.5602326293157303</v>
      </c>
      <c r="H174">
        <f t="shared" si="21"/>
        <v>0.030453464337333456</v>
      </c>
      <c r="J174">
        <f t="shared" si="16"/>
        <v>0.80470768679091</v>
      </c>
      <c r="K174">
        <f>A174/'Preliminary calcs'!$B$14</f>
        <v>3.375</v>
      </c>
      <c r="M174">
        <f t="shared" si="17"/>
        <v>0.00020128706497288395</v>
      </c>
    </row>
    <row r="175" spans="1:13" ht="12.75">
      <c r="A175">
        <v>0.28</v>
      </c>
      <c r="B175">
        <f>0.5*A175^2/'Preliminary calcs'!B$14</f>
        <v>0.49000000000000005</v>
      </c>
      <c r="C175">
        <f t="shared" si="18"/>
        <v>11.49399126092044</v>
      </c>
      <c r="D175">
        <f t="shared" si="19"/>
        <v>0.04263097029366984</v>
      </c>
      <c r="E175">
        <f>'Preliminary calcs'!B$16</f>
        <v>0.03</v>
      </c>
      <c r="F175">
        <v>0.025</v>
      </c>
      <c r="G175">
        <f t="shared" si="20"/>
        <v>0.61728602573235</v>
      </c>
      <c r="H175">
        <f t="shared" si="21"/>
        <v>0.033554807390520906</v>
      </c>
      <c r="J175">
        <f t="shared" si="16"/>
        <v>0.8345116751905732</v>
      </c>
      <c r="K175">
        <f>A175/'Preliminary calcs'!$B$14</f>
        <v>3.5000000000000004</v>
      </c>
      <c r="M175">
        <f t="shared" si="17"/>
        <v>0.00022178589012246966</v>
      </c>
    </row>
    <row r="176" spans="1:13" ht="12.75">
      <c r="A176">
        <v>0.29</v>
      </c>
      <c r="B176">
        <f>0.5*A176^2/'Preliminary calcs'!B$14</f>
        <v>0.5256249999999999</v>
      </c>
      <c r="C176">
        <f t="shared" si="18"/>
        <v>11.904490948810452</v>
      </c>
      <c r="D176">
        <f t="shared" si="19"/>
        <v>0.0441535049470152</v>
      </c>
      <c r="E176">
        <f>'Preliminary calcs'!B$16</f>
        <v>0.03</v>
      </c>
      <c r="F176">
        <v>0.025</v>
      </c>
      <c r="G176">
        <f t="shared" si="20"/>
        <v>0.6778386933687083</v>
      </c>
      <c r="H176">
        <f t="shared" si="21"/>
        <v>0.036846365946556</v>
      </c>
      <c r="J176">
        <f t="shared" si="16"/>
        <v>0.8643156635902365</v>
      </c>
      <c r="K176">
        <f>A176/'Preliminary calcs'!$B$14</f>
        <v>3.6249999999999996</v>
      </c>
      <c r="M176">
        <f t="shared" si="17"/>
        <v>0.0002435419751967864</v>
      </c>
    </row>
    <row r="177" spans="1:13" ht="12.75">
      <c r="A177">
        <v>0.3</v>
      </c>
      <c r="B177">
        <f>0.5*A177^2/'Preliminary calcs'!B$14</f>
        <v>0.5625</v>
      </c>
      <c r="C177">
        <f t="shared" si="18"/>
        <v>12.31499063670047</v>
      </c>
      <c r="D177">
        <f t="shared" si="19"/>
        <v>0.04567603960036055</v>
      </c>
      <c r="E177">
        <f>'Preliminary calcs'!B$16</f>
        <v>0.03</v>
      </c>
      <c r="F177">
        <v>0.025</v>
      </c>
      <c r="G177">
        <f t="shared" si="20"/>
        <v>0.7419734657257043</v>
      </c>
      <c r="H177">
        <f t="shared" si="21"/>
        <v>0.040332642719014475</v>
      </c>
      <c r="J177">
        <f t="shared" si="16"/>
        <v>0.8941196519899001</v>
      </c>
      <c r="K177">
        <f>A177/'Preliminary calcs'!$B$14</f>
        <v>3.75</v>
      </c>
      <c r="M177">
        <f t="shared" si="17"/>
        <v>0.0002665850816045861</v>
      </c>
    </row>
    <row r="178" spans="1:13" ht="12.75">
      <c r="A178">
        <v>0.31</v>
      </c>
      <c r="B178">
        <f>0.5*A178^2/'Preliminary calcs'!B$14</f>
        <v>0.600625</v>
      </c>
      <c r="C178">
        <f t="shared" si="18"/>
        <v>12.725490324590487</v>
      </c>
      <c r="D178">
        <f t="shared" si="19"/>
        <v>0.04719857425370589</v>
      </c>
      <c r="E178">
        <f>'Preliminary calcs'!B$16</f>
        <v>0.03</v>
      </c>
      <c r="F178">
        <v>0.025</v>
      </c>
      <c r="G178">
        <f t="shared" si="20"/>
        <v>0.8097722291791061</v>
      </c>
      <c r="H178">
        <f t="shared" si="21"/>
        <v>0.044018088937070966</v>
      </c>
      <c r="J178">
        <f t="shared" si="16"/>
        <v>0.9239236403895632</v>
      </c>
      <c r="K178">
        <f>A178/'Preliminary calcs'!$B$14</f>
        <v>3.875</v>
      </c>
      <c r="M178">
        <f t="shared" si="17"/>
        <v>0.0002909446304602009</v>
      </c>
    </row>
    <row r="179" spans="1:13" ht="12.75">
      <c r="A179">
        <v>0.32</v>
      </c>
      <c r="B179">
        <f>0.5*A179^2/'Preliminary calcs'!B$14</f>
        <v>0.64</v>
      </c>
      <c r="C179">
        <f t="shared" si="18"/>
        <v>13.135990012480503</v>
      </c>
      <c r="D179">
        <f t="shared" si="19"/>
        <v>0.048721108907051246</v>
      </c>
      <c r="E179">
        <f>'Preliminary calcs'!B$16</f>
        <v>0.03</v>
      </c>
      <c r="F179">
        <v>0.025</v>
      </c>
      <c r="G179">
        <f t="shared" si="20"/>
        <v>0.8813159648750476</v>
      </c>
      <c r="H179">
        <f t="shared" si="21"/>
        <v>0.04790710662287961</v>
      </c>
      <c r="J179">
        <f t="shared" si="16"/>
        <v>0.9537276287892267</v>
      </c>
      <c r="K179">
        <f>A179/'Preliminary calcs'!$B$14</f>
        <v>4</v>
      </c>
      <c r="M179">
        <f t="shared" si="17"/>
        <v>0.00031664971763625696</v>
      </c>
    </row>
    <row r="180" spans="1:13" ht="12.75">
      <c r="A180">
        <v>0.33</v>
      </c>
      <c r="B180">
        <f>0.5*A180^2/'Preliminary calcs'!B$14</f>
        <v>0.680625</v>
      </c>
      <c r="C180">
        <f t="shared" si="18"/>
        <v>13.546489700370518</v>
      </c>
      <c r="D180">
        <f t="shared" si="19"/>
        <v>0.0502436435603966</v>
      </c>
      <c r="E180">
        <f>'Preliminary calcs'!B$16</f>
        <v>0.03</v>
      </c>
      <c r="F180">
        <v>0.025</v>
      </c>
      <c r="G180">
        <f t="shared" si="20"/>
        <v>0.9566847874855292</v>
      </c>
      <c r="H180">
        <f t="shared" si="21"/>
        <v>0.052004050698269376</v>
      </c>
      <c r="J180">
        <f t="shared" si="16"/>
        <v>0.9835316171888899</v>
      </c>
      <c r="K180">
        <f>A180/'Preliminary calcs'!$B$14</f>
        <v>4.125</v>
      </c>
      <c r="M180">
        <f t="shared" si="17"/>
        <v>0.0003437291276882121</v>
      </c>
    </row>
    <row r="181" spans="1:13" ht="12.75">
      <c r="A181">
        <v>0.34</v>
      </c>
      <c r="B181">
        <f>0.5*A181^2/'Preliminary calcs'!B$14</f>
        <v>0.7225000000000001</v>
      </c>
      <c r="C181">
        <f t="shared" si="18"/>
        <v>13.956989388260533</v>
      </c>
      <c r="D181">
        <f t="shared" si="19"/>
        <v>0.05176617821374196</v>
      </c>
      <c r="E181">
        <f>'Preliminary calcs'!B$16</f>
        <v>0.03</v>
      </c>
      <c r="F181">
        <v>0.025</v>
      </c>
      <c r="G181">
        <f t="shared" si="20"/>
        <v>1.0359579811497672</v>
      </c>
      <c r="H181">
        <f t="shared" si="21"/>
        <v>0.056313230938465395</v>
      </c>
      <c r="J181">
        <f t="shared" si="16"/>
        <v>1.0133356055885534</v>
      </c>
      <c r="K181">
        <f>A181/'Preliminary calcs'!$B$14</f>
        <v>4.25</v>
      </c>
      <c r="M181">
        <f t="shared" si="17"/>
        <v>0.0003722113467677952</v>
      </c>
    </row>
    <row r="182" spans="1:13" ht="12.75">
      <c r="A182">
        <v>0.35</v>
      </c>
      <c r="B182">
        <f>0.5*A182^2/'Preliminary calcs'!B$14</f>
        <v>0.7656249999999999</v>
      </c>
      <c r="C182">
        <f t="shared" si="18"/>
        <v>14.367489076150548</v>
      </c>
      <c r="D182">
        <f t="shared" si="19"/>
        <v>0.0532887128670873</v>
      </c>
      <c r="E182">
        <f>'Preliminary calcs'!B$16</f>
        <v>0.03</v>
      </c>
      <c r="F182">
        <v>0.025</v>
      </c>
      <c r="G182">
        <f t="shared" si="20"/>
        <v>1.1192140328845646</v>
      </c>
      <c r="H182">
        <f t="shared" si="21"/>
        <v>0.0608389137882302</v>
      </c>
      <c r="J182">
        <f t="shared" si="16"/>
        <v>1.0431395939882164</v>
      </c>
      <c r="K182">
        <f>A182/'Preliminary calcs'!$B$14</f>
        <v>4.375</v>
      </c>
      <c r="M182">
        <f t="shared" si="17"/>
        <v>0.00040212457462708036</v>
      </c>
    </row>
    <row r="183" spans="1:13" ht="12.75">
      <c r="A183">
        <v>0.36</v>
      </c>
      <c r="B183">
        <f>0.5*A183^2/'Preliminary calcs'!B$14</f>
        <v>0.8099999999999999</v>
      </c>
      <c r="C183">
        <f t="shared" si="18"/>
        <v>14.777988764040565</v>
      </c>
      <c r="D183">
        <f t="shared" si="19"/>
        <v>0.05481124752043265</v>
      </c>
      <c r="E183">
        <f>'Preliminary calcs'!B$16</f>
        <v>0.03</v>
      </c>
      <c r="F183">
        <v>0.025</v>
      </c>
      <c r="G183">
        <f t="shared" si="20"/>
        <v>1.2065306637109428</v>
      </c>
      <c r="H183">
        <f t="shared" si="21"/>
        <v>0.06558532405386401</v>
      </c>
      <c r="J183">
        <f t="shared" si="16"/>
        <v>1.07294358238788</v>
      </c>
      <c r="K183">
        <f>A183/'Preliminary calcs'!$B$14</f>
        <v>4.5</v>
      </c>
      <c r="M183">
        <f t="shared" si="17"/>
        <v>0.0004334967358020366</v>
      </c>
    </row>
    <row r="184" spans="1:13" ht="12.75">
      <c r="A184">
        <v>0.37</v>
      </c>
      <c r="B184">
        <f>0.5*A184^2/'Preliminary calcs'!B$14</f>
        <v>0.855625</v>
      </c>
      <c r="C184">
        <f t="shared" si="18"/>
        <v>15.18848845193058</v>
      </c>
      <c r="D184">
        <f t="shared" si="19"/>
        <v>0.056333782173778005</v>
      </c>
      <c r="E184">
        <f>'Preliminary calcs'!B$16</f>
        <v>0.03</v>
      </c>
      <c r="F184">
        <v>0.025</v>
      </c>
      <c r="G184">
        <f t="shared" si="20"/>
        <v>1.2979848577137203</v>
      </c>
      <c r="H184">
        <f t="shared" si="21"/>
        <v>0.07055664648284302</v>
      </c>
      <c r="J184">
        <f t="shared" si="16"/>
        <v>1.1027475707875432</v>
      </c>
      <c r="K184">
        <f>A184/'Preliminary calcs'!$B$14</f>
        <v>4.625</v>
      </c>
      <c r="M184">
        <f t="shared" si="17"/>
        <v>0.00046635549005339815</v>
      </c>
    </row>
    <row r="185" spans="1:13" ht="12.75">
      <c r="A185">
        <v>0.38</v>
      </c>
      <c r="B185">
        <f>0.5*A185^2/'Preliminary calcs'!B$14</f>
        <v>0.9025</v>
      </c>
      <c r="C185">
        <f t="shared" si="18"/>
        <v>15.598988139820598</v>
      </c>
      <c r="D185">
        <f t="shared" si="19"/>
        <v>0.05785631682712335</v>
      </c>
      <c r="E185">
        <f>'Preliminary calcs'!B$16</f>
        <v>0.03</v>
      </c>
      <c r="F185">
        <v>0.025</v>
      </c>
      <c r="G185">
        <f t="shared" si="20"/>
        <v>1.3936528892247835</v>
      </c>
      <c r="H185">
        <f t="shared" si="21"/>
        <v>0.0757570272414638</v>
      </c>
      <c r="J185">
        <f t="shared" si="16"/>
        <v>1.1325515591872064</v>
      </c>
      <c r="K185">
        <f>A185/'Preliminary calcs'!$B$14</f>
        <v>4.75</v>
      </c>
      <c r="M185">
        <f t="shared" si="17"/>
        <v>0.0005007282421333965</v>
      </c>
    </row>
    <row r="186" spans="1:13" ht="12.75">
      <c r="A186">
        <v>0.39</v>
      </c>
      <c r="B186">
        <f>0.5*A186^2/'Preliminary calcs'!B$14</f>
        <v>0.950625</v>
      </c>
      <c r="C186">
        <f t="shared" si="18"/>
        <v>16.00948782771061</v>
      </c>
      <c r="D186">
        <f t="shared" si="19"/>
        <v>0.05937885148046871</v>
      </c>
      <c r="E186">
        <f>'Preliminary calcs'!B$16</f>
        <v>0.03</v>
      </c>
      <c r="F186">
        <v>0.025</v>
      </c>
      <c r="G186">
        <f t="shared" si="20"/>
        <v>1.4936103482984717</v>
      </c>
      <c r="H186">
        <f t="shared" si="21"/>
        <v>0.08119057529965</v>
      </c>
      <c r="J186">
        <f t="shared" si="16"/>
        <v>1.1623555475868699</v>
      </c>
      <c r="K186">
        <f>A186/'Preliminary calcs'!$B$14</f>
        <v>4.875</v>
      </c>
      <c r="M186">
        <f t="shared" si="17"/>
        <v>0.0005366421509388595</v>
      </c>
    </row>
    <row r="187" spans="1:13" ht="12.75">
      <c r="A187">
        <v>0.4</v>
      </c>
      <c r="B187">
        <f>0.5*A187^2/'Preliminary calcs'!B$14</f>
        <v>1.0000000000000002</v>
      </c>
      <c r="C187">
        <f t="shared" si="18"/>
        <v>16.419987515600628</v>
      </c>
      <c r="D187">
        <f t="shared" si="19"/>
        <v>0.06090138613381407</v>
      </c>
      <c r="E187">
        <f>'Preliminary calcs'!B$16</f>
        <v>0.03</v>
      </c>
      <c r="F187">
        <v>0.025</v>
      </c>
      <c r="G187">
        <f t="shared" si="20"/>
        <v>1.5979321646283964</v>
      </c>
      <c r="H187">
        <f t="shared" si="21"/>
        <v>0.08686136373103705</v>
      </c>
      <c r="J187">
        <f t="shared" si="16"/>
        <v>1.1921595359865336</v>
      </c>
      <c r="K187">
        <f>A187/'Preliminary calcs'!$B$14</f>
        <v>5</v>
      </c>
      <c r="M187">
        <f t="shared" si="17"/>
        <v>0.0005741241381043319</v>
      </c>
    </row>
    <row r="188" spans="1:13" ht="12.75">
      <c r="A188">
        <v>0.41</v>
      </c>
      <c r="B188">
        <f>0.5*A188^2/'Preliminary calcs'!B$14</f>
        <v>1.0506249999999997</v>
      </c>
      <c r="C188">
        <f t="shared" si="18"/>
        <v>16.830487203490645</v>
      </c>
      <c r="D188">
        <f t="shared" si="19"/>
        <v>0.06242392078715939</v>
      </c>
      <c r="E188">
        <f>'Preliminary calcs'!B$16</f>
        <v>0.03</v>
      </c>
      <c r="F188">
        <v>0.025</v>
      </c>
      <c r="G188">
        <f t="shared" si="20"/>
        <v>1.7066926300384408</v>
      </c>
      <c r="H188">
        <f t="shared" si="21"/>
        <v>0.0927734309355518</v>
      </c>
      <c r="J188">
        <f t="shared" si="16"/>
        <v>1.2219635243861964</v>
      </c>
      <c r="K188">
        <f>A188/'Preliminary calcs'!$B$14</f>
        <v>5.125</v>
      </c>
      <c r="M188">
        <f t="shared" si="17"/>
        <v>0.0006132008960829087</v>
      </c>
    </row>
    <row r="189" spans="1:13" ht="12.75">
      <c r="A189">
        <v>0.42</v>
      </c>
      <c r="B189">
        <f>0.5*A189^2/'Preliminary calcs'!B$14</f>
        <v>1.1024999999999998</v>
      </c>
      <c r="C189">
        <f t="shared" si="18"/>
        <v>17.240986891380658</v>
      </c>
      <c r="D189">
        <f t="shared" si="19"/>
        <v>0.06394645544050476</v>
      </c>
      <c r="E189">
        <f>'Preliminary calcs'!B$16</f>
        <v>0.03</v>
      </c>
      <c r="F189">
        <v>0.025</v>
      </c>
      <c r="G189">
        <f t="shared" si="20"/>
        <v>1.8199654196664015</v>
      </c>
      <c r="H189">
        <f t="shared" si="21"/>
        <v>0.09893078179092533</v>
      </c>
      <c r="J189">
        <f t="shared" si="16"/>
        <v>1.2517675127858598</v>
      </c>
      <c r="K189">
        <f>A189/'Preliminary calcs'!$B$14</f>
        <v>5.25</v>
      </c>
      <c r="M189">
        <f t="shared" si="17"/>
        <v>0.0006538988957573509</v>
      </c>
    </row>
    <row r="190" spans="1:13" ht="12.75">
      <c r="A190">
        <v>0.43</v>
      </c>
      <c r="B190">
        <f>0.5*A190^2/'Preliminary calcs'!B$14</f>
        <v>1.155625</v>
      </c>
      <c r="C190">
        <f t="shared" si="18"/>
        <v>17.651486579270674</v>
      </c>
      <c r="D190">
        <f t="shared" si="19"/>
        <v>0.06546899009385011</v>
      </c>
      <c r="E190">
        <f>'Preliminary calcs'!B$16</f>
        <v>0.03</v>
      </c>
      <c r="F190">
        <v>0.025</v>
      </c>
      <c r="G190">
        <f t="shared" si="20"/>
        <v>1.9378236119461578</v>
      </c>
      <c r="H190">
        <f t="shared" si="21"/>
        <v>0.10533738873889617</v>
      </c>
      <c r="J190">
        <f t="shared" si="16"/>
        <v>1.281571501185523</v>
      </c>
      <c r="K190">
        <f>A190/'Preliminary calcs'!$B$14</f>
        <v>5.375</v>
      </c>
      <c r="M190">
        <f t="shared" si="17"/>
        <v>0.0006962443936195114</v>
      </c>
    </row>
    <row r="191" spans="1:13" ht="12.75">
      <c r="A191">
        <v>0.44</v>
      </c>
      <c r="B191">
        <f>0.5*A191^2/'Preliminary calcs'!B$14</f>
        <v>1.21</v>
      </c>
      <c r="C191">
        <f t="shared" si="18"/>
        <v>18.06198626716069</v>
      </c>
      <c r="D191">
        <f t="shared" si="19"/>
        <v>0.06699152474719546</v>
      </c>
      <c r="E191">
        <f>'Preliminary calcs'!B$16</f>
        <v>0.03</v>
      </c>
      <c r="F191">
        <v>0.025</v>
      </c>
      <c r="G191">
        <f t="shared" si="20"/>
        <v>2.060339707483489</v>
      </c>
      <c r="H191">
        <f t="shared" si="21"/>
        <v>0.11199719281127334</v>
      </c>
      <c r="J191">
        <f t="shared" si="16"/>
        <v>1.3113754895851863</v>
      </c>
      <c r="K191">
        <f>A191/'Preliminary calcs'!$B$14</f>
        <v>5.5</v>
      </c>
      <c r="M191">
        <f t="shared" si="17"/>
        <v>0.0007402634385522699</v>
      </c>
    </row>
    <row r="192" spans="1:13" ht="12.75">
      <c r="A192">
        <v>0.45</v>
      </c>
      <c r="B192">
        <f>0.5*A192^2/'Preliminary calcs'!B$14</f>
        <v>1.265625</v>
      </c>
      <c r="C192">
        <f t="shared" si="18"/>
        <v>18.472485955050708</v>
      </c>
      <c r="D192">
        <f t="shared" si="19"/>
        <v>0.06851405940054081</v>
      </c>
      <c r="E192">
        <f>'Preliminary calcs'!B$16</f>
        <v>0.03</v>
      </c>
      <c r="F192">
        <v>0.025</v>
      </c>
      <c r="G192">
        <f t="shared" si="20"/>
        <v>2.1875856469109873</v>
      </c>
      <c r="H192">
        <f t="shared" si="21"/>
        <v>0.11891410460050425</v>
      </c>
      <c r="J192">
        <f t="shared" si="16"/>
        <v>1.3411794779848498</v>
      </c>
      <c r="K192">
        <f>A192/'Preliminary calcs'!$B$14</f>
        <v>5.625</v>
      </c>
      <c r="M192">
        <f t="shared" si="17"/>
        <v>0.000785981878244657</v>
      </c>
    </row>
    <row r="193" spans="1:13" ht="12.75">
      <c r="A193">
        <v>0.46</v>
      </c>
      <c r="B193">
        <f>0.5*A193^2/'Preliminary calcs'!B$14</f>
        <v>1.3225</v>
      </c>
      <c r="C193">
        <f t="shared" si="18"/>
        <v>18.882985642940724</v>
      </c>
      <c r="D193">
        <f t="shared" si="19"/>
        <v>0.07003659405388615</v>
      </c>
      <c r="E193">
        <f>'Preliminary calcs'!B$16</f>
        <v>0.03</v>
      </c>
      <c r="F193">
        <v>0.025</v>
      </c>
      <c r="G193">
        <f t="shared" si="20"/>
        <v>2.319632827799183</v>
      </c>
      <c r="H193">
        <f t="shared" si="21"/>
        <v>0.1260920051789403</v>
      </c>
      <c r="J193">
        <f t="shared" si="16"/>
        <v>1.370983466384513</v>
      </c>
      <c r="K193">
        <f>A193/'Preliminary calcs'!$B$14</f>
        <v>5.75</v>
      </c>
      <c r="M193">
        <f t="shared" si="17"/>
        <v>0.000833425365267882</v>
      </c>
    </row>
    <row r="194" spans="1:13" ht="12.75">
      <c r="A194">
        <v>0.47</v>
      </c>
      <c r="B194">
        <f>0.5*A194^2/'Preliminary calcs'!B$14</f>
        <v>1.3806249999999998</v>
      </c>
      <c r="C194">
        <f t="shared" si="18"/>
        <v>19.293485330830734</v>
      </c>
      <c r="D194">
        <f t="shared" si="19"/>
        <v>0.07155912870723152</v>
      </c>
      <c r="E194">
        <f>'Preliminary calcs'!B$16</f>
        <v>0.03</v>
      </c>
      <c r="F194">
        <v>0.025</v>
      </c>
      <c r="G194">
        <f t="shared" si="20"/>
        <v>2.456552120693596</v>
      </c>
      <c r="H194">
        <f t="shared" si="21"/>
        <v>0.13353474697058798</v>
      </c>
      <c r="J194">
        <f t="shared" si="16"/>
        <v>1.4007874547841765</v>
      </c>
      <c r="K194">
        <f>A194/'Preliminary calcs'!$B$14</f>
        <v>5.874999999999999</v>
      </c>
      <c r="M194">
        <f t="shared" si="17"/>
        <v>0.0008826193628373236</v>
      </c>
    </row>
    <row r="195" spans="1:13" ht="12.75">
      <c r="A195">
        <v>0.48</v>
      </c>
      <c r="B195">
        <f>0.5*A195^2/'Preliminary calcs'!B$14</f>
        <v>1.44</v>
      </c>
      <c r="C195">
        <f t="shared" si="18"/>
        <v>19.703985018720754</v>
      </c>
      <c r="D195">
        <f t="shared" si="19"/>
        <v>0.07308166336057687</v>
      </c>
      <c r="E195">
        <f>'Preliminary calcs'!B$16</f>
        <v>0.03</v>
      </c>
      <c r="F195">
        <v>0.025</v>
      </c>
      <c r="G195">
        <f t="shared" si="20"/>
        <v>2.5984138843408386</v>
      </c>
      <c r="H195">
        <f t="shared" si="21"/>
        <v>0.1412461545787797</v>
      </c>
      <c r="J195">
        <f t="shared" si="16"/>
        <v>1.4305914431838396</v>
      </c>
      <c r="K195">
        <f>A195/'Preliminary calcs'!$B$14</f>
        <v>6</v>
      </c>
      <c r="M195">
        <f t="shared" si="17"/>
        <v>0.0009335891502831332</v>
      </c>
    </row>
    <row r="196" spans="1:13" ht="12.75">
      <c r="A196">
        <v>0.49</v>
      </c>
      <c r="B196">
        <f>0.5*A196^2/'Preliminary calcs'!B$14</f>
        <v>1.5006249999999999</v>
      </c>
      <c r="C196">
        <f t="shared" si="18"/>
        <v>20.114484706610767</v>
      </c>
      <c r="D196">
        <f t="shared" si="19"/>
        <v>0.07460419801392222</v>
      </c>
      <c r="E196">
        <f>'Preliminary calcs'!B$16</f>
        <v>0.03</v>
      </c>
      <c r="F196">
        <v>0.025</v>
      </c>
      <c r="G196">
        <f t="shared" si="20"/>
        <v>2.745287980161145</v>
      </c>
      <c r="H196">
        <f t="shared" si="21"/>
        <v>0.1492300255728789</v>
      </c>
      <c r="J196">
        <f t="shared" si="16"/>
        <v>1.460395431583503</v>
      </c>
      <c r="K196">
        <f>A196/'Preliminary calcs'!$B$14</f>
        <v>6.125</v>
      </c>
      <c r="M196">
        <f t="shared" si="17"/>
        <v>0.0009863598282501143</v>
      </c>
    </row>
    <row r="197" spans="1:13" ht="12.75">
      <c r="A197">
        <v>0.5</v>
      </c>
      <c r="B197">
        <f>0.5*A197^2/'Preliminary calcs'!B$14</f>
        <v>1.5625</v>
      </c>
      <c r="C197">
        <f t="shared" si="18"/>
        <v>20.524984394500787</v>
      </c>
      <c r="D197">
        <f t="shared" si="19"/>
        <v>0.07612673266726756</v>
      </c>
      <c r="E197">
        <f>'Preliminary calcs'!B$16</f>
        <v>0.03</v>
      </c>
      <c r="F197">
        <v>0.025</v>
      </c>
      <c r="G197">
        <f t="shared" si="20"/>
        <v>2.897243786019475</v>
      </c>
      <c r="H197">
        <f t="shared" si="21"/>
        <v>0.15749013123685918</v>
      </c>
      <c r="J197">
        <f aca="true" t="shared" si="22" ref="J197:J247">G197^(3/8)</f>
        <v>1.4901994199831665</v>
      </c>
      <c r="K197">
        <f>A197/'Preliminary calcs'!$B$14</f>
        <v>6.25</v>
      </c>
      <c r="M197">
        <f aca="true" t="shared" si="23" ref="M197:M247">D197^(8/3)</f>
        <v>0.0010409563236455565</v>
      </c>
    </row>
    <row r="198" spans="1:13" ht="12.75">
      <c r="A198">
        <v>0.51</v>
      </c>
      <c r="B198">
        <f>0.5*A198^2/'Preliminary calcs'!B$14</f>
        <v>1.6256249999999999</v>
      </c>
      <c r="C198">
        <f t="shared" si="18"/>
        <v>20.9354840823908</v>
      </c>
      <c r="D198">
        <f t="shared" si="19"/>
        <v>0.07764926732061292</v>
      </c>
      <c r="E198">
        <f>'Preliminary calcs'!B$16</f>
        <v>0.03</v>
      </c>
      <c r="F198">
        <v>0.025</v>
      </c>
      <c r="G198">
        <f t="shared" si="20"/>
        <v>3.0543502093428074</v>
      </c>
      <c r="H198">
        <f t="shared" si="21"/>
        <v>0.16603021728234144</v>
      </c>
      <c r="J198">
        <f t="shared" si="22"/>
        <v>1.5200034083828298</v>
      </c>
      <c r="K198">
        <f>A198/'Preliminary calcs'!$B$14</f>
        <v>6.375</v>
      </c>
      <c r="M198">
        <f t="shared" si="23"/>
        <v>0.0010974033943521775</v>
      </c>
    </row>
    <row r="199" spans="1:13" ht="12.75">
      <c r="A199">
        <v>0.52</v>
      </c>
      <c r="B199">
        <f>0.5*A199^2/'Preliminary calcs'!B$14</f>
        <v>1.6900000000000002</v>
      </c>
      <c r="C199">
        <f t="shared" si="18"/>
        <v>21.345983770280817</v>
      </c>
      <c r="D199">
        <f t="shared" si="19"/>
        <v>0.07917180197395828</v>
      </c>
      <c r="E199">
        <f>'Preliminary calcs'!B$16</f>
        <v>0.03</v>
      </c>
      <c r="F199">
        <v>0.025</v>
      </c>
      <c r="G199">
        <f t="shared" si="20"/>
        <v>3.2166756996270687</v>
      </c>
      <c r="H199">
        <f t="shared" si="21"/>
        <v>0.17485400452845334</v>
      </c>
      <c r="J199">
        <f t="shared" si="22"/>
        <v>1.5498073967824935</v>
      </c>
      <c r="K199">
        <f>A199/'Preliminary calcs'!$B$14</f>
        <v>6.5</v>
      </c>
      <c r="M199">
        <f t="shared" si="23"/>
        <v>0.0011557256337217613</v>
      </c>
    </row>
    <row r="200" spans="1:13" ht="12.75">
      <c r="A200">
        <v>0.53</v>
      </c>
      <c r="B200">
        <f>0.5*A200^2/'Preliminary calcs'!B$14</f>
        <v>1.7556250000000002</v>
      </c>
      <c r="C200">
        <f t="shared" si="18"/>
        <v>21.756483458170834</v>
      </c>
      <c r="D200">
        <f t="shared" si="19"/>
        <v>0.08069433662730363</v>
      </c>
      <c r="E200">
        <f>'Preliminary calcs'!B$16</f>
        <v>0.03</v>
      </c>
      <c r="F200">
        <v>0.025</v>
      </c>
      <c r="G200">
        <f t="shared" si="20"/>
        <v>3.384288260373476</v>
      </c>
      <c r="H200">
        <f t="shared" si="21"/>
        <v>0.18396518955067237</v>
      </c>
      <c r="J200">
        <f t="shared" si="22"/>
        <v>1.5796113851821567</v>
      </c>
      <c r="K200">
        <f>A200/'Preliminary calcs'!$B$14</f>
        <v>6.625</v>
      </c>
      <c r="M200">
        <f t="shared" si="23"/>
        <v>0.0012159474748637915</v>
      </c>
    </row>
    <row r="201" spans="1:13" ht="12.75">
      <c r="A201">
        <v>0.54</v>
      </c>
      <c r="B201">
        <f>0.5*A201^2/'Preliminary calcs'!B$14</f>
        <v>1.8225000000000002</v>
      </c>
      <c r="C201">
        <f t="shared" si="18"/>
        <v>22.16698314606085</v>
      </c>
      <c r="D201">
        <f t="shared" si="19"/>
        <v>0.08221687128064897</v>
      </c>
      <c r="E201">
        <f>'Preliminary calcs'!B$16</f>
        <v>0.03</v>
      </c>
      <c r="F201">
        <v>0.025</v>
      </c>
      <c r="G201">
        <f t="shared" si="20"/>
        <v>3.5572554604908033</v>
      </c>
      <c r="H201">
        <f t="shared" si="21"/>
        <v>0.19336744530063663</v>
      </c>
      <c r="J201">
        <f t="shared" si="22"/>
        <v>1.60941537358182</v>
      </c>
      <c r="K201">
        <f>A201/'Preliminary calcs'!$B$14</f>
        <v>6.75</v>
      </c>
      <c r="M201">
        <f t="shared" si="23"/>
        <v>0.00127809319474219</v>
      </c>
    </row>
    <row r="202" spans="1:13" ht="12.75">
      <c r="A202">
        <v>0.55</v>
      </c>
      <c r="B202">
        <f>0.5*A202^2/'Preliminary calcs'!B$14</f>
        <v>1.8906250000000002</v>
      </c>
      <c r="C202">
        <f t="shared" si="18"/>
        <v>22.577482833950864</v>
      </c>
      <c r="D202">
        <f t="shared" si="19"/>
        <v>0.08373940593399434</v>
      </c>
      <c r="E202">
        <f>'Preliminary calcs'!B$16</f>
        <v>0.03</v>
      </c>
      <c r="F202">
        <v>0.025</v>
      </c>
      <c r="G202">
        <f t="shared" si="20"/>
        <v>3.735644445197026</v>
      </c>
      <c r="H202">
        <f t="shared" si="21"/>
        <v>0.2030644216987437</v>
      </c>
      <c r="J202">
        <f t="shared" si="22"/>
        <v>1.6392193619814834</v>
      </c>
      <c r="K202">
        <f>A202/'Preliminary calcs'!$B$14</f>
        <v>6.875</v>
      </c>
      <c r="M202">
        <f t="shared" si="23"/>
        <v>0.0013421869180921958</v>
      </c>
    </row>
    <row r="203" spans="1:13" ht="12.75">
      <c r="A203">
        <v>0.56</v>
      </c>
      <c r="B203">
        <f>0.5*A203^2/'Preliminary calcs'!B$14</f>
        <v>1.9600000000000002</v>
      </c>
      <c r="C203">
        <f t="shared" si="18"/>
        <v>22.98798252184088</v>
      </c>
      <c r="D203">
        <f t="shared" si="19"/>
        <v>0.08526194058733969</v>
      </c>
      <c r="E203">
        <f>'Preliminary calcs'!B$16</f>
        <v>0.03</v>
      </c>
      <c r="F203">
        <v>0.025</v>
      </c>
      <c r="G203">
        <f t="shared" si="20"/>
        <v>3.9195219464512068</v>
      </c>
      <c r="H203">
        <f t="shared" si="21"/>
        <v>0.2130597462012128</v>
      </c>
      <c r="J203">
        <f t="shared" si="22"/>
        <v>1.6690233503811465</v>
      </c>
      <c r="K203">
        <f>A203/'Preliminary calcs'!$B$14</f>
        <v>7.000000000000001</v>
      </c>
      <c r="M203">
        <f t="shared" si="23"/>
        <v>0.001408252621168448</v>
      </c>
    </row>
    <row r="204" spans="1:13" ht="12.75">
      <c r="A204">
        <v>0.57</v>
      </c>
      <c r="B204">
        <f>0.5*A204^2/'Preliminary calcs'!B$14</f>
        <v>2.0306249999999997</v>
      </c>
      <c r="C204">
        <f t="shared" si="18"/>
        <v>23.398482209730897</v>
      </c>
      <c r="D204">
        <f t="shared" si="19"/>
        <v>0.08678447524068501</v>
      </c>
      <c r="E204">
        <f>'Preliminary calcs'!B$16</f>
        <v>0.03</v>
      </c>
      <c r="F204">
        <v>0.025</v>
      </c>
      <c r="G204">
        <f t="shared" si="20"/>
        <v>4.1089542929439915</v>
      </c>
      <c r="H204">
        <f t="shared" si="21"/>
        <v>0.22335702434315458</v>
      </c>
      <c r="J204">
        <f t="shared" si="22"/>
        <v>1.6988273387808095</v>
      </c>
      <c r="K204">
        <f>A204/'Preliminary calcs'!$B$14</f>
        <v>7.124999999999999</v>
      </c>
      <c r="M204">
        <f t="shared" si="23"/>
        <v>0.0014763141353345028</v>
      </c>
    </row>
    <row r="205" spans="1:13" ht="12.75">
      <c r="A205">
        <v>0.58</v>
      </c>
      <c r="B205">
        <f>0.5*A205^2/'Preliminary calcs'!B$14</f>
        <v>2.1024999999999996</v>
      </c>
      <c r="C205">
        <f t="shared" si="18"/>
        <v>23.808981897620903</v>
      </c>
      <c r="D205">
        <f t="shared" si="19"/>
        <v>0.0883070098940304</v>
      </c>
      <c r="E205">
        <f>'Preliminary calcs'!B$16</f>
        <v>0.03</v>
      </c>
      <c r="F205">
        <v>0.025</v>
      </c>
      <c r="G205">
        <f t="shared" si="20"/>
        <v>4.30400741967295</v>
      </c>
      <c r="H205">
        <f t="shared" si="21"/>
        <v>0.233959840259073</v>
      </c>
      <c r="J205">
        <f t="shared" si="22"/>
        <v>1.728631327180473</v>
      </c>
      <c r="K205">
        <f>A205/'Preliminary calcs'!$B$14</f>
        <v>7.249999999999999</v>
      </c>
      <c r="M205">
        <f t="shared" si="23"/>
        <v>0.0015463951505031682</v>
      </c>
    </row>
    <row r="206" spans="1:13" ht="12.75">
      <c r="A206">
        <v>0.59</v>
      </c>
      <c r="B206">
        <f>0.5*A206^2/'Preliminary calcs'!B$14</f>
        <v>2.1756249999999997</v>
      </c>
      <c r="C206">
        <f t="shared" si="18"/>
        <v>24.219481585510923</v>
      </c>
      <c r="D206">
        <f t="shared" si="19"/>
        <v>0.08982954454737573</v>
      </c>
      <c r="E206">
        <f>'Preliminary calcs'!B$16</f>
        <v>0.03</v>
      </c>
      <c r="F206">
        <v>0.025</v>
      </c>
      <c r="G206">
        <f t="shared" si="20"/>
        <v>4.504746877126925</v>
      </c>
      <c r="H206">
        <f t="shared" si="21"/>
        <v>0.24487175718211443</v>
      </c>
      <c r="J206">
        <f t="shared" si="22"/>
        <v>1.7584353155801364</v>
      </c>
      <c r="K206">
        <f>A206/'Preliminary calcs'!$B$14</f>
        <v>7.374999999999999</v>
      </c>
      <c r="M206">
        <f t="shared" si="23"/>
        <v>0.0016185192184363611</v>
      </c>
    </row>
    <row r="207" spans="1:13" ht="12.75">
      <c r="A207">
        <v>0.6</v>
      </c>
      <c r="B207">
        <f>0.5*A207^2/'Preliminary calcs'!B$14</f>
        <v>2.25</v>
      </c>
      <c r="C207">
        <f t="shared" si="18"/>
        <v>24.62998127340094</v>
      </c>
      <c r="D207">
        <f t="shared" si="19"/>
        <v>0.0913520792007211</v>
      </c>
      <c r="E207">
        <f>'Preliminary calcs'!B$16</f>
        <v>0.03</v>
      </c>
      <c r="F207">
        <v>0.025</v>
      </c>
      <c r="G207">
        <f t="shared" si="20"/>
        <v>4.7112378401018935</v>
      </c>
      <c r="H207">
        <f t="shared" si="21"/>
        <v>0.2560963179232845</v>
      </c>
      <c r="J207">
        <f t="shared" si="22"/>
        <v>1.7882393039797997</v>
      </c>
      <c r="K207">
        <f>A207/'Preliminary calcs'!$B$14</f>
        <v>7.5</v>
      </c>
      <c r="M207">
        <f t="shared" si="23"/>
        <v>0.0016927097559125926</v>
      </c>
    </row>
    <row r="208" spans="1:13" ht="12.75">
      <c r="A208">
        <v>0.61</v>
      </c>
      <c r="B208">
        <f>0.5*A208^2/'Preliminary calcs'!B$14</f>
        <v>2.325625</v>
      </c>
      <c r="C208">
        <f t="shared" si="18"/>
        <v>25.040480961290957</v>
      </c>
      <c r="D208">
        <f t="shared" si="19"/>
        <v>0.09287461385406644</v>
      </c>
      <c r="E208">
        <f>'Preliminary calcs'!B$16</f>
        <v>0.03</v>
      </c>
      <c r="F208">
        <v>0.025</v>
      </c>
      <c r="G208">
        <f t="shared" si="20"/>
        <v>4.923545116169012</v>
      </c>
      <c r="H208">
        <f t="shared" si="21"/>
        <v>0.2676370453317601</v>
      </c>
      <c r="J208">
        <f t="shared" si="22"/>
        <v>1.8180432923794632</v>
      </c>
      <c r="K208">
        <f>A208/'Preliminary calcs'!$B$14</f>
        <v>7.625</v>
      </c>
      <c r="M208">
        <f t="shared" si="23"/>
        <v>0.0017689900477694492</v>
      </c>
    </row>
    <row r="209" spans="1:13" ht="12.75">
      <c r="A209">
        <v>0.62</v>
      </c>
      <c r="B209">
        <f>0.5*A209^2/'Preliminary calcs'!B$14</f>
        <v>2.4025</v>
      </c>
      <c r="C209">
        <f t="shared" si="18"/>
        <v>25.450980649180973</v>
      </c>
      <c r="D209">
        <f t="shared" si="19"/>
        <v>0.09439714850741178</v>
      </c>
      <c r="E209">
        <f>'Preliminary calcs'!B$16</f>
        <v>0.03</v>
      </c>
      <c r="F209">
        <v>0.025</v>
      </c>
      <c r="G209">
        <f t="shared" si="20"/>
        <v>5.1417331538141875</v>
      </c>
      <c r="H209">
        <f t="shared" si="21"/>
        <v>0.2794974427373448</v>
      </c>
      <c r="J209">
        <f t="shared" si="22"/>
        <v>1.8478472807791262</v>
      </c>
      <c r="K209">
        <f>A209/'Preliminary calcs'!$B$14</f>
        <v>7.75</v>
      </c>
      <c r="M209">
        <f t="shared" si="23"/>
        <v>0.0018473832498280885</v>
      </c>
    </row>
    <row r="210" spans="1:13" ht="12.75">
      <c r="A210">
        <v>0.63</v>
      </c>
      <c r="B210">
        <f>0.5*A210^2/'Preliminary calcs'!B$14</f>
        <v>2.4806250000000003</v>
      </c>
      <c r="C210">
        <f t="shared" si="18"/>
        <v>25.861480337070986</v>
      </c>
      <c r="D210">
        <f t="shared" si="19"/>
        <v>0.09591968316075716</v>
      </c>
      <c r="E210">
        <f>'Preliminary calcs'!B$16</f>
        <v>0.03</v>
      </c>
      <c r="F210">
        <v>0.025</v>
      </c>
      <c r="G210">
        <f t="shared" si="20"/>
        <v>5.365866050267069</v>
      </c>
      <c r="H210">
        <f t="shared" si="21"/>
        <v>0.29168099437604145</v>
      </c>
      <c r="J210">
        <f t="shared" si="22"/>
        <v>1.8776512691787899</v>
      </c>
      <c r="K210">
        <f>A210/'Preliminary calcs'!$B$14</f>
        <v>7.875</v>
      </c>
      <c r="M210">
        <f t="shared" si="23"/>
        <v>0.0019279123917061254</v>
      </c>
    </row>
    <row r="211" spans="1:13" ht="12.75">
      <c r="A211">
        <v>0.64</v>
      </c>
      <c r="B211">
        <f>0.5*A211^2/'Preliminary calcs'!B$14</f>
        <v>2.56</v>
      </c>
      <c r="C211">
        <f t="shared" si="18"/>
        <v>26.271980024961007</v>
      </c>
      <c r="D211">
        <f t="shared" si="19"/>
        <v>0.09744221781410249</v>
      </c>
      <c r="E211">
        <f>'Preliminary calcs'!B$16</f>
        <v>0.03</v>
      </c>
      <c r="F211">
        <v>0.025</v>
      </c>
      <c r="G211">
        <f t="shared" si="20"/>
        <v>5.596007559036077</v>
      </c>
      <c r="H211">
        <f t="shared" si="21"/>
        <v>0.30419116579964717</v>
      </c>
      <c r="J211">
        <f t="shared" si="22"/>
        <v>1.9074552575784531</v>
      </c>
      <c r="K211">
        <f>A211/'Preliminary calcs'!$B$14</f>
        <v>8</v>
      </c>
      <c r="M211">
        <f t="shared" si="23"/>
        <v>0.0020106003795249097</v>
      </c>
    </row>
    <row r="212" spans="1:13" ht="12.75">
      <c r="A212">
        <v>0.65</v>
      </c>
      <c r="B212">
        <f>0.5*A212^2/'Preliminary calcs'!B$14</f>
        <v>2.640625</v>
      </c>
      <c r="C212">
        <f t="shared" si="18"/>
        <v>26.68247971285102</v>
      </c>
      <c r="D212">
        <f t="shared" si="19"/>
        <v>0.09896475246744785</v>
      </c>
      <c r="E212">
        <f>'Preliminary calcs'!B$16</f>
        <v>0.03</v>
      </c>
      <c r="F212">
        <v>0.025</v>
      </c>
      <c r="G212">
        <f t="shared" si="20"/>
        <v>5.832221097165067</v>
      </c>
      <c r="H212">
        <f t="shared" si="21"/>
        <v>0.31703140427021376</v>
      </c>
      <c r="J212">
        <f t="shared" si="22"/>
        <v>1.9372592459781164</v>
      </c>
      <c r="K212">
        <f>A212/'Preliminary calcs'!$B$14</f>
        <v>8.125</v>
      </c>
      <c r="M212">
        <f t="shared" si="23"/>
        <v>0.0020954699985167888</v>
      </c>
    </row>
    <row r="213" spans="1:13" ht="12.75">
      <c r="A213">
        <v>0.66</v>
      </c>
      <c r="B213">
        <f>0.5*A213^2/'Preliminary calcs'!B$14</f>
        <v>2.7225</v>
      </c>
      <c r="C213">
        <f t="shared" si="18"/>
        <v>27.092979400741036</v>
      </c>
      <c r="D213">
        <f t="shared" si="19"/>
        <v>0.1004872871207932</v>
      </c>
      <c r="E213">
        <f>'Preliminary calcs'!B$16</f>
        <v>0.03</v>
      </c>
      <c r="F213">
        <v>0.025</v>
      </c>
      <c r="G213">
        <f t="shared" si="20"/>
        <v>6.074569752226011</v>
      </c>
      <c r="H213">
        <f t="shared" si="21"/>
        <v>0.3302051391401616</v>
      </c>
      <c r="J213">
        <f t="shared" si="22"/>
        <v>1.9670632343777799</v>
      </c>
      <c r="K213">
        <f>A213/'Preliminary calcs'!$B$14</f>
        <v>8.25</v>
      </c>
      <c r="M213">
        <f t="shared" si="23"/>
        <v>0.002182543915537519</v>
      </c>
    </row>
    <row r="214" spans="1:13" ht="12.75">
      <c r="A214">
        <v>0.67</v>
      </c>
      <c r="B214">
        <f>0.5*A214^2/'Preliminary calcs'!B$14</f>
        <v>2.8056250000000005</v>
      </c>
      <c r="C214">
        <f t="shared" si="18"/>
        <v>27.503479088631057</v>
      </c>
      <c r="D214">
        <f t="shared" si="19"/>
        <v>0.10200982177413855</v>
      </c>
      <c r="E214">
        <f>'Preliminary calcs'!B$16</f>
        <v>0.03</v>
      </c>
      <c r="F214">
        <v>0.025</v>
      </c>
      <c r="G214">
        <f t="shared" si="20"/>
        <v>6.323116289061258</v>
      </c>
      <c r="H214">
        <f t="shared" si="21"/>
        <v>0.34371578221877847</v>
      </c>
      <c r="J214">
        <f t="shared" si="22"/>
        <v>1.9968672227774436</v>
      </c>
      <c r="K214">
        <f>A214/'Preliminary calcs'!$B$14</f>
        <v>8.375</v>
      </c>
      <c r="M214">
        <f t="shared" si="23"/>
        <v>0.0022718446814887047</v>
      </c>
    </row>
    <row r="215" spans="1:13" ht="12.75">
      <c r="A215">
        <v>0.68</v>
      </c>
      <c r="B215">
        <f>0.5*A215^2/'Preliminary calcs'!B$14</f>
        <v>2.8900000000000006</v>
      </c>
      <c r="C215">
        <f t="shared" si="18"/>
        <v>27.913978776521066</v>
      </c>
      <c r="D215">
        <f t="shared" si="19"/>
        <v>0.10353235642748392</v>
      </c>
      <c r="E215">
        <f>'Preliminary calcs'!B$16</f>
        <v>0.03</v>
      </c>
      <c r="F215">
        <v>0.025</v>
      </c>
      <c r="G215">
        <f t="shared" si="20"/>
        <v>6.577923156287971</v>
      </c>
      <c r="H215">
        <f t="shared" si="21"/>
        <v>0.3575667281257924</v>
      </c>
      <c r="J215">
        <f t="shared" si="22"/>
        <v>2.026671211177107</v>
      </c>
      <c r="K215">
        <f>A215/'Preliminary calcs'!$B$14</f>
        <v>8.5</v>
      </c>
      <c r="M215">
        <f t="shared" si="23"/>
        <v>0.002363394733654795</v>
      </c>
    </row>
    <row r="216" spans="1:13" ht="12.75">
      <c r="A216">
        <v>0.69</v>
      </c>
      <c r="B216">
        <f>0.5*A216^2/'Preliminary calcs'!B$14</f>
        <v>2.9756249999999995</v>
      </c>
      <c r="C216">
        <f t="shared" si="18"/>
        <v>28.324478464411083</v>
      </c>
      <c r="D216">
        <f t="shared" si="19"/>
        <v>0.10505489108082923</v>
      </c>
      <c r="E216">
        <f>'Preliminary calcs'!B$16</f>
        <v>0.03</v>
      </c>
      <c r="F216">
        <v>0.025</v>
      </c>
      <c r="G216">
        <f t="shared" si="20"/>
        <v>6.839052492576549</v>
      </c>
      <c r="H216">
        <f t="shared" si="21"/>
        <v>0.3717613546326575</v>
      </c>
      <c r="J216">
        <f t="shared" si="22"/>
        <v>2.0564751995767696</v>
      </c>
      <c r="K216">
        <f>A216/'Preliminary calcs'!$B$14</f>
        <v>8.625</v>
      </c>
      <c r="M216">
        <f t="shared" si="23"/>
        <v>0.0024572163979588594</v>
      </c>
    </row>
    <row r="217" spans="1:13" ht="12.75">
      <c r="A217">
        <v>0.7</v>
      </c>
      <c r="B217">
        <f>0.5*A217^2/'Preliminary calcs'!B$14</f>
        <v>3.0624999999999996</v>
      </c>
      <c r="C217">
        <f t="shared" si="18"/>
        <v>28.734978152301096</v>
      </c>
      <c r="D217">
        <f t="shared" si="19"/>
        <v>0.1065774257341746</v>
      </c>
      <c r="E217">
        <f>'Preliminary calcs'!B$16</f>
        <v>0.03</v>
      </c>
      <c r="F217">
        <v>0.025</v>
      </c>
      <c r="G217">
        <f t="shared" si="20"/>
        <v>7.106566132714116</v>
      </c>
      <c r="H217">
        <f t="shared" si="21"/>
        <v>0.38630302299215685</v>
      </c>
      <c r="J217">
        <f t="shared" si="22"/>
        <v>2.086279187976433</v>
      </c>
      <c r="K217">
        <f>A217/'Preliminary calcs'!$B$14</f>
        <v>8.75</v>
      </c>
      <c r="M217">
        <f t="shared" si="23"/>
        <v>0.00255333189114117</v>
      </c>
    </row>
    <row r="218" spans="1:13" ht="12.75">
      <c r="A218">
        <v>0.71</v>
      </c>
      <c r="B218">
        <f>0.5*A218^2/'Preliminary calcs'!B$14</f>
        <v>3.150625</v>
      </c>
      <c r="C218">
        <f t="shared" si="18"/>
        <v>29.145477840191116</v>
      </c>
      <c r="D218">
        <f t="shared" si="19"/>
        <v>0.10809996038751994</v>
      </c>
      <c r="E218">
        <f>'Preliminary calcs'!B$16</f>
        <v>0.03</v>
      </c>
      <c r="F218">
        <v>0.025</v>
      </c>
      <c r="G218">
        <f t="shared" si="20"/>
        <v>7.380525613463363</v>
      </c>
      <c r="H218">
        <f t="shared" si="21"/>
        <v>0.4011950782568809</v>
      </c>
      <c r="J218">
        <f t="shared" si="22"/>
        <v>2.1160831763760966</v>
      </c>
      <c r="K218">
        <f>A218/'Preliminary calcs'!$B$14</f>
        <v>8.875</v>
      </c>
      <c r="M218">
        <f t="shared" si="23"/>
        <v>0.002651763322864211</v>
      </c>
    </row>
    <row r="219" spans="1:13" ht="12.75">
      <c r="A219">
        <v>0.72</v>
      </c>
      <c r="B219">
        <f>0.5*A219^2/'Preliminary calcs'!B$14</f>
        <v>3.2399999999999998</v>
      </c>
      <c r="C219">
        <f t="shared" si="18"/>
        <v>29.55597752808113</v>
      </c>
      <c r="D219">
        <f t="shared" si="19"/>
        <v>0.1096224950408653</v>
      </c>
      <c r="E219">
        <f>'Preliminary calcs'!B$16</f>
        <v>0.03</v>
      </c>
      <c r="F219">
        <v>0.025</v>
      </c>
      <c r="G219">
        <f t="shared" si="20"/>
        <v>7.660992179226561</v>
      </c>
      <c r="H219">
        <f t="shared" si="21"/>
        <v>0.41644084958711597</v>
      </c>
      <c r="J219">
        <f t="shared" si="22"/>
        <v>2.1458871647757594</v>
      </c>
      <c r="K219">
        <f>A219/'Preliminary calcs'!$B$14</f>
        <v>9</v>
      </c>
      <c r="M219">
        <f t="shared" si="23"/>
        <v>0.002752532697747733</v>
      </c>
    </row>
    <row r="220" spans="1:13" ht="12.75">
      <c r="A220">
        <v>0.73</v>
      </c>
      <c r="B220">
        <f>0.5*A220^2/'Preliminary calcs'!B$14</f>
        <v>3.3306249999999995</v>
      </c>
      <c r="C220">
        <f t="shared" si="18"/>
        <v>29.96647721597115</v>
      </c>
      <c r="D220">
        <f t="shared" si="19"/>
        <v>0.11114502969421063</v>
      </c>
      <c r="E220">
        <f>'Preliminary calcs'!B$16</f>
        <v>0.03</v>
      </c>
      <c r="F220">
        <v>0.025</v>
      </c>
      <c r="G220">
        <f t="shared" si="20"/>
        <v>7.948026787523827</v>
      </c>
      <c r="H220">
        <f t="shared" si="21"/>
        <v>0.4320436505486342</v>
      </c>
      <c r="J220">
        <f t="shared" si="22"/>
        <v>2.1756911531754226</v>
      </c>
      <c r="K220">
        <f>A220/'Preliminary calcs'!$B$14</f>
        <v>9.125</v>
      </c>
      <c r="M220">
        <f t="shared" si="23"/>
        <v>0.0028556619173370416</v>
      </c>
    </row>
    <row r="221" spans="1:13" ht="12.75">
      <c r="A221">
        <v>0.74</v>
      </c>
      <c r="B221">
        <f>0.5*A221^2/'Preliminary calcs'!B$14</f>
        <v>3.4225</v>
      </c>
      <c r="C221">
        <f t="shared" si="18"/>
        <v>30.37697690386116</v>
      </c>
      <c r="D221">
        <f t="shared" si="19"/>
        <v>0.11266756434755601</v>
      </c>
      <c r="E221">
        <f>'Preliminary calcs'!B$16</f>
        <v>0.03</v>
      </c>
      <c r="F221">
        <v>0.025</v>
      </c>
      <c r="G221">
        <f t="shared" si="20"/>
        <v>8.241690114294215</v>
      </c>
      <c r="H221">
        <f t="shared" si="21"/>
        <v>0.4480067794008535</v>
      </c>
      <c r="J221">
        <f t="shared" si="22"/>
        <v>2.2054951415750863</v>
      </c>
      <c r="K221">
        <f>A221/'Preliminary calcs'!$B$14</f>
        <v>9.25</v>
      </c>
      <c r="M221">
        <f t="shared" si="23"/>
        <v>0.002961172782007639</v>
      </c>
    </row>
    <row r="222" spans="1:13" ht="12.75">
      <c r="A222">
        <v>0.75</v>
      </c>
      <c r="B222">
        <f>0.5*A222^2/'Preliminary calcs'!B$14</f>
        <v>3.515625</v>
      </c>
      <c r="C222">
        <f t="shared" si="18"/>
        <v>30.78747659175118</v>
      </c>
      <c r="D222">
        <f t="shared" si="19"/>
        <v>0.11419009900090135</v>
      </c>
      <c r="E222">
        <f>'Preliminary calcs'!B$16</f>
        <v>0.03</v>
      </c>
      <c r="F222">
        <v>0.025</v>
      </c>
      <c r="G222">
        <f t="shared" si="20"/>
        <v>8.54204255902771</v>
      </c>
      <c r="H222">
        <f t="shared" si="21"/>
        <v>0.4643335193758069</v>
      </c>
      <c r="J222">
        <f t="shared" si="22"/>
        <v>2.2352991299747496</v>
      </c>
      <c r="K222">
        <f>A222/'Preliminary calcs'!$B$14</f>
        <v>9.375</v>
      </c>
      <c r="M222">
        <f t="shared" si="23"/>
        <v>0.0030690869928091022</v>
      </c>
    </row>
    <row r="223" spans="1:13" ht="12.75">
      <c r="A223">
        <v>0.76</v>
      </c>
      <c r="B223">
        <f>0.5*A223^2/'Preliminary calcs'!B$14</f>
        <v>3.61</v>
      </c>
      <c r="C223">
        <f t="shared" si="18"/>
        <v>31.197976279641196</v>
      </c>
      <c r="D223">
        <f t="shared" si="19"/>
        <v>0.1157126336542467</v>
      </c>
      <c r="E223">
        <f>'Preliminary calcs'!B$16</f>
        <v>0.03</v>
      </c>
      <c r="F223">
        <v>0.025</v>
      </c>
      <c r="G223">
        <f t="shared" si="20"/>
        <v>8.849144249735769</v>
      </c>
      <c r="H223">
        <f t="shared" si="21"/>
        <v>0.4810271389483327</v>
      </c>
      <c r="J223">
        <f t="shared" si="22"/>
        <v>2.265103118374413</v>
      </c>
      <c r="K223">
        <f>A223/'Preliminary calcs'!$B$14</f>
        <v>9.5</v>
      </c>
      <c r="M223">
        <f t="shared" si="23"/>
        <v>0.0031794261532509657</v>
      </c>
    </row>
    <row r="224" spans="1:13" ht="12.75">
      <c r="A224">
        <v>0.77</v>
      </c>
      <c r="B224">
        <f>0.5*A224^2/'Preliminary calcs'!B$14</f>
        <v>3.705625</v>
      </c>
      <c r="C224">
        <f t="shared" si="18"/>
        <v>31.60847596753121</v>
      </c>
      <c r="D224">
        <f t="shared" si="19"/>
        <v>0.11723516830759205</v>
      </c>
      <c r="E224">
        <f>'Preliminary calcs'!B$16</f>
        <v>0.03</v>
      </c>
      <c r="F224">
        <v>0.025</v>
      </c>
      <c r="G224">
        <f t="shared" si="20"/>
        <v>9.163055047767507</v>
      </c>
      <c r="H224">
        <f t="shared" si="21"/>
        <v>0.4980908920978765</v>
      </c>
      <c r="J224">
        <f t="shared" si="22"/>
        <v>2.2949071067740765</v>
      </c>
      <c r="K224">
        <f>A224/'Preliminary calcs'!$B$14</f>
        <v>9.625</v>
      </c>
      <c r="M224">
        <f t="shared" si="23"/>
        <v>0.0032922117710331347</v>
      </c>
    </row>
    <row r="225" spans="1:13" ht="12.75">
      <c r="A225">
        <v>0.78</v>
      </c>
      <c r="B225">
        <f>0.5*A225^2/'Preliminary calcs'!B$14</f>
        <v>3.8025</v>
      </c>
      <c r="C225">
        <f t="shared" si="18"/>
        <v>32.01897565542122</v>
      </c>
      <c r="D225">
        <f t="shared" si="19"/>
        <v>0.11875770296093742</v>
      </c>
      <c r="E225">
        <f>'Preliminary calcs'!B$16</f>
        <v>0.03</v>
      </c>
      <c r="F225">
        <v>0.025</v>
      </c>
      <c r="G225">
        <f t="shared" si="20"/>
        <v>9.483834552478333</v>
      </c>
      <c r="H225">
        <f t="shared" si="21"/>
        <v>0.5155280185622709</v>
      </c>
      <c r="J225">
        <f t="shared" si="22"/>
        <v>2.3247110951737397</v>
      </c>
      <c r="K225">
        <f>A225/'Preliminary calcs'!$B$14</f>
        <v>9.75</v>
      </c>
      <c r="M225">
        <f t="shared" si="23"/>
        <v>0.0034074652597232934</v>
      </c>
    </row>
    <row r="226" spans="1:13" ht="12.75">
      <c r="A226">
        <v>0.79</v>
      </c>
      <c r="B226">
        <f>0.5*A226^2/'Preliminary calcs'!B$14</f>
        <v>3.9006250000000007</v>
      </c>
      <c r="C226">
        <f t="shared" si="18"/>
        <v>32.429475343311246</v>
      </c>
      <c r="D226">
        <f t="shared" si="19"/>
        <v>0.12028023761428276</v>
      </c>
      <c r="E226">
        <f>'Preliminary calcs'!B$16</f>
        <v>0.03</v>
      </c>
      <c r="F226">
        <v>0.025</v>
      </c>
      <c r="G226">
        <f t="shared" si="20"/>
        <v>9.811542105757376</v>
      </c>
      <c r="H226">
        <f t="shared" si="21"/>
        <v>0.5333417440838412</v>
      </c>
      <c r="J226">
        <f t="shared" si="22"/>
        <v>2.3545150835734034</v>
      </c>
      <c r="K226">
        <f>A226/'Preliminary calcs'!$B$14</f>
        <v>9.875</v>
      </c>
      <c r="M226">
        <f t="shared" si="23"/>
        <v>0.0035252079403835603</v>
      </c>
    </row>
    <row r="227" spans="1:13" ht="12.75">
      <c r="A227">
        <v>0.8</v>
      </c>
      <c r="B227">
        <f>0.5*A227^2/'Preliminary calcs'!B$14</f>
        <v>4.000000000000001</v>
      </c>
      <c r="C227">
        <f t="shared" si="18"/>
        <v>32.839975031201256</v>
      </c>
      <c r="D227">
        <f t="shared" si="19"/>
        <v>0.12180277226762815</v>
      </c>
      <c r="E227">
        <f>'Preliminary calcs'!B$16</f>
        <v>0.03</v>
      </c>
      <c r="F227">
        <v>0.025</v>
      </c>
      <c r="G227">
        <f t="shared" si="20"/>
        <v>10.146236796419752</v>
      </c>
      <c r="H227">
        <f t="shared" si="21"/>
        <v>0.5515352806481623</v>
      </c>
      <c r="J227">
        <f t="shared" si="22"/>
        <v>2.3843190719730667</v>
      </c>
      <c r="K227">
        <f>A227/'Preliminary calcs'!$B$14</f>
        <v>10</v>
      </c>
      <c r="M227">
        <f t="shared" si="23"/>
        <v>0.0036454610431486075</v>
      </c>
    </row>
    <row r="228" spans="1:13" ht="12.75">
      <c r="A228">
        <v>0.81</v>
      </c>
      <c r="B228">
        <f>0.5*A228^2/'Preliminary calcs'!B$14</f>
        <v>4.100625000000001</v>
      </c>
      <c r="C228">
        <f aca="true" t="shared" si="24" ref="C228:C247">A228+2*SQRT(A228^2+(A228/0.05)^2)</f>
        <v>33.25047471909127</v>
      </c>
      <c r="D228">
        <f aca="true" t="shared" si="25" ref="D228:D247">B228/C228</f>
        <v>0.12332530692097349</v>
      </c>
      <c r="E228">
        <f>'Preliminary calcs'!B$16</f>
        <v>0.03</v>
      </c>
      <c r="F228">
        <v>0.025</v>
      </c>
      <c r="G228">
        <f aca="true" t="shared" si="26" ref="G228:G247">1.49/F228*B228*D228^(2/3)*SQRT(E228)</f>
        <v>10.487977464469363</v>
      </c>
      <c r="H228">
        <f aca="true" t="shared" si="27" ref="H228:H247">A228^(8/3)</f>
        <v>0.5701118267157784</v>
      </c>
      <c r="J228">
        <f t="shared" si="22"/>
        <v>2.4141230603727304</v>
      </c>
      <c r="K228">
        <f>A228/'Preliminary calcs'!$B$14</f>
        <v>10.125</v>
      </c>
      <c r="M228">
        <f t="shared" si="23"/>
        <v>0.0037682457087572447</v>
      </c>
    </row>
    <row r="229" spans="1:13" ht="12.75">
      <c r="A229">
        <v>0.82</v>
      </c>
      <c r="B229">
        <f>0.5*A229^2/'Preliminary calcs'!B$14</f>
        <v>4.202499999999999</v>
      </c>
      <c r="C229">
        <f t="shared" si="24"/>
        <v>33.66097440698129</v>
      </c>
      <c r="D229">
        <f t="shared" si="25"/>
        <v>0.12484784157431877</v>
      </c>
      <c r="E229">
        <f>'Preliminary calcs'!B$16</f>
        <v>0.03</v>
      </c>
      <c r="F229">
        <v>0.025</v>
      </c>
      <c r="G229">
        <f t="shared" si="26"/>
        <v>10.836822705237578</v>
      </c>
      <c r="H229">
        <f t="shared" si="27"/>
        <v>0.5890745674471762</v>
      </c>
      <c r="J229">
        <f t="shared" si="22"/>
        <v>2.4439270487723928</v>
      </c>
      <c r="K229">
        <f>A229/'Preliminary calcs'!$B$14</f>
        <v>10.25</v>
      </c>
      <c r="M229">
        <f t="shared" si="23"/>
        <v>0.0038935829900394094</v>
      </c>
    </row>
    <row r="230" spans="1:13" ht="12.75">
      <c r="A230">
        <v>0.83</v>
      </c>
      <c r="B230">
        <f>0.5*A230^2/'Preliminary calcs'!B$14</f>
        <v>4.305625</v>
      </c>
      <c r="C230">
        <f t="shared" si="24"/>
        <v>34.0714740948713</v>
      </c>
      <c r="D230">
        <f t="shared" si="25"/>
        <v>0.12637037622766417</v>
      </c>
      <c r="E230">
        <f>'Preliminary calcs'!B$16</f>
        <v>0.03</v>
      </c>
      <c r="F230">
        <v>0.025</v>
      </c>
      <c r="G230">
        <f t="shared" si="26"/>
        <v>11.192830873402967</v>
      </c>
      <c r="H230">
        <f t="shared" si="27"/>
        <v>0.608426674921291</v>
      </c>
      <c r="J230">
        <f t="shared" si="22"/>
        <v>2.4737310371720564</v>
      </c>
      <c r="K230">
        <f>A230/'Preliminary calcs'!$B$14</f>
        <v>10.375</v>
      </c>
      <c r="M230">
        <f t="shared" si="23"/>
        <v>0.004021493853360435</v>
      </c>
    </row>
    <row r="231" spans="1:13" ht="12.75">
      <c r="A231">
        <v>0.84</v>
      </c>
      <c r="B231">
        <f>0.5*A231^2/'Preliminary calcs'!B$14</f>
        <v>4.409999999999999</v>
      </c>
      <c r="C231">
        <f t="shared" si="24"/>
        <v>34.481973782761315</v>
      </c>
      <c r="D231">
        <f t="shared" si="25"/>
        <v>0.12789291088100951</v>
      </c>
      <c r="E231">
        <f>'Preliminary calcs'!B$16</f>
        <v>0.03</v>
      </c>
      <c r="F231">
        <v>0.025</v>
      </c>
      <c r="G231">
        <f t="shared" si="26"/>
        <v>11.556060086896762</v>
      </c>
      <c r="H231">
        <f t="shared" si="27"/>
        <v>0.6281713083478048</v>
      </c>
      <c r="J231">
        <f t="shared" si="22"/>
        <v>2.5035350255717197</v>
      </c>
      <c r="K231">
        <f>A231/'Preliminary calcs'!$B$14</f>
        <v>10.5</v>
      </c>
      <c r="M231">
        <f t="shared" si="23"/>
        <v>0.0041519991800242455</v>
      </c>
    </row>
    <row r="232" spans="1:13" ht="12.75">
      <c r="A232">
        <v>0.85</v>
      </c>
      <c r="B232">
        <f>0.5*A232^2/'Preliminary calcs'!B$14</f>
        <v>4.515624999999999</v>
      </c>
      <c r="C232">
        <f t="shared" si="24"/>
        <v>34.89247347065134</v>
      </c>
      <c r="D232">
        <f t="shared" si="25"/>
        <v>0.12941544553435483</v>
      </c>
      <c r="E232">
        <f>'Preliminary calcs'!B$16</f>
        <v>0.03</v>
      </c>
      <c r="F232">
        <v>0.025</v>
      </c>
      <c r="G232">
        <f t="shared" si="26"/>
        <v>11.926568230698884</v>
      </c>
      <c r="H232">
        <f t="shared" si="27"/>
        <v>0.6483116142734897</v>
      </c>
      <c r="J232">
        <f t="shared" si="22"/>
        <v>2.5333390139713825</v>
      </c>
      <c r="K232">
        <f>A232/'Preliminary calcs'!$B$14</f>
        <v>10.625</v>
      </c>
      <c r="M232">
        <f t="shared" si="23"/>
        <v>0.0042851197676372355</v>
      </c>
    </row>
    <row r="233" spans="1:13" ht="12.75">
      <c r="A233">
        <v>0.86</v>
      </c>
      <c r="B233">
        <f>0.5*A233^2/'Preliminary calcs'!B$14</f>
        <v>4.6225</v>
      </c>
      <c r="C233">
        <f t="shared" si="24"/>
        <v>35.30297315854135</v>
      </c>
      <c r="D233">
        <f t="shared" si="25"/>
        <v>0.13093798018770023</v>
      </c>
      <c r="E233">
        <f>'Preliminary calcs'!B$16</f>
        <v>0.03</v>
      </c>
      <c r="F233">
        <v>0.025</v>
      </c>
      <c r="G233">
        <f t="shared" si="26"/>
        <v>12.304412960528586</v>
      </c>
      <c r="H233">
        <f t="shared" si="27"/>
        <v>0.6688507267828278</v>
      </c>
      <c r="J233">
        <f t="shared" si="22"/>
        <v>2.563143002371046</v>
      </c>
      <c r="K233">
        <f>A233/'Preliminary calcs'!$B$14</f>
        <v>10.75</v>
      </c>
      <c r="M233">
        <f t="shared" si="23"/>
        <v>0.004420876331434292</v>
      </c>
    </row>
    <row r="234" spans="1:13" ht="12.75">
      <c r="A234">
        <v>0.87</v>
      </c>
      <c r="B234">
        <f>0.5*A234^2/'Preliminary calcs'!B$14</f>
        <v>4.730625</v>
      </c>
      <c r="C234">
        <f t="shared" si="24"/>
        <v>35.71347284643136</v>
      </c>
      <c r="D234">
        <f t="shared" si="25"/>
        <v>0.1324605148410456</v>
      </c>
      <c r="E234">
        <f>'Preliminary calcs'!B$16</f>
        <v>0.03</v>
      </c>
      <c r="F234">
        <v>0.025</v>
      </c>
      <c r="G234">
        <f t="shared" si="26"/>
        <v>12.689651706434015</v>
      </c>
      <c r="H234">
        <f t="shared" si="27"/>
        <v>0.6897917676931354</v>
      </c>
      <c r="J234">
        <f t="shared" si="22"/>
        <v>2.5929469907707103</v>
      </c>
      <c r="K234">
        <f>A234/'Preliminary calcs'!$B$14</f>
        <v>10.875</v>
      </c>
      <c r="M234">
        <f t="shared" si="23"/>
        <v>0.004559289505568491</v>
      </c>
    </row>
    <row r="235" spans="1:13" ht="12.75">
      <c r="A235">
        <v>0.88</v>
      </c>
      <c r="B235">
        <f>0.5*A235^2/'Preliminary calcs'!B$14</f>
        <v>4.84</v>
      </c>
      <c r="C235">
        <f t="shared" si="24"/>
        <v>36.12397253432138</v>
      </c>
      <c r="D235">
        <f t="shared" si="25"/>
        <v>0.1339830494943909</v>
      </c>
      <c r="E235">
        <f>'Preliminary calcs'!B$16</f>
        <v>0.03</v>
      </c>
      <c r="F235">
        <v>0.025</v>
      </c>
      <c r="G235">
        <f t="shared" si="26"/>
        <v>13.082341676284575</v>
      </c>
      <c r="H235">
        <f t="shared" si="27"/>
        <v>0.7111378467444023</v>
      </c>
      <c r="J235">
        <f t="shared" si="22"/>
        <v>2.6227509791703736</v>
      </c>
      <c r="K235">
        <f>A235/'Preliminary calcs'!$B$14</f>
        <v>11</v>
      </c>
      <c r="M235">
        <f t="shared" si="23"/>
        <v>0.004700379844365882</v>
      </c>
    </row>
    <row r="236" spans="1:13" ht="12.75">
      <c r="A236">
        <v>0.89</v>
      </c>
      <c r="B236">
        <f>0.5*A236^2/'Preliminary calcs'!B$14</f>
        <v>4.9506250000000005</v>
      </c>
      <c r="C236">
        <f t="shared" si="24"/>
        <v>36.5344722222114</v>
      </c>
      <c r="D236">
        <f t="shared" si="25"/>
        <v>0.13550558414773628</v>
      </c>
      <c r="E236">
        <f>'Preliminary calcs'!B$16</f>
        <v>0.03</v>
      </c>
      <c r="F236">
        <v>0.025</v>
      </c>
      <c r="G236">
        <f t="shared" si="26"/>
        <v>13.482539859169785</v>
      </c>
      <c r="H236">
        <f t="shared" si="27"/>
        <v>0.7328920617840478</v>
      </c>
      <c r="J236">
        <f t="shared" si="22"/>
        <v>2.6525549675700364</v>
      </c>
      <c r="K236">
        <f>A236/'Preliminary calcs'!$B$14</f>
        <v>11.125</v>
      </c>
      <c r="M236">
        <f t="shared" si="23"/>
        <v>0.004844167823546666</v>
      </c>
    </row>
    <row r="237" spans="1:13" ht="12.75">
      <c r="A237">
        <v>0.9</v>
      </c>
      <c r="B237">
        <f>0.5*A237^2/'Preliminary calcs'!B$14</f>
        <v>5.0625</v>
      </c>
      <c r="C237">
        <f t="shared" si="24"/>
        <v>36.944971910101415</v>
      </c>
      <c r="D237">
        <f t="shared" si="25"/>
        <v>0.13702811880108162</v>
      </c>
      <c r="E237">
        <f>'Preliminary calcs'!B$16</f>
        <v>0.03</v>
      </c>
      <c r="F237">
        <v>0.025</v>
      </c>
      <c r="G237">
        <f t="shared" si="26"/>
        <v>13.890303028708141</v>
      </c>
      <c r="H237">
        <f t="shared" si="27"/>
        <v>0.7550574989467878</v>
      </c>
      <c r="J237">
        <f t="shared" si="22"/>
        <v>2.6823589559696996</v>
      </c>
      <c r="K237">
        <f>A237/'Preliminary calcs'!$B$14</f>
        <v>11.25</v>
      </c>
      <c r="M237">
        <f t="shared" si="23"/>
        <v>0.0049906738414140376</v>
      </c>
    </row>
    <row r="238" spans="1:13" ht="12.75">
      <c r="A238">
        <v>0.91</v>
      </c>
      <c r="B238">
        <f>0.5*A238^2/'Preliminary calcs'!B$14</f>
        <v>5.175625</v>
      </c>
      <c r="C238">
        <f t="shared" si="24"/>
        <v>37.355471597991425</v>
      </c>
      <c r="D238">
        <f t="shared" si="25"/>
        <v>0.138550653454427</v>
      </c>
      <c r="E238">
        <f>'Preliminary calcs'!B$16</f>
        <v>0.03</v>
      </c>
      <c r="F238">
        <v>0.025</v>
      </c>
      <c r="G238">
        <f t="shared" si="26"/>
        <v>14.305687746269422</v>
      </c>
      <c r="H238">
        <f t="shared" si="27"/>
        <v>0.7776372328297936</v>
      </c>
      <c r="J238">
        <f t="shared" si="22"/>
        <v>2.712162944369363</v>
      </c>
      <c r="K238">
        <f>A238/'Preliminary calcs'!$B$14</f>
        <v>11.375</v>
      </c>
      <c r="M238">
        <f t="shared" si="23"/>
        <v>0.005139918220011953</v>
      </c>
    </row>
    <row r="239" spans="1:13" ht="12.75">
      <c r="A239">
        <v>0.92</v>
      </c>
      <c r="B239">
        <f>0.5*A239^2/'Preliminary calcs'!B$14</f>
        <v>5.29</v>
      </c>
      <c r="C239">
        <f t="shared" si="24"/>
        <v>37.76597128588145</v>
      </c>
      <c r="D239">
        <f t="shared" si="25"/>
        <v>0.1400731881077723</v>
      </c>
      <c r="E239">
        <f>'Preliminary calcs'!B$16</f>
        <v>0.03</v>
      </c>
      <c r="F239">
        <v>0.025</v>
      </c>
      <c r="G239">
        <f t="shared" si="26"/>
        <v>14.728750364113568</v>
      </c>
      <c r="H239">
        <f t="shared" si="27"/>
        <v>0.8006343266633176</v>
      </c>
      <c r="J239">
        <f t="shared" si="22"/>
        <v>2.741966932769026</v>
      </c>
      <c r="K239">
        <f>A239/'Preliminary calcs'!$B$14</f>
        <v>11.5</v>
      </c>
      <c r="M239">
        <f t="shared" si="23"/>
        <v>0.00529192120625287</v>
      </c>
    </row>
    <row r="240" spans="1:13" ht="12.75">
      <c r="A240">
        <v>0.93</v>
      </c>
      <c r="B240">
        <f>0.5*A240^2/'Preliminary calcs'!B$14</f>
        <v>5.405625000000001</v>
      </c>
      <c r="C240">
        <f t="shared" si="24"/>
        <v>38.176470973771465</v>
      </c>
      <c r="D240">
        <f t="shared" si="25"/>
        <v>0.14159572276111768</v>
      </c>
      <c r="E240">
        <f>'Preliminary calcs'!B$16</f>
        <v>0.03</v>
      </c>
      <c r="F240">
        <v>0.025</v>
      </c>
      <c r="G240">
        <f t="shared" si="26"/>
        <v>15.159547028449241</v>
      </c>
      <c r="H240">
        <f t="shared" si="27"/>
        <v>0.8240518324769516</v>
      </c>
      <c r="J240">
        <f t="shared" si="22"/>
        <v>2.77177092116869</v>
      </c>
      <c r="K240">
        <f>A240/'Preliminary calcs'!$B$14</f>
        <v>11.625</v>
      </c>
      <c r="M240">
        <f t="shared" si="23"/>
        <v>0.005446702973016702</v>
      </c>
    </row>
    <row r="241" spans="1:13" ht="12.75">
      <c r="A241">
        <v>0.94</v>
      </c>
      <c r="B241">
        <f>0.5*A241^2/'Preliminary calcs'!B$14</f>
        <v>5.522499999999999</v>
      </c>
      <c r="C241">
        <f t="shared" si="24"/>
        <v>38.58697066166147</v>
      </c>
      <c r="D241">
        <f t="shared" si="25"/>
        <v>0.14311825741446305</v>
      </c>
      <c r="E241">
        <f>'Preliminary calcs'!B$16</f>
        <v>0.03</v>
      </c>
      <c r="F241">
        <v>0.025</v>
      </c>
      <c r="G241">
        <f t="shared" si="26"/>
        <v>15.5981336824149</v>
      </c>
      <c r="H241">
        <f t="shared" si="27"/>
        <v>0.8478927912616748</v>
      </c>
      <c r="J241">
        <f t="shared" si="22"/>
        <v>2.8015749095683526</v>
      </c>
      <c r="K241">
        <f>A241/'Preliminary calcs'!$B$14</f>
        <v>11.749999999999998</v>
      </c>
      <c r="M241">
        <f t="shared" si="23"/>
        <v>0.005604283620221875</v>
      </c>
    </row>
    <row r="242" spans="1:13" ht="12.75">
      <c r="A242">
        <v>0.95</v>
      </c>
      <c r="B242">
        <f>0.5*A242^2/'Preliminary calcs'!B$14</f>
        <v>5.640625</v>
      </c>
      <c r="C242">
        <f t="shared" si="24"/>
        <v>38.99747034955149</v>
      </c>
      <c r="D242">
        <f t="shared" si="25"/>
        <v>0.1446407920678084</v>
      </c>
      <c r="E242">
        <f>'Preliminary calcs'!B$16</f>
        <v>0.03</v>
      </c>
      <c r="F242">
        <v>0.025</v>
      </c>
      <c r="G242">
        <f t="shared" si="26"/>
        <v>16.044566068985265</v>
      </c>
      <c r="H242">
        <f t="shared" si="27"/>
        <v>0.8721602331278452</v>
      </c>
      <c r="J242">
        <f t="shared" si="22"/>
        <v>2.831378897968017</v>
      </c>
      <c r="K242">
        <f>A242/'Preliminary calcs'!$B$14</f>
        <v>11.875</v>
      </c>
      <c r="M242">
        <f t="shared" si="23"/>
        <v>0.0057646831758695755</v>
      </c>
    </row>
    <row r="243" spans="1:13" ht="12.75">
      <c r="A243">
        <v>0.96</v>
      </c>
      <c r="B243">
        <f>0.5*A243^2/'Preliminary calcs'!B$14</f>
        <v>5.76</v>
      </c>
      <c r="C243">
        <f t="shared" si="24"/>
        <v>39.40797003744151</v>
      </c>
      <c r="D243">
        <f t="shared" si="25"/>
        <v>0.14616332672115373</v>
      </c>
      <c r="E243">
        <f>'Preliminary calcs'!B$16</f>
        <v>0.03</v>
      </c>
      <c r="F243">
        <v>0.025</v>
      </c>
      <c r="G243">
        <f t="shared" si="26"/>
        <v>16.498899733805693</v>
      </c>
      <c r="H243">
        <f t="shared" si="27"/>
        <v>0.8968571774592712</v>
      </c>
      <c r="J243">
        <f t="shared" si="22"/>
        <v>2.86118288636768</v>
      </c>
      <c r="K243">
        <f>A243/'Preliminary calcs'!$B$14</f>
        <v>12</v>
      </c>
      <c r="M243">
        <f t="shared" si="23"/>
        <v>0.005927921597062176</v>
      </c>
    </row>
    <row r="244" spans="1:13" ht="12.75">
      <c r="A244">
        <v>0.97</v>
      </c>
      <c r="B244">
        <f>0.5*A244^2/'Preliminary calcs'!B$14</f>
        <v>5.880624999999999</v>
      </c>
      <c r="C244">
        <f t="shared" si="24"/>
        <v>39.81846972533152</v>
      </c>
      <c r="D244">
        <f t="shared" si="25"/>
        <v>0.1476858613744991</v>
      </c>
      <c r="E244">
        <f>'Preliminary calcs'!B$16</f>
        <v>0.03</v>
      </c>
      <c r="F244">
        <v>0.025</v>
      </c>
      <c r="G244">
        <f t="shared" si="26"/>
        <v>16.96119002795712</v>
      </c>
      <c r="H244">
        <f t="shared" si="27"/>
        <v>0.9219866330635104</v>
      </c>
      <c r="J244">
        <f t="shared" si="22"/>
        <v>2.890986874767343</v>
      </c>
      <c r="K244">
        <f>A244/'Preliminary calcs'!$B$14</f>
        <v>12.125</v>
      </c>
      <c r="M244">
        <f t="shared" si="23"/>
        <v>0.006094018770996594</v>
      </c>
    </row>
    <row r="245" spans="1:13" ht="12.75">
      <c r="A245">
        <v>0.98</v>
      </c>
      <c r="B245">
        <f>0.5*A245^2/'Preliminary calcs'!B$14</f>
        <v>6.0024999999999995</v>
      </c>
      <c r="C245">
        <f t="shared" si="24"/>
        <v>40.228969413221535</v>
      </c>
      <c r="D245">
        <f t="shared" si="25"/>
        <v>0.14920839602784444</v>
      </c>
      <c r="E245">
        <f>'Preliminary calcs'!B$16</f>
        <v>0.03</v>
      </c>
      <c r="F245">
        <v>0.025</v>
      </c>
      <c r="G245">
        <f t="shared" si="26"/>
        <v>17.43149211065382</v>
      </c>
      <c r="H245">
        <f t="shared" si="27"/>
        <v>0.9475515983185171</v>
      </c>
      <c r="J245">
        <f t="shared" si="22"/>
        <v>2.920790863167006</v>
      </c>
      <c r="K245">
        <f>A245/'Preliminary calcs'!$B$14</f>
        <v>12.25</v>
      </c>
      <c r="M245">
        <f t="shared" si="23"/>
        <v>0.00626299451593362</v>
      </c>
    </row>
    <row r="246" spans="1:13" ht="12.75">
      <c r="A246">
        <v>0.99</v>
      </c>
      <c r="B246">
        <f>0.5*A246^2/'Preliminary calcs'!B$14</f>
        <v>6.125624999999999</v>
      </c>
      <c r="C246">
        <f t="shared" si="24"/>
        <v>40.63946910111155</v>
      </c>
      <c r="D246">
        <f t="shared" si="25"/>
        <v>0.15073093068118978</v>
      </c>
      <c r="E246">
        <f>'Preliminary calcs'!B$16</f>
        <v>0.03</v>
      </c>
      <c r="F246">
        <v>0.025</v>
      </c>
      <c r="G246">
        <f t="shared" si="26"/>
        <v>17.909860951876478</v>
      </c>
      <c r="H246">
        <f t="shared" si="27"/>
        <v>0.9735550613157707</v>
      </c>
      <c r="J246">
        <f t="shared" si="22"/>
        <v>2.95059485156667</v>
      </c>
      <c r="K246">
        <f>A246/'Preliminary calcs'!$B$14</f>
        <v>12.375</v>
      </c>
      <c r="M246">
        <f t="shared" si="23"/>
        <v>0.00643486858214393</v>
      </c>
    </row>
    <row r="247" spans="1:13" ht="12.75">
      <c r="A247">
        <v>1</v>
      </c>
      <c r="B247">
        <f>0.5*A247^2/'Preliminary calcs'!B$14</f>
        <v>6.25</v>
      </c>
      <c r="C247">
        <f t="shared" si="24"/>
        <v>41.049968789001575</v>
      </c>
      <c r="D247">
        <f t="shared" si="25"/>
        <v>0.15225346533453513</v>
      </c>
      <c r="E247">
        <f>'Preliminary calcs'!B$16</f>
        <v>0.03</v>
      </c>
      <c r="F247">
        <v>0.025</v>
      </c>
      <c r="G247">
        <f t="shared" si="26"/>
        <v>18.396351334942576</v>
      </c>
      <c r="H247">
        <f t="shared" si="27"/>
        <v>1</v>
      </c>
      <c r="J247">
        <f t="shared" si="22"/>
        <v>2.9803988399663335</v>
      </c>
      <c r="K247">
        <f>A247/'Preliminary calcs'!$B$14</f>
        <v>12.5</v>
      </c>
      <c r="M247">
        <f t="shared" si="23"/>
        <v>0.006609660652831627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">
      <selection activeCell="A3" sqref="A3"/>
    </sheetView>
  </sheetViews>
  <sheetFormatPr defaultColWidth="9.140625" defaultRowHeight="12.75"/>
  <cols>
    <col min="7" max="10" width="12.421875" style="0" bestFit="1" customWidth="1"/>
    <col min="11" max="11" width="11.421875" style="0" bestFit="1" customWidth="1"/>
    <col min="13" max="13" width="12.421875" style="0" bestFit="1" customWidth="1"/>
    <col min="15" max="16" width="12.421875" style="0" bestFit="1" customWidth="1"/>
  </cols>
  <sheetData>
    <row r="1" spans="1:30" ht="12.75">
      <c r="A1" t="s">
        <v>106</v>
      </c>
      <c r="F1" t="s">
        <v>117</v>
      </c>
      <c r="H1" t="s">
        <v>111</v>
      </c>
      <c r="I1" t="s">
        <v>113</v>
      </c>
      <c r="J1" t="s">
        <v>114</v>
      </c>
      <c r="K1" t="s">
        <v>115</v>
      </c>
      <c r="L1" t="s">
        <v>116</v>
      </c>
      <c r="N1" t="s">
        <v>111</v>
      </c>
      <c r="O1" t="s">
        <v>113</v>
      </c>
      <c r="P1" t="s">
        <v>114</v>
      </c>
      <c r="Q1" t="s">
        <v>115</v>
      </c>
      <c r="R1" t="s">
        <v>119</v>
      </c>
      <c r="S1" t="s">
        <v>118</v>
      </c>
      <c r="U1" t="s">
        <v>123</v>
      </c>
      <c r="V1" t="s">
        <v>122</v>
      </c>
      <c r="W1" t="s">
        <v>127</v>
      </c>
      <c r="X1" t="s">
        <v>100</v>
      </c>
      <c r="Y1" t="s">
        <v>125</v>
      </c>
      <c r="Z1" t="s">
        <v>146</v>
      </c>
      <c r="AA1" t="s">
        <v>149</v>
      </c>
      <c r="AB1" t="s">
        <v>150</v>
      </c>
      <c r="AC1" t="s">
        <v>151</v>
      </c>
      <c r="AD1" t="s">
        <v>152</v>
      </c>
    </row>
    <row r="2" spans="1:30" ht="12.75">
      <c r="A2">
        <f>B14*('Preliminary calcs'!B16*100)^'Sed calcs 2'!B15*('Erosion calcs'!B7*1000)^'Sed calcs 2'!B16</f>
        <v>59026.40513179137</v>
      </c>
      <c r="B2" t="s">
        <v>94</v>
      </c>
      <c r="D2" t="s">
        <v>107</v>
      </c>
      <c r="F2" t="s">
        <v>66</v>
      </c>
      <c r="G2" t="s">
        <v>108</v>
      </c>
      <c r="H2" t="s">
        <v>112</v>
      </c>
      <c r="I2" t="s">
        <v>95</v>
      </c>
      <c r="J2" t="s">
        <v>72</v>
      </c>
      <c r="K2" t="s">
        <v>95</v>
      </c>
      <c r="L2" t="s">
        <v>66</v>
      </c>
      <c r="M2" t="s">
        <v>108</v>
      </c>
      <c r="N2" t="s">
        <v>112</v>
      </c>
      <c r="O2" t="s">
        <v>95</v>
      </c>
      <c r="P2" t="s">
        <v>72</v>
      </c>
      <c r="Q2" t="s">
        <v>95</v>
      </c>
      <c r="R2" t="s">
        <v>120</v>
      </c>
      <c r="S2" t="s">
        <v>121</v>
      </c>
      <c r="U2" t="s">
        <v>124</v>
      </c>
      <c r="X2" t="s">
        <v>128</v>
      </c>
      <c r="AA2" t="s">
        <v>153</v>
      </c>
      <c r="AD2" t="s">
        <v>154</v>
      </c>
    </row>
    <row r="3" spans="1:24" ht="12.75">
      <c r="A3">
        <f>A2/1000^2*2.204*28.32</f>
        <v>3.6842676565044594</v>
      </c>
      <c r="B3" t="s">
        <v>93</v>
      </c>
      <c r="X3" t="s">
        <v>129</v>
      </c>
    </row>
    <row r="4" spans="1:30" ht="12.75">
      <c r="A4" s="4"/>
      <c r="B4" s="4"/>
      <c r="C4" s="4"/>
      <c r="D4">
        <v>0</v>
      </c>
      <c r="E4" s="1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6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f>IF(AND(Y4&lt;&gt;0,Y4&lt;=25),D4,0)</f>
        <v>0</v>
      </c>
      <c r="AA4">
        <v>0</v>
      </c>
      <c r="AB4">
        <v>0</v>
      </c>
      <c r="AC4">
        <v>0</v>
      </c>
      <c r="AD4">
        <v>0</v>
      </c>
    </row>
    <row r="5" spans="2:30" ht="12.75">
      <c r="B5" s="4"/>
      <c r="C5" s="4"/>
      <c r="D5">
        <v>0.1</v>
      </c>
      <c r="E5" s="1">
        <v>1</v>
      </c>
      <c r="F5">
        <f>IF('Hyd routing'!F9&lt;&gt;0.000001,'Hyd routing'!AC9,0)</f>
        <v>0</v>
      </c>
      <c r="G5">
        <f>IF('Hyd routing'!F9&lt;&gt;0.000001,F5*$A$3,0)</f>
        <v>0</v>
      </c>
      <c r="H5">
        <f>IF('Hyd routing'!F9&lt;&gt;0.000001,AVERAGE(G4:G5)*(D5-D4)*3600,0)</f>
        <v>0</v>
      </c>
      <c r="I5">
        <f>IF('Hyd routing'!F9&lt;&gt;0.000001,'Hyd routing'!U9,0)</f>
        <v>0</v>
      </c>
      <c r="J5">
        <f>IF('Hyd routing'!F9&lt;&gt;0.000001,I5*$A$11,0)</f>
        <v>0</v>
      </c>
      <c r="K5">
        <f>IF('Hyd routing'!F9&lt;&gt;0.000001,AVERAGE(J4:J5)*(D5-D4)*3600,0)</f>
        <v>0</v>
      </c>
      <c r="L5" s="6">
        <f>IF('Hyd routing'!F9&lt;&gt;0.000001,'Hyd routing'!AD9,0)</f>
        <v>0</v>
      </c>
      <c r="M5">
        <f>IF('Hyd routing'!F9&lt;&gt;0.000001,L5*$A$3,0)</f>
        <v>0</v>
      </c>
      <c r="N5">
        <f>IF('Hyd routing'!F9&lt;&gt;0.000001,AVERAGE(M4:M5)*(D5-D4)*3600,0)</f>
        <v>0</v>
      </c>
      <c r="O5">
        <f>IF('Hyd routing'!F9&lt;&gt;0.000001,'Hyd routing'!V9,0)</f>
        <v>0</v>
      </c>
      <c r="P5">
        <f>IF('Hyd routing'!F9&lt;&gt;0.000001,O5*$A$11,0)</f>
        <v>0</v>
      </c>
      <c r="Q5">
        <f>IF('Hyd routing'!F9&lt;&gt;0.000001,AVERAGE(P4:P5)*(D5-D4)*3600,0)</f>
        <v>0</v>
      </c>
      <c r="R5">
        <f>IF('Hyd routing'!F9&lt;&gt;0.000001,R4+N5,0)</f>
        <v>0</v>
      </c>
      <c r="S5">
        <f>IF('Hyd routing'!F9&lt;&gt;0.000001,S4+Q5+K5,0)</f>
        <v>0</v>
      </c>
      <c r="U5">
        <f>IF('Hyd routing'!F9&lt;&gt;0.000001,'Erosion calcs'!J4,0)</f>
        <v>0</v>
      </c>
      <c r="V5">
        <f>IF('Hyd routing'!F9&lt;&gt;0.000001,MAX((R5+S5)-U5,0),0)</f>
        <v>0</v>
      </c>
      <c r="W5">
        <f>IF('Hyd routing'!F9&lt;&gt;0.000001,V5/(62.4*2.65),0)</f>
        <v>0</v>
      </c>
      <c r="X5">
        <f>IF('Hyd routing'!G9&lt;&gt;0.000001,X4+W5,0)</f>
        <v>0</v>
      </c>
      <c r="Y5">
        <f>IF('Hyd routing'!F9&lt;&gt;0.000001,X5/('Preliminary calcs'!B$17*'Preliminary calcs'!B$15*'Preliminary calcs'!B$13),0)*100</f>
        <v>0</v>
      </c>
      <c r="Z5">
        <f aca="true" t="shared" si="0" ref="Z5:Z34">IF(AND(Y5&lt;&gt;0,Y5&lt;=25),D5,0)</f>
        <v>0</v>
      </c>
      <c r="AA5">
        <f>MAX(U5-R5-S5,0)</f>
        <v>0</v>
      </c>
      <c r="AB5">
        <f>AA5/(2.65*62.4)</f>
        <v>0</v>
      </c>
      <c r="AC5">
        <f>AB5/'Preliminary calcs'!B$13</f>
        <v>0</v>
      </c>
      <c r="AD5">
        <f>SQRT(2*AC5*'Preliminary calcs'!B$14)</f>
        <v>0</v>
      </c>
    </row>
    <row r="6" spans="1:30" ht="12.75">
      <c r="A6" s="4" t="s">
        <v>109</v>
      </c>
      <c r="B6" s="4"/>
      <c r="C6" s="4"/>
      <c r="D6">
        <v>0.2</v>
      </c>
      <c r="E6" s="1">
        <v>2</v>
      </c>
      <c r="F6">
        <f>IF('Hyd routing'!F10&lt;&gt;0.000001,'Hyd routing'!AC10,0)</f>
        <v>2.7246798177064638E-08</v>
      </c>
      <c r="G6">
        <f>IF('Hyd routing'!F10&lt;&gt;0.000001,F6*$A$3,0)</f>
        <v>1.0038449726706391E-07</v>
      </c>
      <c r="H6">
        <f>IF('Hyd routing'!F10&lt;&gt;0.000001,AVERAGE(G5:G6)*(D6-D5)*3600,0)</f>
        <v>1.8069209508071508E-05</v>
      </c>
      <c r="I6">
        <f>IF('Hyd routing'!F10&lt;&gt;0.000001,'Hyd routing'!U10,0)</f>
        <v>4.1997828174061595E-07</v>
      </c>
      <c r="J6">
        <f>IF('Hyd routing'!F10&lt;&gt;0.000001,I6*$A$11,0)</f>
        <v>1.1589369874886002E-06</v>
      </c>
      <c r="K6">
        <f>IF('Hyd routing'!F10&lt;&gt;0.000001,AVERAGE(J5:J6)*(D6-D5)*3600,0)</f>
        <v>0.00020860865774794803</v>
      </c>
      <c r="L6" s="6">
        <f>IF('Hyd routing'!F10&lt;&gt;0.000001,'Hyd routing'!AD10,0)</f>
        <v>3.905882811354478E-08</v>
      </c>
      <c r="M6">
        <f>IF('Hyd routing'!F10&lt;&gt;0.000001,L6*$A$3,0)</f>
        <v>1.4390317711970012E-07</v>
      </c>
      <c r="N6">
        <f>IF('Hyd routing'!F10&lt;&gt;0.000001,AVERAGE(M5:M6)*(D6-D5)*3600,0)</f>
        <v>2.5902571881546025E-05</v>
      </c>
      <c r="O6">
        <f>IF('Hyd routing'!F10&lt;&gt;0.000001,'Hyd routing'!V10,0)</f>
        <v>7.939097347472981E-07</v>
      </c>
      <c r="P6">
        <f>IF('Hyd routing'!F10&lt;&gt;0.000001,O6*$A$11,0)</f>
        <v>2.190806992477215E-06</v>
      </c>
      <c r="Q6">
        <f>IF('Hyd routing'!F10&lt;&gt;0.000001,AVERAGE(P5:P6)*(D6-D5)*3600,0)</f>
        <v>0.00039434525864589875</v>
      </c>
      <c r="R6">
        <f>IF('Hyd routing'!F10&lt;&gt;0.000001,R5+N6,0)</f>
        <v>2.5902571881546025E-05</v>
      </c>
      <c r="S6">
        <f>IF('Hyd routing'!F10&lt;&gt;0.000001,S5+Q6+K6,0)</f>
        <v>0.0006029539163938468</v>
      </c>
      <c r="U6">
        <f>IF('Hyd routing'!F10&lt;&gt;0.000001,'Erosion calcs'!J5,0)</f>
        <v>0.01498370082136079</v>
      </c>
      <c r="V6">
        <f>IF('Hyd routing'!F10&lt;&gt;0.000001,MAX((R6+S6)-U6,0),0)</f>
        <v>0</v>
      </c>
      <c r="W6">
        <f>IF('Hyd routing'!F10&lt;&gt;0.000001,V6/(62.4*2.65),0)</f>
        <v>0</v>
      </c>
      <c r="X6">
        <f>IF('Hyd routing'!G10&lt;&gt;0.000001,X5+W6,0)</f>
        <v>0</v>
      </c>
      <c r="Y6">
        <f>IF('Hyd routing'!F10&lt;&gt;0.000001,X6/('Preliminary calcs'!B$17*'Preliminary calcs'!B$15*'Preliminary calcs'!B$13),0)*100</f>
        <v>0</v>
      </c>
      <c r="Z6">
        <f t="shared" si="0"/>
        <v>0</v>
      </c>
      <c r="AA6">
        <f aca="true" t="shared" si="1" ref="AA6:AA34">MAX(U6-R6-S6,0)</f>
        <v>0.014354844333085396</v>
      </c>
      <c r="AB6">
        <f aca="true" t="shared" si="2" ref="AB6:AB34">AA6/(2.65*62.4)</f>
        <v>8.680965368339016E-05</v>
      </c>
      <c r="AC6">
        <f>AB6/'Preliminary calcs'!B$13</f>
        <v>2.170241342084754E-07</v>
      </c>
      <c r="AD6">
        <f>SQRT(2*AC6*'Preliminary calcs'!B$14)</f>
        <v>0.00018634339664543002</v>
      </c>
    </row>
    <row r="7" spans="1:30" ht="12.75">
      <c r="A7" s="4"/>
      <c r="B7" s="4"/>
      <c r="C7" s="4"/>
      <c r="D7">
        <v>0.3</v>
      </c>
      <c r="E7" s="1">
        <v>3</v>
      </c>
      <c r="F7">
        <f>IF('Hyd routing'!F11&lt;&gt;0.000001,'Hyd routing'!AC11,0)</f>
        <v>1.625066565380398E-06</v>
      </c>
      <c r="G7">
        <f>IF('Hyd routing'!F11&lt;&gt;0.000001,F7*$A$3,0)</f>
        <v>5.987180186497789E-06</v>
      </c>
      <c r="H7">
        <f>IF('Hyd routing'!F11&lt;&gt;0.000001,AVERAGE(G6:G7)*(D7-D6)*3600,0)</f>
        <v>0.0010957616430776734</v>
      </c>
      <c r="I7">
        <f>IF('Hyd routing'!F11&lt;&gt;0.000001,'Hyd routing'!U11,0)</f>
        <v>1.3797032148133167E-05</v>
      </c>
      <c r="J7">
        <f>IF('Hyd routing'!F11&lt;&gt;0.000001,I7*$A$11,0)</f>
        <v>3.8073137515040336E-05</v>
      </c>
      <c r="K7">
        <f>IF('Hyd routing'!F11&lt;&gt;0.000001,AVERAGE(J6:J7)*(D7-D6)*3600,0)</f>
        <v>0.007061773410455207</v>
      </c>
      <c r="L7" s="6">
        <f>IF('Hyd routing'!F11&lt;&gt;0.000001,'Hyd routing'!AD11,0)</f>
        <v>1.5917409663353131E-06</v>
      </c>
      <c r="M7">
        <f>IF('Hyd routing'!F11&lt;&gt;0.000001,L7*$A$3,0)</f>
        <v>5.8643997598023475E-06</v>
      </c>
      <c r="N7">
        <f>IF('Hyd routing'!F11&lt;&gt;0.000001,AVERAGE(M6:M7)*(D7-D6)*3600,0)</f>
        <v>0.0010814945286459683</v>
      </c>
      <c r="O7">
        <f>IF('Hyd routing'!F11&lt;&gt;0.000001,'Hyd routing'!V11,0)</f>
        <v>2.0066608395707193E-05</v>
      </c>
      <c r="P7">
        <f>IF('Hyd routing'!F11&lt;&gt;0.000001,O7*$A$11,0)</f>
        <v>5.537413645974559E-05</v>
      </c>
      <c r="Q7">
        <f>IF('Hyd routing'!F11&lt;&gt;0.000001,AVERAGE(P6:P7)*(D7-D6)*3600,0)</f>
        <v>0.010361689821400103</v>
      </c>
      <c r="R7">
        <f>IF('Hyd routing'!F11&lt;&gt;0.000001,R6+N7,0)</f>
        <v>0.0011073971005275142</v>
      </c>
      <c r="S7">
        <f>IF('Hyd routing'!F11&lt;&gt;0.000001,S6+Q7+K7,0)</f>
        <v>0.018026417148249155</v>
      </c>
      <c r="U7">
        <f>IF('Hyd routing'!F11&lt;&gt;0.000001,'Erosion calcs'!J6,0)</f>
        <v>0.8379228064702082</v>
      </c>
      <c r="V7">
        <f>IF('Hyd routing'!F11&lt;&gt;0.000001,MAX((R7+S7)-U7,0),0)</f>
        <v>0</v>
      </c>
      <c r="W7">
        <f>IF('Hyd routing'!F11&lt;&gt;0.000001,V7/(62.4*2.65),0)</f>
        <v>0</v>
      </c>
      <c r="X7">
        <f>IF('Hyd routing'!G11&lt;&gt;0.000001,X6+W7,0)</f>
        <v>0</v>
      </c>
      <c r="Y7">
        <f>IF('Hyd routing'!F11&lt;&gt;0.000001,X7/('Preliminary calcs'!B$17*'Preliminary calcs'!B$15*'Preliminary calcs'!B$13),0)*100</f>
        <v>0</v>
      </c>
      <c r="Z7">
        <f t="shared" si="0"/>
        <v>0</v>
      </c>
      <c r="AA7">
        <f t="shared" si="1"/>
        <v>0.8187889922214315</v>
      </c>
      <c r="AB7">
        <f t="shared" si="2"/>
        <v>0.004951554137768696</v>
      </c>
      <c r="AC7">
        <f>AB7/'Preliminary calcs'!B$13</f>
        <v>1.237888534442174E-05</v>
      </c>
      <c r="AD7">
        <f>SQRT(2*AC7*'Preliminary calcs'!B$14)</f>
        <v>0.0014073456061349957</v>
      </c>
    </row>
    <row r="8" spans="1:30" ht="12.75">
      <c r="A8" s="4"/>
      <c r="B8" s="4"/>
      <c r="C8" s="4"/>
      <c r="D8">
        <v>0.4</v>
      </c>
      <c r="E8" s="1">
        <v>4</v>
      </c>
      <c r="F8">
        <f>IF('Hyd routing'!F12&lt;&gt;0.000001,'Hyd routing'!AC12,0)</f>
        <v>1.2794321197234454E-05</v>
      </c>
      <c r="G8">
        <f>IF('Hyd routing'!F12&lt;&gt;0.000001,F8*$A$3,0)</f>
        <v>4.713770377390031E-05</v>
      </c>
      <c r="H8">
        <f>IF('Hyd routing'!F12&lt;&gt;0.000001,AVERAGE(G7:G8)*(D8-D7)*3600,0)</f>
        <v>0.00956247911287166</v>
      </c>
      <c r="I8">
        <f>IF('Hyd routing'!F12&lt;&gt;0.000001,'Hyd routing'!U12,0)</f>
        <v>8.610685490026614E-05</v>
      </c>
      <c r="J8">
        <f>IF('Hyd routing'!F12&lt;&gt;0.000001,I8*$A$11,0)</f>
        <v>0.00023761328468376743</v>
      </c>
      <c r="K8">
        <f>IF('Hyd routing'!F12&lt;&gt;0.000001,AVERAGE(J7:J8)*(D8-D7)*3600,0)</f>
        <v>0.04962355599578542</v>
      </c>
      <c r="L8" s="6">
        <f>IF('Hyd routing'!F12&lt;&gt;0.000001,'Hyd routing'!AD12,0)</f>
        <v>1.2515896303050735E-05</v>
      </c>
      <c r="M8">
        <f>IF('Hyd routing'!F12&lt;&gt;0.000001,L8*$A$3,0)</f>
        <v>4.611191194149356E-05</v>
      </c>
      <c r="N8">
        <f>IF('Hyd routing'!F12&lt;&gt;0.000001,AVERAGE(M7:M8)*(D8-D7)*3600,0)</f>
        <v>0.009355736106233265</v>
      </c>
      <c r="O8">
        <f>IF('Hyd routing'!F12&lt;&gt;0.000001,'Hyd routing'!V12,0)</f>
        <v>0.00012431016237200653</v>
      </c>
      <c r="P8">
        <f>IF('Hyd routing'!F12&lt;&gt;0.000001,O8*$A$11,0)</f>
        <v>0.000343035941040899</v>
      </c>
      <c r="Q8">
        <f>IF('Hyd routing'!F12&lt;&gt;0.000001,AVERAGE(P7:P8)*(D8-D7)*3600,0)</f>
        <v>0.07171381395011606</v>
      </c>
      <c r="R8">
        <f>IF('Hyd routing'!F12&lt;&gt;0.000001,R7+N8,"")</f>
        <v>0.01046313320676078</v>
      </c>
      <c r="S8">
        <f>IF('Hyd routing'!F12&lt;&gt;0.000001,S7+Q8+K8,0)</f>
        <v>0.13936378709415062</v>
      </c>
      <c r="U8">
        <f>IF('Hyd routing'!F12&lt;&gt;0.000001,'Erosion calcs'!J7,0)</f>
        <v>3.8076790382009493</v>
      </c>
      <c r="V8">
        <f>IF('Hyd routing'!F12&lt;&gt;0.000001,MAX((R8+S8)-U8,0),0)</f>
        <v>0</v>
      </c>
      <c r="W8">
        <f>IF('Hyd routing'!F12&lt;&gt;0.000001,V8/(62.4*2.65),0)</f>
        <v>0</v>
      </c>
      <c r="X8">
        <f>IF('Hyd routing'!G12&lt;&gt;0.000001,X7+W8,0)</f>
        <v>0</v>
      </c>
      <c r="Y8">
        <f>IF('Hyd routing'!F12&lt;&gt;0.000001,X8/('Preliminary calcs'!B$17*'Preliminary calcs'!B$15*'Preliminary calcs'!B$13),0)*100</f>
        <v>0</v>
      </c>
      <c r="Z8">
        <f t="shared" si="0"/>
        <v>0</v>
      </c>
      <c r="AA8">
        <f t="shared" si="1"/>
        <v>3.657852117900038</v>
      </c>
      <c r="AB8">
        <f t="shared" si="2"/>
        <v>0.022120537723149723</v>
      </c>
      <c r="AC8">
        <f>AB8/'Preliminary calcs'!B$13</f>
        <v>5.530134430787431E-05</v>
      </c>
      <c r="AD8">
        <f>SQRT(2*AC8*'Preliminary calcs'!B$14)</f>
        <v>0.0029745949454101964</v>
      </c>
    </row>
    <row r="9" spans="1:30" ht="12.75">
      <c r="A9" s="4">
        <f>IF('Input and Output'!B20="X",0.415,0.749)</f>
        <v>0.749</v>
      </c>
      <c r="B9" s="4" t="s">
        <v>110</v>
      </c>
      <c r="C9" s="4"/>
      <c r="D9">
        <v>0.5</v>
      </c>
      <c r="E9" s="1">
        <v>5</v>
      </c>
      <c r="F9">
        <f>IF('Hyd routing'!F13&lt;&gt;0.000001,'Hyd routing'!AC13,0)</f>
        <v>3.934162609168929E-05</v>
      </c>
      <c r="G9">
        <f>IF('Hyd routing'!F13&lt;&gt;0.000001,F9*$A$3,0)</f>
        <v>0.0001449450805639028</v>
      </c>
      <c r="H9">
        <f>IF('Hyd routing'!F13&lt;&gt;0.000001,AVERAGE(G8:G9)*(D9-D8)*3600,0)</f>
        <v>0.03457490118080455</v>
      </c>
      <c r="I9">
        <f>IF('Hyd routing'!F13&lt;&gt;0.000001,'Hyd routing'!U13,0)</f>
        <v>0.00023941888090475447</v>
      </c>
      <c r="J9">
        <f>IF('Hyd routing'!F13&lt;&gt;0.000001,I9*$A$11,0)</f>
        <v>0.0006606803462161361</v>
      </c>
      <c r="K9">
        <f>IF('Hyd routing'!F13&lt;&gt;0.000001,AVERAGE(J8:J9)*(D9-D8)*3600,0)</f>
        <v>0.1616928535619826</v>
      </c>
      <c r="L9" s="6">
        <f>IF('Hyd routing'!F13&lt;&gt;0.000001,'Hyd routing'!AD13,0)</f>
        <v>3.830182309068716E-05</v>
      </c>
      <c r="M9">
        <f>IF('Hyd routing'!F13&lt;&gt;0.000001,L9*$A$3,0)</f>
        <v>0.00014111416799817436</v>
      </c>
      <c r="N9">
        <f>IF('Hyd routing'!F13&lt;&gt;0.000001,AVERAGE(M8:M9)*(D9-D8)*3600,0)</f>
        <v>0.033700694389140216</v>
      </c>
      <c r="O9">
        <f>IF('Hyd routing'!F13&lt;&gt;0.000001,'Hyd routing'!V13,0)</f>
        <v>0.0003445539272342776</v>
      </c>
      <c r="P9">
        <f>IF('Hyd routing'!F13&lt;&gt;0.000001,O9*$A$11,0)</f>
        <v>0.0009508022386330991</v>
      </c>
      <c r="Q9">
        <f>IF('Hyd routing'!F13&lt;&gt;0.000001,AVERAGE(P8:P9)*(D9-D8)*3600,0)</f>
        <v>0.2328908723413196</v>
      </c>
      <c r="R9">
        <f>IF('Hyd routing'!F13&lt;&gt;0.000001,R8+N9,"")</f>
        <v>0.044163827595901</v>
      </c>
      <c r="S9">
        <f>IF('Hyd routing'!F13&lt;&gt;0.000001,S8+Q9+K9,0)</f>
        <v>0.5339475129974528</v>
      </c>
      <c r="U9">
        <f>IF('Hyd routing'!F13&lt;&gt;0.000001,'Erosion calcs'!J8,0)</f>
        <v>9.390530844305896</v>
      </c>
      <c r="V9">
        <f>IF('Hyd routing'!F13&lt;&gt;0.000001,MAX((R9+S9)-U9,0),0)</f>
        <v>0</v>
      </c>
      <c r="W9">
        <f>IF('Hyd routing'!F13&lt;&gt;0.000001,V9/(62.4*2.65),0)</f>
        <v>0</v>
      </c>
      <c r="X9">
        <f>IF('Hyd routing'!G13&lt;&gt;0.000001,X8+W9,0)</f>
        <v>0</v>
      </c>
      <c r="Y9">
        <f>IF('Hyd routing'!F13&lt;&gt;0.000001,X9/('Preliminary calcs'!B$17*'Preliminary calcs'!B$15*'Preliminary calcs'!B$13),0)*100</f>
        <v>0</v>
      </c>
      <c r="Z9">
        <f t="shared" si="0"/>
        <v>0</v>
      </c>
      <c r="AA9">
        <f t="shared" si="1"/>
        <v>8.812419503712544</v>
      </c>
      <c r="AB9">
        <f t="shared" si="2"/>
        <v>0.05329232888069996</v>
      </c>
      <c r="AC9">
        <f>AB9/'Preliminary calcs'!B$13</f>
        <v>0.0001332308222017499</v>
      </c>
      <c r="AD9">
        <f>SQRT(2*AC9*'Preliminary calcs'!B$14)</f>
        <v>0.0046170262672287216</v>
      </c>
    </row>
    <row r="10" spans="1:30" ht="12.75">
      <c r="A10" s="4">
        <f>A9*A2</f>
        <v>44210.77744371173</v>
      </c>
      <c r="B10" s="4" t="s">
        <v>94</v>
      </c>
      <c r="C10" s="4"/>
      <c r="D10">
        <v>0.6</v>
      </c>
      <c r="E10" s="1">
        <v>6</v>
      </c>
      <c r="F10">
        <f>IF('Hyd routing'!F14&lt;&gt;0.000001,'Hyd routing'!AC14,0)</f>
        <v>9.114776618426036E-05</v>
      </c>
      <c r="G10">
        <f>IF('Hyd routing'!F14&lt;&gt;0.000001,F10*$A$3,0)</f>
        <v>0.00033581276691530134</v>
      </c>
      <c r="H10">
        <f>IF('Hyd routing'!F14&lt;&gt;0.000001,AVERAGE(G9:G10)*(D10-D9)*3600,0)</f>
        <v>0.08653641254625673</v>
      </c>
      <c r="I10">
        <f>IF('Hyd routing'!F14&lt;&gt;0.000001,'Hyd routing'!U14,0)</f>
        <v>0.0004988687844140201</v>
      </c>
      <c r="J10">
        <f>IF('Hyd routing'!F14&lt;&gt;0.000001,I10*$A$11,0)</f>
        <v>0.0013766366293149466</v>
      </c>
      <c r="K10">
        <f>IF('Hyd routing'!F14&lt;&gt;0.000001,AVERAGE(J9:J10)*(D10-D9)*3600,0)</f>
        <v>0.36671705559559487</v>
      </c>
      <c r="L10" s="6">
        <f>IF('Hyd routing'!F14&lt;&gt;0.000001,'Hyd routing'!AD14,0)</f>
        <v>8.841270547247421E-05</v>
      </c>
      <c r="M10">
        <f>IF('Hyd routing'!F14&lt;&gt;0.000001,L10*$A$3,0)</f>
        <v>0.00032573607119629156</v>
      </c>
      <c r="N10">
        <f>IF('Hyd routing'!F14&lt;&gt;0.000001,AVERAGE(M9:M10)*(D10-D9)*3600,0)</f>
        <v>0.08403304305500385</v>
      </c>
      <c r="O10">
        <f>IF('Hyd routing'!F14&lt;&gt;0.000001,'Hyd routing'!V14,0)</f>
        <v>0.0007160615473372296</v>
      </c>
      <c r="P10">
        <f>IF('Hyd routing'!F14&lt;&gt;0.000001,O10*$A$11,0)</f>
        <v>0.001975983636791898</v>
      </c>
      <c r="Q10">
        <f>IF('Hyd routing'!F14&lt;&gt;0.000001,AVERAGE(P9:P10)*(D10-D9)*3600,0)</f>
        <v>0.5268214575764995</v>
      </c>
      <c r="R10">
        <f>IF('Hyd routing'!F14&lt;&gt;0.000001,R9+N10,"")</f>
        <v>0.12819687065090485</v>
      </c>
      <c r="S10">
        <f>IF('Hyd routing'!F14&lt;&gt;0.000001,S9+Q10+K10,0)</f>
        <v>1.427486026169547</v>
      </c>
      <c r="U10">
        <f>IF('Hyd routing'!F14&lt;&gt;0.000001,'Erosion calcs'!J9,"")</f>
        <v>21.979975581149233</v>
      </c>
      <c r="V10">
        <f>IF('Hyd routing'!F14&lt;&gt;0.000001,MAX((R10+S10)-U10,0),0)</f>
        <v>0</v>
      </c>
      <c r="W10">
        <f>IF('Hyd routing'!F14&lt;&gt;0.000001,V10/(62.4*2.65),0)</f>
        <v>0</v>
      </c>
      <c r="X10">
        <f>IF('Hyd routing'!G14&lt;&gt;0.000001,X9+W10,0)</f>
        <v>0</v>
      </c>
      <c r="Y10">
        <f>IF('Hyd routing'!F14&lt;&gt;0.000001,X10/('Preliminary calcs'!B$17*'Preliminary calcs'!B$15*'Preliminary calcs'!B$13),0)*100</f>
        <v>0</v>
      </c>
      <c r="Z10">
        <f t="shared" si="0"/>
        <v>0</v>
      </c>
      <c r="AA10">
        <f t="shared" si="1"/>
        <v>20.424292684328783</v>
      </c>
      <c r="AB10">
        <f t="shared" si="2"/>
        <v>0.12351410670252047</v>
      </c>
      <c r="AC10">
        <f>AB10/'Preliminary calcs'!B$13</f>
        <v>0.0003087852667563012</v>
      </c>
      <c r="AD10">
        <f>SQRT(2*AC10*'Preliminary calcs'!B$14)</f>
        <v>0.007028914758411016</v>
      </c>
    </row>
    <row r="11" spans="1:30" ht="12.75">
      <c r="A11">
        <f>A10/1000^2*2.204*28.32</f>
        <v>2.75951647472184</v>
      </c>
      <c r="B11" t="s">
        <v>93</v>
      </c>
      <c r="C11" s="4"/>
      <c r="D11">
        <v>0.7</v>
      </c>
      <c r="E11" s="1">
        <v>7</v>
      </c>
      <c r="F11">
        <f>IF('Hyd routing'!F15&lt;&gt;0.000001,'Hyd routing'!AC15,0)</f>
        <v>0.0001924129522154736</v>
      </c>
      <c r="G11">
        <f>IF('Hyd routing'!F15&lt;&gt;0.000001,F11*$A$3,0)</f>
        <v>0.0007089008165400075</v>
      </c>
      <c r="H11">
        <f>IF('Hyd routing'!F15&lt;&gt;0.000001,AVERAGE(G10:G11)*(D11-D10)*3600,0)</f>
        <v>0.18804844502195556</v>
      </c>
      <c r="I11">
        <f>IF('Hyd routing'!F15&lt;&gt;0.000001,'Hyd routing'!U15,0)</f>
        <v>0.0009430541344816184</v>
      </c>
      <c r="J11">
        <f>IF('Hyd routing'!F15&lt;&gt;0.000001,I11*$A$11,0)</f>
        <v>0.0026023734206565715</v>
      </c>
      <c r="K11">
        <f>IF('Hyd routing'!F15&lt;&gt;0.000001,AVERAGE(J10:J11)*(D11-D10)*3600,0)</f>
        <v>0.7162218089948731</v>
      </c>
      <c r="L11" s="6">
        <f>IF('Hyd routing'!F15&lt;&gt;0.000001,'Hyd routing'!AD15,0)</f>
        <v>0.0001860543187102595</v>
      </c>
      <c r="M11">
        <f>IF('Hyd routing'!F15&lt;&gt;0.000001,L11*$A$3,0)</f>
        <v>0.0006854739087771816</v>
      </c>
      <c r="N11">
        <f>IF('Hyd routing'!F15&lt;&gt;0.000001,AVERAGE(M10:M11)*(D11-D10)*3600,0)</f>
        <v>0.1820177963952251</v>
      </c>
      <c r="O11">
        <f>IF('Hyd routing'!F15&lt;&gt;0.000001,'Hyd routing'!V15,0)</f>
        <v>0.0013506303453036086</v>
      </c>
      <c r="P11">
        <f>IF('Hyd routing'!F15&lt;&gt;0.000001,O11*$A$11,0)</f>
        <v>0.0037270866891245557</v>
      </c>
      <c r="Q11">
        <f>IF('Hyd routing'!F15&lt;&gt;0.000001,AVERAGE(P10:P11)*(D11-D10)*3600,0)</f>
        <v>1.0265526586649614</v>
      </c>
      <c r="R11">
        <f>IF('Hyd routing'!F15&lt;&gt;0.000001,R10+N11,"")</f>
        <v>0.31021466704613</v>
      </c>
      <c r="S11">
        <f>IF('Hyd routing'!F15&lt;&gt;0.000001,S10+Q11+K11,0)</f>
        <v>3.1702604938293817</v>
      </c>
      <c r="U11">
        <f>IF('Hyd routing'!F15&lt;&gt;0.000001,'Erosion calcs'!J10,"")</f>
        <v>42.80535889027303</v>
      </c>
      <c r="V11">
        <f>IF('Hyd routing'!F15&lt;&gt;0.000001,MAX((R11+S11)-U11,0),0)</f>
        <v>0</v>
      </c>
      <c r="W11">
        <f>IF('Hyd routing'!F15&lt;&gt;0.000001,V11/(62.4*2.65),0)</f>
        <v>0</v>
      </c>
      <c r="X11">
        <f>IF('Hyd routing'!G15&lt;&gt;0.000001,X10+W11,0)</f>
        <v>0</v>
      </c>
      <c r="Y11">
        <f>IF('Hyd routing'!F15&lt;&gt;0.000001,X11/('Preliminary calcs'!B$17*'Preliminary calcs'!B$15*'Preliminary calcs'!B$13),0)*100</f>
        <v>0</v>
      </c>
      <c r="Z11">
        <f t="shared" si="0"/>
        <v>0</v>
      </c>
      <c r="AA11">
        <f t="shared" si="1"/>
        <v>39.32488372939751</v>
      </c>
      <c r="AB11">
        <f t="shared" si="2"/>
        <v>0.2378137622726023</v>
      </c>
      <c r="AC11">
        <f>AB11/'Preliminary calcs'!B$13</f>
        <v>0.0005945344056815058</v>
      </c>
      <c r="AD11">
        <f>SQRT(2*AC11*'Preliminary calcs'!B$14)</f>
        <v>0.009753230485794998</v>
      </c>
    </row>
    <row r="12" spans="1:30" ht="12.75">
      <c r="A12" s="4"/>
      <c r="B12" s="4"/>
      <c r="C12" s="4"/>
      <c r="D12">
        <v>0.8</v>
      </c>
      <c r="E12" s="1">
        <v>8</v>
      </c>
      <c r="F12">
        <f>IF('Hyd routing'!F16&lt;&gt;0.000001,'Hyd routing'!AC16,0)</f>
        <v>0.0003274206570281477</v>
      </c>
      <c r="G12">
        <f>IF('Hyd routing'!F16&lt;&gt;0.000001,F12*$A$3,0)</f>
        <v>0.001206305336760244</v>
      </c>
      <c r="H12">
        <f>IF('Hyd routing'!F16&lt;&gt;0.000001,AVERAGE(G11:G12)*(D12-D11)*3600,0)</f>
        <v>0.3447371075940455</v>
      </c>
      <c r="I12">
        <f>IF('Hyd routing'!F16&lt;&gt;0.000001,'Hyd routing'!U16,0)</f>
        <v>0.0015100141104004432</v>
      </c>
      <c r="J12">
        <f>IF('Hyd routing'!F16&lt;&gt;0.000001,I12*$A$11,0)</f>
        <v>0.004166908814712466</v>
      </c>
      <c r="K12">
        <f>IF('Hyd routing'!F16&lt;&gt;0.000001,AVERAGE(J11:J12)*(D12-D11)*3600,0)</f>
        <v>1.218470802366428</v>
      </c>
      <c r="L12" s="6">
        <f>IF('Hyd routing'!F16&lt;&gt;0.000001,'Hyd routing'!AD16,0)</f>
        <v>0.0003148212847653994</v>
      </c>
      <c r="M12">
        <f>IF('Hyd routing'!F16&lt;&gt;0.000001,L12*$A$3,0)</f>
        <v>0.0011598858770403412</v>
      </c>
      <c r="N12">
        <f>IF('Hyd routing'!F16&lt;&gt;0.000001,AVERAGE(M11:M12)*(D12-D11)*3600,0)</f>
        <v>0.3321647614471544</v>
      </c>
      <c r="O12">
        <f>IF('Hyd routing'!F16&lt;&gt;0.000001,'Hyd routing'!V16,0)</f>
        <v>0.002154461632655891</v>
      </c>
      <c r="P12">
        <f>IF('Hyd routing'!F16&lt;&gt;0.000001,O12*$A$11,0)</f>
        <v>0.0059452723694700445</v>
      </c>
      <c r="Q12">
        <f>IF('Hyd routing'!F16&lt;&gt;0.000001,AVERAGE(P11:P12)*(D12-D11)*3600,0)</f>
        <v>1.7410246305470296</v>
      </c>
      <c r="R12">
        <f>IF('Hyd routing'!F16&lt;&gt;0.000001,R11+N12,"")</f>
        <v>0.6423794284932844</v>
      </c>
      <c r="S12">
        <f>IF('Hyd routing'!F16&lt;&gt;0.000001,S11+Q12+K12,0)</f>
        <v>6.129755926742838</v>
      </c>
      <c r="U12">
        <f>IF('Hyd routing'!F16&lt;&gt;0.000001,'Erosion calcs'!J11,"")</f>
        <v>68.02011869406735</v>
      </c>
      <c r="V12">
        <f>IF('Hyd routing'!F16&lt;&gt;0.000001,MAX((R12+S12)-U12,0),0)</f>
        <v>0</v>
      </c>
      <c r="W12">
        <f>IF('Hyd routing'!F16&lt;&gt;0.000001,V12/(62.4*2.65),0)</f>
        <v>0</v>
      </c>
      <c r="X12">
        <f>IF('Hyd routing'!G16&lt;&gt;0.000001,X11+W12,0)</f>
        <v>0</v>
      </c>
      <c r="Y12">
        <f>IF('Hyd routing'!F16&lt;&gt;0.000001,X12/('Preliminary calcs'!B$17*'Preliminary calcs'!B$15*'Preliminary calcs'!B$13),0)*100</f>
        <v>0</v>
      </c>
      <c r="Z12">
        <f t="shared" si="0"/>
        <v>0</v>
      </c>
      <c r="AA12">
        <f t="shared" si="1"/>
        <v>61.247983338831226</v>
      </c>
      <c r="AB12">
        <f t="shared" si="2"/>
        <v>0.37039177152171765</v>
      </c>
      <c r="AC12">
        <f>AB12/'Preliminary calcs'!B$13</f>
        <v>0.0009259794288042941</v>
      </c>
      <c r="AD12">
        <f>SQRT(2*AC12*'Preliminary calcs'!B$14)</f>
        <v>0.012171964040724367</v>
      </c>
    </row>
    <row r="13" spans="1:30" ht="12.75">
      <c r="A13" s="4"/>
      <c r="B13" s="4"/>
      <c r="C13" s="4"/>
      <c r="D13">
        <v>0.9</v>
      </c>
      <c r="E13" s="1">
        <v>9</v>
      </c>
      <c r="F13">
        <f>IF('Hyd routing'!F17&lt;&gt;0.000001,'Hyd routing'!AC17,0)</f>
        <v>0.0004915928009601306</v>
      </c>
      <c r="G13">
        <f>IF('Hyd routing'!F17&lt;&gt;0.000001,F13*$A$3,0)</f>
        <v>0.0018111594567478434</v>
      </c>
      <c r="H13">
        <f>IF('Hyd routing'!F17&lt;&gt;0.000001,AVERAGE(G12:G13)*(D13-D12)*3600,0)</f>
        <v>0.5431436628314557</v>
      </c>
      <c r="I13">
        <f>IF('Hyd routing'!F17&lt;&gt;0.000001,'Hyd routing'!U17,0)</f>
        <v>0.002155725422929956</v>
      </c>
      <c r="J13">
        <f>IF('Hyd routing'!F17&lt;&gt;0.000001,I13*$A$11,0)</f>
        <v>0.00594875981955192</v>
      </c>
      <c r="K13">
        <f>IF('Hyd routing'!F17&lt;&gt;0.000001,AVERAGE(J12:J13)*(D13-D12)*3600,0)</f>
        <v>1.8208203541675891</v>
      </c>
      <c r="L13" s="6">
        <f>IF('Hyd routing'!F17&lt;&gt;0.000001,'Hyd routing'!AD17,0)</f>
        <v>0.0004695263793262855</v>
      </c>
      <c r="M13">
        <f>IF('Hyd routing'!F17&lt;&gt;0.000001,L13*$A$3,0)</f>
        <v>0.0017298608532274778</v>
      </c>
      <c r="N13">
        <f>IF('Hyd routing'!F17&lt;&gt;0.000001,AVERAGE(M12:M13)*(D13-D12)*3600,0)</f>
        <v>0.5201544114482073</v>
      </c>
      <c r="O13">
        <f>IF('Hyd routing'!F17&lt;&gt;0.000001,'Hyd routing'!V17,0)</f>
        <v>0.0030616430100845293</v>
      </c>
      <c r="P13">
        <f>IF('Hyd routing'!F17&lt;&gt;0.000001,O13*$A$11,0)</f>
        <v>0.008448654326045224</v>
      </c>
      <c r="Q13">
        <f>IF('Hyd routing'!F17&lt;&gt;0.000001,AVERAGE(P12:P13)*(D13-D12)*3600,0)</f>
        <v>2.5909068051927475</v>
      </c>
      <c r="R13">
        <f>IF('Hyd routing'!F17&lt;&gt;0.000001,R12+N13,"")</f>
        <v>1.1625338399414917</v>
      </c>
      <c r="S13">
        <f>IF('Hyd routing'!F17&lt;&gt;0.000001,S12+Q13+K13,0)</f>
        <v>10.541483086103176</v>
      </c>
      <c r="U13">
        <f>IF('Hyd routing'!F17&lt;&gt;0.000001,'Erosion calcs'!J12,"")</f>
        <v>96.60399646898422</v>
      </c>
      <c r="V13">
        <f>IF('Hyd routing'!F17&lt;&gt;0.000001,MAX((R13+S13)-U13,0),0)</f>
        <v>0</v>
      </c>
      <c r="W13">
        <f>IF('Hyd routing'!F17&lt;&gt;0.000001,V13/(62.4*2.65),0)</f>
        <v>0</v>
      </c>
      <c r="X13">
        <f>IF('Hyd routing'!G17&lt;&gt;0.000001,X12+W13,0)</f>
        <v>0</v>
      </c>
      <c r="Y13">
        <f>IF('Hyd routing'!F17&lt;&gt;0.000001,X13/('Preliminary calcs'!B$17*'Preliminary calcs'!B$15*'Preliminary calcs'!B$13),0)*100</f>
        <v>0</v>
      </c>
      <c r="Z13">
        <f t="shared" si="0"/>
        <v>0</v>
      </c>
      <c r="AA13">
        <f t="shared" si="1"/>
        <v>84.89997954293956</v>
      </c>
      <c r="AB13">
        <f t="shared" si="2"/>
        <v>0.5134251302790249</v>
      </c>
      <c r="AC13">
        <f>AB13/'Preliminary calcs'!B$13</f>
        <v>0.0012835628256975622</v>
      </c>
      <c r="AD13">
        <f>SQRT(2*AC13*'Preliminary calcs'!B$14)</f>
        <v>0.01433073801699026</v>
      </c>
    </row>
    <row r="14" spans="1:30" ht="12.75">
      <c r="A14" s="4" t="s">
        <v>219</v>
      </c>
      <c r="B14" s="4">
        <v>3.254</v>
      </c>
      <c r="C14" s="4"/>
      <c r="D14">
        <v>1</v>
      </c>
      <c r="E14" s="1">
        <v>10</v>
      </c>
      <c r="F14">
        <f>IF('Hyd routing'!F18&lt;&gt;0.000001,'Hyd routing'!AC18,0)</f>
        <v>0.0006807080036062395</v>
      </c>
      <c r="G14">
        <f>IF('Hyd routing'!F18&lt;&gt;0.000001,F14*$A$3,0)</f>
        <v>0.002507910481210189</v>
      </c>
      <c r="H14">
        <f>IF('Hyd routing'!F18&lt;&gt;0.000001,AVERAGE(G13:G14)*(D14-D13)*3600,0)</f>
        <v>0.7774325888324457</v>
      </c>
      <c r="I14">
        <f>IF('Hyd routing'!F18&lt;&gt;0.000001,'Hyd routing'!U18,0)</f>
        <v>0.0028610106181617577</v>
      </c>
      <c r="J14">
        <f>IF('Hyd routing'!F18&lt;&gt;0.000001,I14*$A$11,0)</f>
        <v>0.007895005935171485</v>
      </c>
      <c r="K14">
        <f>IF('Hyd routing'!F18&lt;&gt;0.000001,AVERAGE(J13:J14)*(D14-D13)*3600,0)</f>
        <v>2.4918778358502123</v>
      </c>
      <c r="L14" s="6">
        <f>IF('Hyd routing'!F18&lt;&gt;0.000001,'Hyd routing'!AD18,0)</f>
        <v>0.000645473470845623</v>
      </c>
      <c r="M14">
        <f>IF('Hyd routing'!F18&lt;&gt;0.000001,L14*$A$3,0)</f>
        <v>0.002378097031768203</v>
      </c>
      <c r="N14">
        <f>IF('Hyd routing'!F18&lt;&gt;0.000001,AVERAGE(M13:M14)*(D14-D13)*3600,0)</f>
        <v>0.7394324192992223</v>
      </c>
      <c r="O14">
        <f>IF('Hyd routing'!F18&lt;&gt;0.000001,'Hyd routing'!V18,0)</f>
        <v>0.0040430291064735705</v>
      </c>
      <c r="P14">
        <f>IF('Hyd routing'!F18&lt;&gt;0.000001,O14*$A$11,0)</f>
        <v>0.011156805427093738</v>
      </c>
      <c r="Q14">
        <f>IF('Hyd routing'!F18&lt;&gt;0.000001,AVERAGE(P13:P14)*(D14-D13)*3600,0)</f>
        <v>3.5289827555650115</v>
      </c>
      <c r="R14">
        <f>IF('Hyd routing'!F18&lt;&gt;0.000001,R13+N14,"")</f>
        <v>1.901966259240714</v>
      </c>
      <c r="S14">
        <f>IF('Hyd routing'!F18&lt;&gt;0.000001,S13+Q14+K14,0)</f>
        <v>16.5623436775184</v>
      </c>
      <c r="U14">
        <f>IF('Hyd routing'!F18&lt;&gt;0.000001,'Erosion calcs'!J13,"")</f>
        <v>127.80735920922407</v>
      </c>
      <c r="V14">
        <f>IF('Hyd routing'!F18&lt;&gt;0.000001,MAX((R14+S14)-U14,0),0)</f>
        <v>0</v>
      </c>
      <c r="W14">
        <f>IF('Hyd routing'!F18&lt;&gt;0.000001,V14/(62.4*2.65),0)</f>
        <v>0</v>
      </c>
      <c r="X14">
        <f>IF('Hyd routing'!G18&lt;&gt;0.000001,X13+W14,0)</f>
        <v>0</v>
      </c>
      <c r="Y14">
        <f>IF('Hyd routing'!F18&lt;&gt;0.000001,X14/('Preliminary calcs'!B$17*'Preliminary calcs'!B$15*'Preliminary calcs'!B$13),0)*100</f>
        <v>0</v>
      </c>
      <c r="Z14">
        <f t="shared" si="0"/>
        <v>0</v>
      </c>
      <c r="AA14">
        <f t="shared" si="1"/>
        <v>109.34304927246497</v>
      </c>
      <c r="AB14">
        <f t="shared" si="2"/>
        <v>0.6612424363356615</v>
      </c>
      <c r="AC14">
        <f>AB14/'Preliminary calcs'!B$13</f>
        <v>0.0016531060908391538</v>
      </c>
      <c r="AD14">
        <f>SQRT(2*AC14*'Preliminary calcs'!B$14)</f>
        <v>0.016263362952792532</v>
      </c>
    </row>
    <row r="15" spans="1:30" ht="12.75">
      <c r="A15" s="4" t="s">
        <v>220</v>
      </c>
      <c r="B15" s="4">
        <v>2.44</v>
      </c>
      <c r="C15" s="4"/>
      <c r="D15">
        <v>1.1</v>
      </c>
      <c r="E15" s="1">
        <v>11</v>
      </c>
      <c r="F15">
        <f>IF('Hyd routing'!F19&lt;&gt;0.000001,'Hyd routing'!AC19,0)</f>
        <v>0.0015347134955020726</v>
      </c>
      <c r="G15">
        <f>IF('Hyd routing'!F19&lt;&gt;0.000001,F15*$A$3,0)</f>
        <v>0.005654295293479188</v>
      </c>
      <c r="H15">
        <f>IF('Hyd routing'!F19&lt;&gt;0.000001,AVERAGE(G14:G15)*(D15-D14)*3600,0)</f>
        <v>1.4691970394440892</v>
      </c>
      <c r="I15">
        <f>IF('Hyd routing'!F19&lt;&gt;0.000001,'Hyd routing'!U19,0)</f>
        <v>0.00533901622844643</v>
      </c>
      <c r="J15">
        <f>IF('Hyd routing'!F19&lt;&gt;0.000001,I15*$A$11,0)</f>
        <v>0.014733103241205189</v>
      </c>
      <c r="K15">
        <f>IF('Hyd routing'!F19&lt;&gt;0.000001,AVERAGE(J14:J15)*(D15-D14)*3600,0)</f>
        <v>4.073059651747805</v>
      </c>
      <c r="L15" s="6">
        <f>IF('Hyd routing'!F19&lt;&gt;0.000001,'Hyd routing'!AD19,0)</f>
        <v>0.0014668815022465182</v>
      </c>
      <c r="M15">
        <f>IF('Hyd routing'!F19&lt;&gt;0.000001,L15*$A$3,0)</f>
        <v>0.00540438407465152</v>
      </c>
      <c r="N15">
        <f>IF('Hyd routing'!F19&lt;&gt;0.000001,AVERAGE(M14:M15)*(D15-D14)*3600,0)</f>
        <v>1.4008465991555512</v>
      </c>
      <c r="O15">
        <f>IF('Hyd routing'!F19&lt;&gt;0.000001,'Hyd routing'!V19,0)</f>
        <v>0.007580105165383001</v>
      </c>
      <c r="P15">
        <f>IF('Hyd routing'!F19&lt;&gt;0.000001,O15*$A$11,0)</f>
        <v>0.02091742508399851</v>
      </c>
      <c r="Q15">
        <f>IF('Hyd routing'!F19&lt;&gt;0.000001,AVERAGE(P14:P15)*(D15-D14)*3600,0)</f>
        <v>5.773361491996609</v>
      </c>
      <c r="R15">
        <f>IF('Hyd routing'!F19&lt;&gt;0.000001,R14+N15,"")</f>
        <v>3.3028128583962655</v>
      </c>
      <c r="S15">
        <f>IF('Hyd routing'!F19&lt;&gt;0.000001,S14+Q15+K15,0)</f>
        <v>26.408764821262814</v>
      </c>
      <c r="U15">
        <f>IF('Hyd routing'!F19&lt;&gt;0.000001,'Erosion calcs'!J14,"")</f>
        <v>711.8382123092938</v>
      </c>
      <c r="V15">
        <f>IF('Hyd routing'!F19&lt;&gt;0.000001,MAX((R15+S15)-U15,0),0)</f>
        <v>0</v>
      </c>
      <c r="W15">
        <f>IF('Hyd routing'!F19&lt;&gt;0.000001,V15/(62.4*2.65),0)</f>
        <v>0</v>
      </c>
      <c r="X15">
        <f>IF('Hyd routing'!G19&lt;&gt;0.000001,X14+W15,0)</f>
        <v>0</v>
      </c>
      <c r="Y15">
        <f>IF('Hyd routing'!F19&lt;&gt;0.000001,X15/('Preliminary calcs'!B$17*'Preliminary calcs'!B$15*'Preliminary calcs'!B$13),0)*100</f>
        <v>0</v>
      </c>
      <c r="Z15">
        <f t="shared" si="0"/>
        <v>0</v>
      </c>
      <c r="AA15">
        <f t="shared" si="1"/>
        <v>682.1266346296347</v>
      </c>
      <c r="AB15">
        <f t="shared" si="2"/>
        <v>4.125100596454009</v>
      </c>
      <c r="AC15">
        <f>AB15/'Preliminary calcs'!B$13</f>
        <v>0.010312751491135022</v>
      </c>
      <c r="AD15">
        <f>SQRT(2*AC15*'Preliminary calcs'!B$14)</f>
        <v>0.040620687322860546</v>
      </c>
    </row>
    <row r="16" spans="1:30" ht="12.75">
      <c r="A16" s="4" t="s">
        <v>221</v>
      </c>
      <c r="B16" s="4">
        <v>1.335</v>
      </c>
      <c r="C16" s="4"/>
      <c r="D16">
        <v>1.2</v>
      </c>
      <c r="E16" s="1">
        <v>12</v>
      </c>
      <c r="F16">
        <f>IF('Hyd routing'!F20&lt;&gt;0.000001,'Hyd routing'!AC20,0)</f>
        <v>0.0048656731583868375</v>
      </c>
      <c r="G16">
        <f>IF('Hyd routing'!F20&lt;&gt;0.000001,F16*$A$3,0)</f>
        <v>0.017926442244566524</v>
      </c>
      <c r="H16">
        <f>IF('Hyd routing'!F20&lt;&gt;0.000001,AVERAGE(G15:G16)*(D16-D15)*3600,0)</f>
        <v>4.244532756848223</v>
      </c>
      <c r="I16">
        <f>IF('Hyd routing'!F20&lt;&gt;0.000001,'Hyd routing'!U20,0)</f>
        <v>0.013555483582235362</v>
      </c>
      <c r="J16">
        <f>IF('Hyd routing'!F20&lt;&gt;0.000001,I16*$A$11,0)</f>
        <v>0.03740658026799991</v>
      </c>
      <c r="K16">
        <f>IF('Hyd routing'!F20&lt;&gt;0.000001,AVERAGE(J15:J16)*(D16-D15)*3600,0)</f>
        <v>9.385143031656906</v>
      </c>
      <c r="L16" s="6">
        <f>IF('Hyd routing'!F20&lt;&gt;0.000001,'Hyd routing'!AD20,0)</f>
        <v>0.004698412398074836</v>
      </c>
      <c r="M16">
        <f>IF('Hyd routing'!F20&lt;&gt;0.000001,L16*$A$3,0)</f>
        <v>0.017310208835146675</v>
      </c>
      <c r="N16">
        <f>IF('Hyd routing'!F20&lt;&gt;0.000001,AVERAGE(M15:M16)*(D16-D15)*3600,0)</f>
        <v>4.088626723763669</v>
      </c>
      <c r="O16">
        <f>IF('Hyd routing'!F20&lt;&gt;0.000001,'Hyd routing'!V20,0)</f>
        <v>0.019382205900690227</v>
      </c>
      <c r="P16">
        <f>IF('Hyd routing'!F20&lt;&gt;0.000001,O16*$A$11,0)</f>
        <v>0.05348551649940554</v>
      </c>
      <c r="Q16">
        <f>IF('Hyd routing'!F20&lt;&gt;0.000001,AVERAGE(P15:P16)*(D16-D15)*3600,0)</f>
        <v>13.39252948501271</v>
      </c>
      <c r="R16">
        <f>IF('Hyd routing'!F20&lt;&gt;0.000001,R15+N16,"")</f>
        <v>7.391439582159935</v>
      </c>
      <c r="S16">
        <f>IF('Hyd routing'!F20&lt;&gt;0.000001,S15+Q16+K16,0)</f>
        <v>49.18643733793243</v>
      </c>
      <c r="U16">
        <f>IF('Hyd routing'!F20&lt;&gt;0.000001,'Erosion calcs'!J15,"")</f>
        <v>1909.436810823295</v>
      </c>
      <c r="V16">
        <f>IF('Hyd routing'!F20&lt;&gt;0.000001,MAX((R16+S16)-U16,0),0)</f>
        <v>0</v>
      </c>
      <c r="W16">
        <f>IF('Hyd routing'!F20&lt;&gt;0.000001,V16/(62.4*2.65),0)</f>
        <v>0</v>
      </c>
      <c r="X16">
        <f>IF('Hyd routing'!G20&lt;&gt;0.000001,X15+W16,0)</f>
        <v>0</v>
      </c>
      <c r="Y16">
        <f>IF('Hyd routing'!F20&lt;&gt;0.000001,X16/('Preliminary calcs'!B$17*'Preliminary calcs'!B$15*'Preliminary calcs'!B$13),0)*100</f>
        <v>0</v>
      </c>
      <c r="Z16">
        <f t="shared" si="0"/>
        <v>0</v>
      </c>
      <c r="AA16">
        <f t="shared" si="1"/>
        <v>1852.8589339032026</v>
      </c>
      <c r="AB16">
        <f t="shared" si="2"/>
        <v>11.205000809767796</v>
      </c>
      <c r="AC16">
        <f>AB16/'Preliminary calcs'!B$13</f>
        <v>0.02801250202441949</v>
      </c>
      <c r="AD16">
        <f>SQRT(2*AC16*'Preliminary calcs'!B$14)</f>
        <v>0.06694774323236832</v>
      </c>
    </row>
    <row r="17" spans="1:30" ht="12.75">
      <c r="A17" s="4"/>
      <c r="B17" s="4"/>
      <c r="C17" s="4"/>
      <c r="D17">
        <v>1.3</v>
      </c>
      <c r="E17" s="1">
        <v>13</v>
      </c>
      <c r="F17">
        <f>IF('Hyd routing'!F21&lt;&gt;0.000001,'Hyd routing'!AC21,0)</f>
        <v>0.009107309613693979</v>
      </c>
      <c r="G17">
        <f>IF('Hyd routing'!F21&lt;&gt;0.000001,F17*$A$3,0)</f>
        <v>0.03355376624750485</v>
      </c>
      <c r="H17">
        <f>IF('Hyd routing'!F21&lt;&gt;0.000001,AVERAGE(G16:G17)*(D17-D16)*3600,0)</f>
        <v>9.266437528572855</v>
      </c>
      <c r="I17">
        <f>IF('Hyd routing'!F21&lt;&gt;0.000001,'Hyd routing'!U21,0)</f>
        <v>0.024269067580951955</v>
      </c>
      <c r="J17">
        <f>IF('Hyd routing'!F21&lt;&gt;0.000001,I17*$A$11,0)</f>
        <v>0.06697089181577463</v>
      </c>
      <c r="K17">
        <f>IF('Hyd routing'!F21&lt;&gt;0.000001,AVERAGE(J16:J17)*(D17-D16)*3600,0)</f>
        <v>18.787944975079434</v>
      </c>
      <c r="L17" s="6">
        <f>IF('Hyd routing'!F21&lt;&gt;0.000001,'Hyd routing'!AD21,0)</f>
        <v>0.008760130685684568</v>
      </c>
      <c r="M17">
        <f>IF('Hyd routing'!F21&lt;&gt;0.000001,L17*$A$3,0)</f>
        <v>0.03227466615201988</v>
      </c>
      <c r="N17">
        <f>IF('Hyd routing'!F21&lt;&gt;0.000001,AVERAGE(M16:M17)*(D17-D16)*3600,0)</f>
        <v>8.925277497689988</v>
      </c>
      <c r="O17">
        <f>IF('Hyd routing'!F21&lt;&gt;0.000001,'Hyd routing'!V21,0)</f>
        <v>0.034631925062791745</v>
      </c>
      <c r="P17">
        <f>IF('Hyd routing'!F21&lt;&gt;0.000001,O17*$A$11,0)</f>
        <v>0.09556736776210602</v>
      </c>
      <c r="Q17">
        <f>IF('Hyd routing'!F21&lt;&gt;0.000001,AVERAGE(P16:P17)*(D17-D16)*3600,0)</f>
        <v>26.829519167072103</v>
      </c>
      <c r="R17">
        <f>IF('Hyd routing'!F21&lt;&gt;0.000001,R16+N17,"")</f>
        <v>16.316717079849923</v>
      </c>
      <c r="S17">
        <f>IF('Hyd routing'!F21&lt;&gt;0.000001,S16+Q17+K17,0)</f>
        <v>94.80390148008397</v>
      </c>
      <c r="U17">
        <f>IF('Hyd routing'!F21&lt;&gt;0.000001,'Erosion calcs'!J16,"")</f>
        <v>3188.2030078045436</v>
      </c>
      <c r="V17">
        <f>IF('Hyd routing'!F21&lt;&gt;0.000001,MAX((R17+S17)-U17,0),0)</f>
        <v>0</v>
      </c>
      <c r="W17">
        <f>IF('Hyd routing'!F21&lt;&gt;0.000001,V17/(62.4*2.65),0)</f>
        <v>0</v>
      </c>
      <c r="X17">
        <f>IF('Hyd routing'!G21&lt;&gt;0.000001,X16+W17,0)</f>
        <v>0</v>
      </c>
      <c r="Y17">
        <f>IF('Hyd routing'!F21&lt;&gt;0.000001,X17/('Preliminary calcs'!B$17*'Preliminary calcs'!B$15*'Preliminary calcs'!B$13),0)*100</f>
        <v>0</v>
      </c>
      <c r="Z17">
        <f t="shared" si="0"/>
        <v>0</v>
      </c>
      <c r="AA17">
        <f t="shared" si="1"/>
        <v>3077.08238924461</v>
      </c>
      <c r="AB17">
        <f t="shared" si="2"/>
        <v>18.60838406654941</v>
      </c>
      <c r="AC17">
        <f>AB17/'Preliminary calcs'!B$13</f>
        <v>0.04652096016637352</v>
      </c>
      <c r="AD17">
        <f>SQRT(2*AC17*'Preliminary calcs'!B$14)</f>
        <v>0.08627487251001743</v>
      </c>
    </row>
    <row r="18" spans="1:30" ht="12.75">
      <c r="A18" s="4"/>
      <c r="B18" s="4"/>
      <c r="C18" s="4"/>
      <c r="D18">
        <v>1.4</v>
      </c>
      <c r="E18" s="1">
        <v>14</v>
      </c>
      <c r="F18">
        <f>IF('Hyd routing'!F22&lt;&gt;0.000001,'Hyd routing'!AC22,0)</f>
        <v>0.013898717063242553</v>
      </c>
      <c r="G18">
        <f>IF('Hyd routing'!F22&lt;&gt;0.000001,F18*$A$3,0)</f>
        <v>0.05120659374301118</v>
      </c>
      <c r="H18">
        <f>IF('Hyd routing'!F22&lt;&gt;0.000001,AVERAGE(G17:G18)*(D18-D17)*3600,0)</f>
        <v>15.256864798292867</v>
      </c>
      <c r="I18">
        <f>IF('Hyd routing'!F22&lt;&gt;0.000001,'Hyd routing'!U22,0)</f>
        <v>0.03545008879443908</v>
      </c>
      <c r="J18">
        <f>IF('Hyd routing'!F22&lt;&gt;0.000001,I18*$A$11,0)</f>
        <v>0.09782510405860674</v>
      </c>
      <c r="K18">
        <f>IF('Hyd routing'!F22&lt;&gt;0.000001,AVERAGE(J17:J18)*(D18-D17)*3600,0)</f>
        <v>29.66327925738861</v>
      </c>
      <c r="L18" s="6">
        <f>IF('Hyd routing'!F22&lt;&gt;0.000001,'Hyd routing'!AD22,0)</f>
        <v>0.013280048016920289</v>
      </c>
      <c r="M18">
        <f>IF('Hyd routing'!F22&lt;&gt;0.000001,L18*$A$3,0)</f>
        <v>0.048927251385565605</v>
      </c>
      <c r="N18">
        <f>IF('Hyd routing'!F22&lt;&gt;0.000001,AVERAGE(M17:M18)*(D18-D17)*3600,0)</f>
        <v>14.61634515676537</v>
      </c>
      <c r="O18">
        <f>IF('Hyd routing'!F22&lt;&gt;0.000001,'Hyd routing'!V22,0)</f>
        <v>0.050361225527227986</v>
      </c>
      <c r="P18">
        <f>IF('Hyd routing'!F22&lt;&gt;0.000001,O18*$A$11,0)</f>
        <v>0.1389726315295677</v>
      </c>
      <c r="Q18">
        <f>IF('Hyd routing'!F22&lt;&gt;0.000001,AVERAGE(P17:P18)*(D18-D17)*3600,0)</f>
        <v>42.21719987250122</v>
      </c>
      <c r="R18">
        <f>IF('Hyd routing'!F22&lt;&gt;0.000001,R17+N18,"")</f>
        <v>30.933062236615292</v>
      </c>
      <c r="S18">
        <f>IF('Hyd routing'!F22&lt;&gt;0.000001,S17+Q18+K18,0)</f>
        <v>166.6843806099738</v>
      </c>
      <c r="U18">
        <f>IF('Hyd routing'!F22&lt;&gt;0.000001,'Erosion calcs'!J17,"")</f>
        <v>4494.7005787655025</v>
      </c>
      <c r="V18">
        <f>IF('Hyd routing'!F22&lt;&gt;0.000001,MAX((R18+S18)-U18,0),0)</f>
        <v>0</v>
      </c>
      <c r="W18">
        <f>IF('Hyd routing'!F22&lt;&gt;0.000001,V18/(62.4*2.65),0)</f>
        <v>0</v>
      </c>
      <c r="X18">
        <f>IF('Hyd routing'!G22&lt;&gt;0.000001,X17+W18,0)</f>
        <v>0</v>
      </c>
      <c r="Y18">
        <f>IF('Hyd routing'!F22&lt;&gt;0.000001,X18/('Preliminary calcs'!B$17*'Preliminary calcs'!B$15*'Preliminary calcs'!B$13),0)*100</f>
        <v>0</v>
      </c>
      <c r="Z18">
        <f t="shared" si="0"/>
        <v>0</v>
      </c>
      <c r="AA18">
        <f t="shared" si="1"/>
        <v>4297.083135918913</v>
      </c>
      <c r="AB18">
        <f t="shared" si="2"/>
        <v>25.986230865498992</v>
      </c>
      <c r="AC18">
        <f>AB18/'Preliminary calcs'!B$13</f>
        <v>0.06496557716374748</v>
      </c>
      <c r="AD18">
        <f>SQRT(2*AC18*'Preliminary calcs'!B$14)</f>
        <v>0.10195338320134158</v>
      </c>
    </row>
    <row r="19" spans="1:30" ht="12.75">
      <c r="A19" s="4"/>
      <c r="B19" s="4"/>
      <c r="C19" s="4"/>
      <c r="D19">
        <v>1.5</v>
      </c>
      <c r="E19" s="1">
        <v>15</v>
      </c>
      <c r="F19">
        <f>IF('Hyd routing'!F23&lt;&gt;0.000001,'Hyd routing'!AC23,0)</f>
        <v>0.017718847668937256</v>
      </c>
      <c r="G19">
        <f>IF('Hyd routing'!F23&lt;&gt;0.000001,F19*$A$3,0)</f>
        <v>0.06528097737719496</v>
      </c>
      <c r="H19">
        <f>IF('Hyd routing'!F23&lt;&gt;0.000001,AVERAGE(G18:G19)*(D19-D18)*3600,0)</f>
        <v>20.967762801637125</v>
      </c>
      <c r="I19">
        <f>IF('Hyd routing'!F23&lt;&gt;0.000001,'Hyd routing'!U23,0)</f>
        <v>0.04445549949523078</v>
      </c>
      <c r="J19">
        <f>IF('Hyd routing'!F23&lt;&gt;0.000001,I19*$A$11,0)</f>
        <v>0.1226756832490778</v>
      </c>
      <c r="K19">
        <f>IF('Hyd routing'!F23&lt;&gt;0.000001,AVERAGE(J18:J19)*(D19-D18)*3600,0)</f>
        <v>39.69014171538325</v>
      </c>
      <c r="L19" s="6">
        <f>IF('Hyd routing'!F23&lt;&gt;0.000001,'Hyd routing'!AD23,0)</f>
        <v>0.016766062498837057</v>
      </c>
      <c r="M19">
        <f>IF('Hyd routing'!F23&lt;&gt;0.000001,L19*$A$3,0)</f>
        <v>0.0617706617913977</v>
      </c>
      <c r="N19">
        <f>IF('Hyd routing'!F23&lt;&gt;0.000001,AVERAGE(M18:M19)*(D19-D18)*3600,0)</f>
        <v>19.925624371853413</v>
      </c>
      <c r="O19">
        <f>IF('Hyd routing'!F23&lt;&gt;0.000001,'Hyd routing'!V23,0)</f>
        <v>0.06273980314663156</v>
      </c>
      <c r="P19">
        <f>IF('Hyd routing'!F23&lt;&gt;0.000001,O19*$A$11,0)</f>
        <v>0.17313152040393495</v>
      </c>
      <c r="Q19">
        <f>IF('Hyd routing'!F23&lt;&gt;0.000001,AVERAGE(P18:P19)*(D19-D18)*3600,0)</f>
        <v>56.17874734803053</v>
      </c>
      <c r="R19">
        <f>IF('Hyd routing'!F23&lt;&gt;0.000001,R18+N19,"")</f>
        <v>50.8586866084687</v>
      </c>
      <c r="S19">
        <f>IF('Hyd routing'!F23&lt;&gt;0.000001,S18+Q19+K19,0)</f>
        <v>262.5532696733876</v>
      </c>
      <c r="U19">
        <f>IF('Hyd routing'!F23&lt;&gt;0.000001,'Erosion calcs'!J18,"")</f>
        <v>5186.561720513905</v>
      </c>
      <c r="V19">
        <f>IF('Hyd routing'!F23&lt;&gt;0.000001,MAX((R19+S19)-U19,0),0)</f>
        <v>0</v>
      </c>
      <c r="W19">
        <f>IF('Hyd routing'!F23&lt;&gt;0.000001,V19/(62.4*2.65),0)</f>
        <v>0</v>
      </c>
      <c r="X19">
        <f>IF('Hyd routing'!G23&lt;&gt;0.000001,X18+W19,0)</f>
        <v>0</v>
      </c>
      <c r="Y19">
        <f>IF('Hyd routing'!F23&lt;&gt;0.000001,X19/('Preliminary calcs'!B$17*'Preliminary calcs'!B$15*'Preliminary calcs'!B$13),0)*100</f>
        <v>0</v>
      </c>
      <c r="Z19">
        <f t="shared" si="0"/>
        <v>0</v>
      </c>
      <c r="AA19">
        <f t="shared" si="1"/>
        <v>4873.149764232048</v>
      </c>
      <c r="AB19">
        <f t="shared" si="2"/>
        <v>29.46994293802642</v>
      </c>
      <c r="AC19">
        <f>AB19/'Preliminary calcs'!B$13</f>
        <v>0.07367485734506606</v>
      </c>
      <c r="AD19">
        <f>SQRT(2*AC19*'Preliminary calcs'!B$14)</f>
        <v>0.10857245127199887</v>
      </c>
    </row>
    <row r="20" spans="1:30" ht="12.75">
      <c r="A20" s="4"/>
      <c r="B20" s="4"/>
      <c r="C20" s="4"/>
      <c r="D20">
        <v>1.6</v>
      </c>
      <c r="E20" s="1">
        <v>16</v>
      </c>
      <c r="F20">
        <f>IF('Hyd routing'!F24&lt;&gt;0.000001,'Hyd routing'!AC24,0)</f>
        <v>0.01803740927629592</v>
      </c>
      <c r="G20">
        <f>IF('Hyd routing'!F24&lt;&gt;0.000001,F20*$A$3,0)</f>
        <v>0.06645464360379057</v>
      </c>
      <c r="H20">
        <f>IF('Hyd routing'!F24&lt;&gt;0.000001,AVERAGE(G19:G20)*(D20-D19)*3600,0)</f>
        <v>23.712411776577415</v>
      </c>
      <c r="I20">
        <f>IF('Hyd routing'!F24&lt;&gt;0.000001,'Hyd routing'!U24,0)</f>
        <v>0.046500558317482996</v>
      </c>
      <c r="J20">
        <f>IF('Hyd routing'!F24&lt;&gt;0.000001,I20*$A$11,0)</f>
        <v>0.12831905676085803</v>
      </c>
      <c r="K20">
        <f>IF('Hyd routing'!F24&lt;&gt;0.000001,AVERAGE(J19:J20)*(D20-D19)*3600,0)</f>
        <v>45.17905320178849</v>
      </c>
      <c r="L20" s="6">
        <f>IF('Hyd routing'!F24&lt;&gt;0.000001,'Hyd routing'!AD24,0)</f>
        <v>0.0167835066160603</v>
      </c>
      <c r="M20">
        <f>IF('Hyd routing'!F24&lt;&gt;0.000001,L20*$A$3,0)</f>
        <v>0.061834930588279574</v>
      </c>
      <c r="N20">
        <f>IF('Hyd routing'!F24&lt;&gt;0.000001,AVERAGE(M19:M20)*(D20-D19)*3600,0)</f>
        <v>22.24900662834193</v>
      </c>
      <c r="O20">
        <f>IF('Hyd routing'!F24&lt;&gt;0.000001,'Hyd routing'!V24,0)</f>
        <v>0.064894762109982</v>
      </c>
      <c r="P20">
        <f>IF('Hyd routing'!F24&lt;&gt;0.000001,O20*$A$11,0)</f>
        <v>0.17907816516564998</v>
      </c>
      <c r="Q20">
        <f>IF('Hyd routing'!F24&lt;&gt;0.000001,AVERAGE(P19:P20)*(D20-D19)*3600,0)</f>
        <v>63.39774340252535</v>
      </c>
      <c r="R20">
        <f>IF('Hyd routing'!F24&lt;&gt;0.000001,R19+N20,"")</f>
        <v>73.10769323681063</v>
      </c>
      <c r="S20">
        <f>IF('Hyd routing'!F24&lt;&gt;0.000001,S19+Q20+K20,0)</f>
        <v>371.1300662777014</v>
      </c>
      <c r="U20">
        <f>IF('Hyd routing'!F24&lt;&gt;0.000001,'Erosion calcs'!J19,"")</f>
        <v>5262.012364921142</v>
      </c>
      <c r="V20">
        <f>IF('Hyd routing'!F24&lt;&gt;0.000001,MAX((R20+S20)-U20,0),0)</f>
        <v>0</v>
      </c>
      <c r="W20">
        <f>IF('Hyd routing'!F24&lt;&gt;0.000001,V20/(62.4*2.65),0)</f>
        <v>0</v>
      </c>
      <c r="X20">
        <f>IF('Hyd routing'!G24&lt;&gt;0.000001,X19+W20,0)</f>
        <v>0</v>
      </c>
      <c r="Y20">
        <f>IF('Hyd routing'!F24&lt;&gt;0.000001,X20/('Preliminary calcs'!B$17*'Preliminary calcs'!B$15*'Preliminary calcs'!B$13),0)*100</f>
        <v>0</v>
      </c>
      <c r="Z20">
        <f t="shared" si="0"/>
        <v>0</v>
      </c>
      <c r="AA20">
        <f t="shared" si="1"/>
        <v>4817.77460540663</v>
      </c>
      <c r="AB20">
        <f t="shared" si="2"/>
        <v>29.135066554224906</v>
      </c>
      <c r="AC20">
        <f>AB20/'Preliminary calcs'!B$13</f>
        <v>0.07283766638556227</v>
      </c>
      <c r="AD20">
        <f>SQRT(2*AC20*'Preliminary calcs'!B$14)</f>
        <v>0.10795381707790588</v>
      </c>
    </row>
    <row r="21" spans="1:30" ht="12.75">
      <c r="A21" s="4"/>
      <c r="B21" s="4"/>
      <c r="C21" s="4"/>
      <c r="D21">
        <v>1.7</v>
      </c>
      <c r="E21" s="1">
        <v>17</v>
      </c>
      <c r="F21">
        <f>IF('Hyd routing'!F25&lt;&gt;0.000001,'Hyd routing'!AC25,0)</f>
        <v>0.018422323672259856</v>
      </c>
      <c r="G21">
        <f>IF('Hyd routing'!F25&lt;&gt;0.000001,F21*$A$3,0)</f>
        <v>0.06787277126336345</v>
      </c>
      <c r="H21">
        <f>IF('Hyd routing'!F25&lt;&gt;0.000001,AVERAGE(G20:G21)*(D21-D20)*3600,0)</f>
        <v>24.178934676087692</v>
      </c>
      <c r="I21">
        <f>IF('Hyd routing'!F25&lt;&gt;0.000001,'Hyd routing'!U25,0)</f>
        <v>0.047309722829471976</v>
      </c>
      <c r="J21">
        <f>IF('Hyd routing'!F25&lt;&gt;0.000001,I21*$A$11,0)</f>
        <v>0.13055195956245186</v>
      </c>
      <c r="K21">
        <f>IF('Hyd routing'!F25&lt;&gt;0.000001,AVERAGE(J20:J21)*(D21-D20)*3600,0)</f>
        <v>46.596782938195716</v>
      </c>
      <c r="L21" s="6">
        <f>IF('Hyd routing'!F25&lt;&gt;0.000001,'Hyd routing'!AD25,0)</f>
        <v>0.016869039931677137</v>
      </c>
      <c r="M21">
        <f>IF('Hyd routing'!F25&lt;&gt;0.000001,L21*$A$3,0)</f>
        <v>0.06215005821656027</v>
      </c>
      <c r="N21">
        <f>IF('Hyd routing'!F25&lt;&gt;0.000001,AVERAGE(M20:M21)*(D21-D20)*3600,0)</f>
        <v>22.317297984871143</v>
      </c>
      <c r="O21">
        <f>IF('Hyd routing'!F25&lt;&gt;0.000001,'Hyd routing'!V25,0)</f>
        <v>0.0652859401970612</v>
      </c>
      <c r="P21">
        <f>IF('Hyd routing'!F25&lt;&gt;0.000001,O21*$A$11,0)</f>
        <v>0.1801576275414952</v>
      </c>
      <c r="Q21">
        <f>IF('Hyd routing'!F25&lt;&gt;0.000001,AVERAGE(P20:P21)*(D21-D20)*3600,0)</f>
        <v>64.66244268728605</v>
      </c>
      <c r="R21">
        <f>IF('Hyd routing'!F25&lt;&gt;0.000001,R20+N21,"")</f>
        <v>95.42499122168178</v>
      </c>
      <c r="S21">
        <f>IF('Hyd routing'!F25&lt;&gt;0.000001,S20+Q21+K21,0)</f>
        <v>482.38929190318316</v>
      </c>
      <c r="U21">
        <f>IF('Hyd routing'!F25&lt;&gt;0.000001,'Erosion calcs'!J20,"")</f>
        <v>5344.179745462691</v>
      </c>
      <c r="V21">
        <f>IF('Hyd routing'!F25&lt;&gt;0.000001,MAX((R21+S21)-U21,0),0)</f>
        <v>0</v>
      </c>
      <c r="W21">
        <f>IF('Hyd routing'!F25&lt;&gt;0.000001,V21/(62.4*2.65),0)</f>
        <v>0</v>
      </c>
      <c r="X21">
        <f>IF('Hyd routing'!G25&lt;&gt;0.000001,X20+W21,0)</f>
        <v>0</v>
      </c>
      <c r="Y21">
        <f>IF('Hyd routing'!F25&lt;&gt;0.000001,X21/('Preliminary calcs'!B$17*'Preliminary calcs'!B$15*'Preliminary calcs'!B$13),0)*100</f>
        <v>0</v>
      </c>
      <c r="Z21">
        <f t="shared" si="0"/>
        <v>0</v>
      </c>
      <c r="AA21">
        <f t="shared" si="1"/>
        <v>4766.365462337826</v>
      </c>
      <c r="AB21">
        <f t="shared" si="2"/>
        <v>28.824174300543216</v>
      </c>
      <c r="AC21">
        <f>AB21/'Preliminary calcs'!B$13</f>
        <v>0.07206043575135804</v>
      </c>
      <c r="AD21">
        <f>SQRT(2*AC21*'Preliminary calcs'!B$14)</f>
        <v>0.10737629962062059</v>
      </c>
    </row>
    <row r="22" spans="1:30" ht="12.75">
      <c r="A22" s="4"/>
      <c r="B22" s="4"/>
      <c r="C22" s="4"/>
      <c r="D22">
        <v>1.8</v>
      </c>
      <c r="E22" s="1">
        <v>18</v>
      </c>
      <c r="F22">
        <f>IF('Hyd routing'!F26&lt;&gt;0.000001,'Hyd routing'!AC26,0)</f>
        <v>0.018799758136206532</v>
      </c>
      <c r="G22">
        <f>IF('Hyd routing'!F26&lt;&gt;0.000001,F22*$A$3,0)</f>
        <v>0.06926334085133229</v>
      </c>
      <c r="H22">
        <f>IF('Hyd routing'!F26&lt;&gt;0.000001,AVERAGE(G21:G22)*(D22-D21)*3600,0)</f>
        <v>24.684500180645255</v>
      </c>
      <c r="I22">
        <f>IF('Hyd routing'!F26&lt;&gt;0.000001,'Hyd routing'!U26,0)</f>
        <v>0.04812659003732486</v>
      </c>
      <c r="J22">
        <f>IF('Hyd routing'!F26&lt;&gt;0.000001,I22*$A$11,0)</f>
        <v>0.13280611808018195</v>
      </c>
      <c r="K22">
        <f>IF('Hyd routing'!F26&lt;&gt;0.000001,AVERAGE(J21:J22)*(D22-D21)*3600,0)</f>
        <v>47.40445397567413</v>
      </c>
      <c r="L22" s="6">
        <f>IF('Hyd routing'!F26&lt;&gt;0.000001,'Hyd routing'!AD26,0)</f>
        <v>0.01694990900004758</v>
      </c>
      <c r="M22">
        <f>IF('Hyd routing'!F26&lt;&gt;0.000001,L22*$A$3,0)</f>
        <v>0.06244800150956914</v>
      </c>
      <c r="N22">
        <f>IF('Hyd routing'!F26&lt;&gt;0.000001,AVERAGE(M21:M22)*(D22-D21)*3600,0)</f>
        <v>22.427650750703314</v>
      </c>
      <c r="O22">
        <f>IF('Hyd routing'!F26&lt;&gt;0.000001,'Hyd routing'!V26,0)</f>
        <v>0.06569683707508574</v>
      </c>
      <c r="P22">
        <f>IF('Hyd routing'!F26&lt;&gt;0.000001,O22*$A$11,0)</f>
        <v>0.1812915042458157</v>
      </c>
      <c r="Q22">
        <f>IF('Hyd routing'!F26&lt;&gt;0.000001,AVERAGE(P21:P22)*(D22-D21)*3600,0)</f>
        <v>65.06084372171601</v>
      </c>
      <c r="R22">
        <f>IF('Hyd routing'!F26&lt;&gt;0.000001,R21+N22,"")</f>
        <v>117.8526419723851</v>
      </c>
      <c r="S22">
        <f>IF('Hyd routing'!F26&lt;&gt;0.000001,S21+Q22+K22,0)</f>
        <v>594.8545896005733</v>
      </c>
      <c r="U22">
        <f>IF('Hyd routing'!F26&lt;&gt;0.000001,'Erosion calcs'!J21,"")</f>
        <v>5426.41555729173</v>
      </c>
      <c r="V22">
        <f>IF('Hyd routing'!F26&lt;&gt;0.000001,MAX((R22+S22)-U22,0),0)</f>
        <v>0</v>
      </c>
      <c r="W22">
        <f>IF('Hyd routing'!F26&lt;&gt;0.000001,V22/(62.4*2.65),0)</f>
        <v>0</v>
      </c>
      <c r="X22">
        <f>IF('Hyd routing'!G26&lt;&gt;0.000001,X21+W22,0)</f>
        <v>0</v>
      </c>
      <c r="Y22">
        <f>IF('Hyd routing'!F26&lt;&gt;0.000001,X22/('Preliminary calcs'!B$17*'Preliminary calcs'!B$15*'Preliminary calcs'!B$13),0)*100</f>
        <v>0</v>
      </c>
      <c r="Z22">
        <f t="shared" si="0"/>
        <v>0</v>
      </c>
      <c r="AA22">
        <f t="shared" si="1"/>
        <v>4713.708325718771</v>
      </c>
      <c r="AB22">
        <f t="shared" si="2"/>
        <v>28.5057349160545</v>
      </c>
      <c r="AC22">
        <f>AB22/'Preliminary calcs'!B$13</f>
        <v>0.07126433729013625</v>
      </c>
      <c r="AD22">
        <f>SQRT(2*AC22*'Preliminary calcs'!B$14)</f>
        <v>0.10678152446196766</v>
      </c>
    </row>
    <row r="23" spans="1:30" ht="12.75">
      <c r="A23" s="4"/>
      <c r="B23" s="4"/>
      <c r="C23" s="4"/>
      <c r="D23">
        <v>1.9</v>
      </c>
      <c r="E23" s="1">
        <v>19</v>
      </c>
      <c r="F23">
        <f>IF('Hyd routing'!F27&lt;&gt;0.000001,'Hyd routing'!AC27,0)</f>
        <v>0.01916972126610288</v>
      </c>
      <c r="G23">
        <f>IF('Hyd routing'!F27&lt;&gt;0.000001,F23*$A$3,0)</f>
        <v>0.07062638404490855</v>
      </c>
      <c r="H23">
        <f>IF('Hyd routing'!F27&lt;&gt;0.000001,AVERAGE(G22:G23)*(D23-D22)*3600,0)</f>
        <v>25.18015048132332</v>
      </c>
      <c r="I23">
        <f>IF('Hyd routing'!F27&lt;&gt;0.000001,'Hyd routing'!U27,0)</f>
        <v>0.04892474989194581</v>
      </c>
      <c r="J23">
        <f>IF('Hyd routing'!F27&lt;&gt;0.000001,I23*$A$11,0)</f>
        <v>0.13500865334847004</v>
      </c>
      <c r="K23">
        <f>IF('Hyd routing'!F27&lt;&gt;0.000001,AVERAGE(J22:J23)*(D23-D22)*3600,0)</f>
        <v>48.20665885715729</v>
      </c>
      <c r="L23" s="6">
        <f>IF('Hyd routing'!F27&lt;&gt;0.000001,'Hyd routing'!AD27,0)</f>
        <v>0.017026298223629405</v>
      </c>
      <c r="M23">
        <f>IF('Hyd routing'!F27&lt;&gt;0.000001,L23*$A$3,0)</f>
        <v>0.06272943985531715</v>
      </c>
      <c r="N23">
        <f>IF('Hyd routing'!F27&lt;&gt;0.000001,AVERAGE(M22:M23)*(D23-D22)*3600,0)</f>
        <v>22.5319394456795</v>
      </c>
      <c r="O23">
        <f>IF('Hyd routing'!F27&lt;&gt;0.000001,'Hyd routing'!V27,0)</f>
        <v>0.06609003231518172</v>
      </c>
      <c r="P23">
        <f>IF('Hyd routing'!F27&lt;&gt;0.000001,O23*$A$11,0)</f>
        <v>0.18237653298864276</v>
      </c>
      <c r="Q23">
        <f>IF('Hyd routing'!F27&lt;&gt;0.000001,AVERAGE(P22:P23)*(D23-D22)*3600,0)</f>
        <v>65.46024670220244</v>
      </c>
      <c r="R23">
        <f>IF('Hyd routing'!F27&lt;&gt;0.000001,R22+N23,"")</f>
        <v>140.3845814180646</v>
      </c>
      <c r="S23">
        <f>IF('Hyd routing'!F27&lt;&gt;0.000001,S22+Q23+K23,0)</f>
        <v>708.521495159933</v>
      </c>
      <c r="U23">
        <f>IF('Hyd routing'!F27&lt;&gt;0.000001,'Erosion calcs'!J22,"")</f>
        <v>5508.714448879058</v>
      </c>
      <c r="V23">
        <f>IF('Hyd routing'!F27&lt;&gt;0.000001,MAX((R23+S23)-U23,0),0)</f>
        <v>0</v>
      </c>
      <c r="W23">
        <f>IF('Hyd routing'!F27&lt;&gt;0.000001,V23/(62.4*2.65),0)</f>
        <v>0</v>
      </c>
      <c r="X23">
        <f>IF('Hyd routing'!G27&lt;&gt;0.000001,X22+W23,0)</f>
        <v>0</v>
      </c>
      <c r="Y23">
        <f>IF('Hyd routing'!F27&lt;&gt;0.000001,X23/('Preliminary calcs'!B$17*'Preliminary calcs'!B$15*'Preliminary calcs'!B$13),0)*100</f>
        <v>0</v>
      </c>
      <c r="Z23">
        <f t="shared" si="0"/>
        <v>0</v>
      </c>
      <c r="AA23">
        <f t="shared" si="1"/>
        <v>4659.80837230106</v>
      </c>
      <c r="AB23">
        <f t="shared" si="2"/>
        <v>28.17977970670695</v>
      </c>
      <c r="AC23">
        <f>AB23/'Preliminary calcs'!B$13</f>
        <v>0.07044944926676737</v>
      </c>
      <c r="AD23">
        <f>SQRT(2*AC23*'Preliminary calcs'!B$14)</f>
        <v>0.1061692605356314</v>
      </c>
    </row>
    <row r="24" spans="1:30" ht="12.75">
      <c r="A24" s="4"/>
      <c r="B24" s="4"/>
      <c r="C24" s="4"/>
      <c r="D24">
        <v>2</v>
      </c>
      <c r="E24" s="1">
        <v>20</v>
      </c>
      <c r="F24">
        <f>IF('Hyd routing'!F28&lt;&gt;0.000001,'Hyd routing'!AC28,0)</f>
        <v>0.019532234859762316</v>
      </c>
      <c r="G24">
        <f>IF('Hyd routing'!F28&lt;&gt;0.000001,F24*$A$3,0)</f>
        <v>0.07196198115307122</v>
      </c>
      <c r="H24">
        <f>IF('Hyd routing'!F28&lt;&gt;0.000001,AVERAGE(G23:G24)*(D24-D23)*3600,0)</f>
        <v>25.665905735636382</v>
      </c>
      <c r="I24">
        <f>IF('Hyd routing'!F28&lt;&gt;0.000001,'Hyd routing'!U28,0)</f>
        <v>0.04970445510391976</v>
      </c>
      <c r="J24">
        <f>IF('Hyd routing'!F28&lt;&gt;0.000001,I24*$A$11,0)</f>
        <v>0.13716026272633863</v>
      </c>
      <c r="K24">
        <f>IF('Hyd routing'!F28&lt;&gt;0.000001,AVERAGE(J23:J24)*(D24-D23)*3600,0)</f>
        <v>48.9904048934656</v>
      </c>
      <c r="L24" s="6">
        <f>IF('Hyd routing'!F28&lt;&gt;0.000001,'Hyd routing'!AD28,0)</f>
        <v>0.017098387850059103</v>
      </c>
      <c r="M24">
        <f>IF('Hyd routing'!F28&lt;&gt;0.000001,L24*$A$3,0)</f>
        <v>0.06299503733434157</v>
      </c>
      <c r="N24">
        <f>IF('Hyd routing'!F28&lt;&gt;0.000001,AVERAGE(M23:M24)*(D24-D23)*3600,0)</f>
        <v>22.63040589413859</v>
      </c>
      <c r="O24">
        <f>IF('Hyd routing'!F28&lt;&gt;0.000001,'Hyd routing'!V28,0)</f>
        <v>0.06646616831723735</v>
      </c>
      <c r="P24">
        <f>IF('Hyd routing'!F28&lt;&gt;0.000001,O24*$A$11,0)</f>
        <v>0.18341448648305128</v>
      </c>
      <c r="Q24">
        <f>IF('Hyd routing'!F28&lt;&gt;0.000001,AVERAGE(P23:P24)*(D24-D23)*3600,0)</f>
        <v>65.84238350490499</v>
      </c>
      <c r="R24">
        <f>IF('Hyd routing'!F28&lt;&gt;0.000001,R23+N24,"")</f>
        <v>163.0149873122032</v>
      </c>
      <c r="S24">
        <f>IF('Hyd routing'!F28&lt;&gt;0.000001,S23+Q24+K24,0)</f>
        <v>823.3542835583036</v>
      </c>
      <c r="U24">
        <f>IF('Hyd routing'!F28&lt;&gt;0.000001,'Erosion calcs'!J23,"")</f>
        <v>5591.071612213517</v>
      </c>
      <c r="V24">
        <f>IF('Hyd routing'!F28&lt;&gt;0.000001,MAX((R24+S24)-U24,0),0)</f>
        <v>0</v>
      </c>
      <c r="W24">
        <f>IF('Hyd routing'!F28&lt;&gt;0.000001,V24/(62.4*2.65),0)</f>
        <v>0</v>
      </c>
      <c r="X24">
        <f>IF('Hyd routing'!G28&lt;&gt;0.000001,X23+W24,0)</f>
        <v>0</v>
      </c>
      <c r="Y24">
        <f>IF('Hyd routing'!F28&lt;&gt;0.000001,X24/('Preliminary calcs'!B$17*'Preliminary calcs'!B$15*'Preliminary calcs'!B$13),0)*100</f>
        <v>0</v>
      </c>
      <c r="Z24">
        <f t="shared" si="0"/>
        <v>0</v>
      </c>
      <c r="AA24">
        <f t="shared" si="1"/>
        <v>4604.70234134301</v>
      </c>
      <c r="AB24">
        <f t="shared" si="2"/>
        <v>27.846530849921447</v>
      </c>
      <c r="AC24">
        <f>AB24/'Preliminary calcs'!B$13</f>
        <v>0.06961632712480362</v>
      </c>
      <c r="AD24">
        <f>SQRT(2*AC24*'Preliminary calcs'!B$14)</f>
        <v>0.10553962450174142</v>
      </c>
    </row>
    <row r="25" spans="1:30" ht="12.75">
      <c r="A25" s="4"/>
      <c r="B25" s="4"/>
      <c r="C25" s="4"/>
      <c r="D25">
        <v>2.1</v>
      </c>
      <c r="E25" s="1">
        <v>21</v>
      </c>
      <c r="F25">
        <f>IF('Hyd routing'!F29&lt;&gt;0.000001,'Hyd routing'!AC29,0)</f>
        <v>0.019766273936027055</v>
      </c>
      <c r="G25">
        <f>IF('Hyd routing'!F29&lt;&gt;0.000001,F25*$A$3,0)</f>
        <v>0.07282424375211158</v>
      </c>
      <c r="H25">
        <f>IF('Hyd routing'!F29&lt;&gt;0.000001,AVERAGE(G24:G25)*(D25-D24)*3600,0)</f>
        <v>26.061520482932924</v>
      </c>
      <c r="I25">
        <f>IF('Hyd routing'!F29&lt;&gt;0.000001,'Hyd routing'!U29,0)</f>
        <v>0.0502504323127074</v>
      </c>
      <c r="J25">
        <f>IF('Hyd routing'!F29&lt;&gt;0.000001,I25*$A$11,0)</f>
        <v>0.13866689582881075</v>
      </c>
      <c r="K25">
        <f>IF('Hyd routing'!F29&lt;&gt;0.000001,AVERAGE(J24:J25)*(D25-D24)*3600,0)</f>
        <v>49.64888853992693</v>
      </c>
      <c r="L25" s="6">
        <f>IF('Hyd routing'!F29&lt;&gt;0.000001,'Hyd routing'!AD29,0)</f>
        <v>0.017050992031754034</v>
      </c>
      <c r="M25">
        <f>IF('Hyd routing'!F29&lt;&gt;0.000001,L25*$A$3,0)</f>
        <v>0.06282041845390665</v>
      </c>
      <c r="N25">
        <f>IF('Hyd routing'!F29&lt;&gt;0.000001,AVERAGE(M24:M25)*(D25-D24)*3600,0)</f>
        <v>22.646782041884695</v>
      </c>
      <c r="O25">
        <f>IF('Hyd routing'!F29&lt;&gt;0.000001,'Hyd routing'!V29,0)</f>
        <v>0.0665138946829016</v>
      </c>
      <c r="P25">
        <f>IF('Hyd routing'!F29&lt;&gt;0.000001,O25*$A$11,0)</f>
        <v>0.18354618817538038</v>
      </c>
      <c r="Q25">
        <f>IF('Hyd routing'!F29&lt;&gt;0.000001,AVERAGE(P24:P25)*(D25-D24)*3600,0)</f>
        <v>66.05292143851776</v>
      </c>
      <c r="R25">
        <f>IF('Hyd routing'!F29&lt;&gt;0.000001,R24+N25,"")</f>
        <v>185.6617693540879</v>
      </c>
      <c r="S25">
        <f>IF('Hyd routing'!F29&lt;&gt;0.000001,S24+Q25+K25,0)</f>
        <v>939.0560935367482</v>
      </c>
      <c r="U25">
        <f>IF('Hyd routing'!F29&lt;&gt;0.000001,'Erosion calcs'!J24,"")</f>
        <v>5647.446308916895</v>
      </c>
      <c r="V25">
        <f>IF('Hyd routing'!F29&lt;&gt;0.000001,MAX((R25+S25)-U25,0),0)</f>
        <v>0</v>
      </c>
      <c r="W25">
        <f>IF('Hyd routing'!F29&lt;&gt;0.000001,V25/(62.4*2.65),0)</f>
        <v>0</v>
      </c>
      <c r="X25">
        <f>IF('Hyd routing'!G29&lt;&gt;0.000001,X24+W25,0)</f>
        <v>0</v>
      </c>
      <c r="Y25">
        <f>IF('Hyd routing'!F29&lt;&gt;0.000001,X25/('Preliminary calcs'!B$17*'Preliminary calcs'!B$15*'Preliminary calcs'!B$13),0)*100</f>
        <v>0</v>
      </c>
      <c r="Z25">
        <f t="shared" si="0"/>
        <v>0</v>
      </c>
      <c r="AA25">
        <f t="shared" si="1"/>
        <v>4522.728446026059</v>
      </c>
      <c r="AB25">
        <f t="shared" si="2"/>
        <v>27.35080095564864</v>
      </c>
      <c r="AC25">
        <f>AB25/'Preliminary calcs'!B$13</f>
        <v>0.0683770023891216</v>
      </c>
      <c r="AD25">
        <f>SQRT(2*AC25*'Preliminary calcs'!B$14)</f>
        <v>0.10459598645387622</v>
      </c>
    </row>
    <row r="26" spans="1:30" ht="12.75">
      <c r="A26" s="4"/>
      <c r="B26" s="4"/>
      <c r="C26" s="4"/>
      <c r="D26">
        <v>2.2</v>
      </c>
      <c r="E26" s="1">
        <v>22</v>
      </c>
      <c r="F26">
        <f>IF('Hyd routing'!F30&lt;&gt;0.000001,'Hyd routing'!AC30,0)</f>
        <v>0.01967025337621464</v>
      </c>
      <c r="G26">
        <f>IF('Hyd routing'!F30&lt;&gt;0.000001,F26*$A$3,0)</f>
        <v>0.07247047830923525</v>
      </c>
      <c r="H26">
        <f>IF('Hyd routing'!F30&lt;&gt;0.000001,AVERAGE(G25:G26)*(D26-D25)*3600,0)</f>
        <v>26.153049971042453</v>
      </c>
      <c r="I26">
        <f>IF('Hyd routing'!F30&lt;&gt;0.000001,'Hyd routing'!U30,0)</f>
        <v>0.05016158385322292</v>
      </c>
      <c r="J26">
        <f>IF('Hyd routing'!F30&lt;&gt;0.000001,I26*$A$11,0)</f>
        <v>0.1384217170411097</v>
      </c>
      <c r="K26">
        <f>IF('Hyd routing'!F30&lt;&gt;0.000001,AVERAGE(J25:J26)*(D26-D25)*3600,0)</f>
        <v>49.87595031658573</v>
      </c>
      <c r="L26" s="6">
        <f>IF('Hyd routing'!F30&lt;&gt;0.000001,'Hyd routing'!AD30,0)</f>
        <v>0.016695558727306055</v>
      </c>
      <c r="M26">
        <f>IF('Hyd routing'!F30&lt;&gt;0.000001,L26*$A$3,0)</f>
        <v>0.06151090702628446</v>
      </c>
      <c r="N26">
        <f>IF('Hyd routing'!F30&lt;&gt;0.000001,AVERAGE(M25:M26)*(D26-D25)*3600,0)</f>
        <v>22.379638586434417</v>
      </c>
      <c r="O26">
        <f>IF('Hyd routing'!F30&lt;&gt;0.000001,'Hyd routing'!V30,0)</f>
        <v>0.06565960370511799</v>
      </c>
      <c r="P26">
        <f>IF('Hyd routing'!F30&lt;&gt;0.000001,O26*$A$11,0)</f>
        <v>0.18118875814798027</v>
      </c>
      <c r="Q26">
        <f>IF('Hyd routing'!F30&lt;&gt;0.000001,AVERAGE(P25:P26)*(D26-D25)*3600,0)</f>
        <v>65.65229033820498</v>
      </c>
      <c r="R26">
        <f>IF('Hyd routing'!F30&lt;&gt;0.000001,R25+N26,"")</f>
        <v>208.04140794052233</v>
      </c>
      <c r="S26">
        <f>IF('Hyd routing'!F30&lt;&gt;0.000001,S25+Q26+K26,0)</f>
        <v>1054.5843341915388</v>
      </c>
      <c r="U26">
        <f>IF('Hyd routing'!F30&lt;&gt;0.000001,'Erosion calcs'!J25,"")</f>
        <v>5677.815265643447</v>
      </c>
      <c r="V26">
        <f>IF('Hyd routing'!F30&lt;&gt;0.000001,MAX((R26+S26)-U26,0),0)</f>
        <v>0</v>
      </c>
      <c r="W26">
        <f>IF('Hyd routing'!F30&lt;&gt;0.000001,V26/(62.4*2.65),0)</f>
        <v>0</v>
      </c>
      <c r="X26">
        <f>IF('Hyd routing'!G30&lt;&gt;0.000001,X25+W26,0)</f>
        <v>0</v>
      </c>
      <c r="Y26">
        <f>IF('Hyd routing'!F30&lt;&gt;0.000001,X26/('Preliminary calcs'!B$17*'Preliminary calcs'!B$15*'Preliminary calcs'!B$13),0)*100</f>
        <v>0</v>
      </c>
      <c r="Z26">
        <f t="shared" si="0"/>
        <v>0</v>
      </c>
      <c r="AA26">
        <f t="shared" si="1"/>
        <v>4415.189523511385</v>
      </c>
      <c r="AB26">
        <f t="shared" si="2"/>
        <v>26.700468816590384</v>
      </c>
      <c r="AC26">
        <f>AB26/'Preliminary calcs'!B$13</f>
        <v>0.06675117204147596</v>
      </c>
      <c r="AD26">
        <f>SQRT(2*AC26*'Preliminary calcs'!B$14)</f>
        <v>0.10334499275067058</v>
      </c>
    </row>
    <row r="27" spans="1:30" ht="12.75">
      <c r="A27" s="4"/>
      <c r="B27" s="4"/>
      <c r="C27" s="4"/>
      <c r="D27">
        <v>2.3</v>
      </c>
      <c r="E27" s="1">
        <v>23</v>
      </c>
      <c r="F27">
        <f>IF('Hyd routing'!F31&lt;&gt;0.000001,'Hyd routing'!AC31,0)</f>
        <v>0.019576940027311127</v>
      </c>
      <c r="G27">
        <f>IF('Hyd routing'!F31&lt;&gt;0.000001,F27*$A$3,0)</f>
        <v>0.07212668695594991</v>
      </c>
      <c r="H27">
        <f>IF('Hyd routing'!F31&lt;&gt;0.000001,AVERAGE(G26:G27)*(D27-D26)*3600,0)</f>
        <v>26.02748974773324</v>
      </c>
      <c r="I27">
        <f>IF('Hyd routing'!F31&lt;&gt;0.000001,'Hyd routing'!U31,0)</f>
        <v>0.049961199177305286</v>
      </c>
      <c r="J27">
        <f>IF('Hyd routing'!F31&lt;&gt;0.000001,I27*$A$11,0)</f>
        <v>0.1378687522266332</v>
      </c>
      <c r="K27">
        <f>IF('Hyd routing'!F31&lt;&gt;0.000001,AVERAGE(J26:J27)*(D27-D26)*3600,0)</f>
        <v>49.73228446819355</v>
      </c>
      <c r="L27" s="6">
        <f>IF('Hyd routing'!F31&lt;&gt;0.000001,'Hyd routing'!AD31,0)</f>
        <v>0.016353989104137105</v>
      </c>
      <c r="M27">
        <f>IF('Hyd routing'!F31&lt;&gt;0.000001,L27*$A$3,0)</f>
        <v>0.060252473111198676</v>
      </c>
      <c r="N27">
        <f>IF('Hyd routing'!F31&lt;&gt;0.000001,AVERAGE(M26:M27)*(D27-D26)*3600,0)</f>
        <v>21.917408424746885</v>
      </c>
      <c r="O27">
        <f>IF('Hyd routing'!F31&lt;&gt;0.000001,'Hyd routing'!V31,0)</f>
        <v>0.0646768782080312</v>
      </c>
      <c r="P27">
        <f>IF('Hyd routing'!F31&lt;&gt;0.000001,O27*$A$11,0)</f>
        <v>0.17847691094864004</v>
      </c>
      <c r="Q27">
        <f>IF('Hyd routing'!F31&lt;&gt;0.000001,AVERAGE(P26:P27)*(D27-D26)*3600,0)</f>
        <v>64.73982043739143</v>
      </c>
      <c r="R27">
        <f>IF('Hyd routing'!F31&lt;&gt;0.000001,R26+N27,"")</f>
        <v>229.95881636526923</v>
      </c>
      <c r="S27">
        <f>IF('Hyd routing'!F31&lt;&gt;0.000001,S26+Q27+K27,0)</f>
        <v>1169.0564390971238</v>
      </c>
      <c r="U27">
        <f>IF('Hyd routing'!F31&lt;&gt;0.000001,'Erosion calcs'!J26,"")</f>
        <v>5708.193494397633</v>
      </c>
      <c r="V27">
        <f>IF('Hyd routing'!F31&lt;&gt;0.000001,MAX((R27+S27)-U27,0),0)</f>
        <v>0</v>
      </c>
      <c r="W27">
        <f>IF('Hyd routing'!F31&lt;&gt;0.000001,V27/(62.4*2.65),0)</f>
        <v>0</v>
      </c>
      <c r="X27">
        <f>IF('Hyd routing'!G31&lt;&gt;0.000001,X26+W27,0)</f>
        <v>0</v>
      </c>
      <c r="Y27">
        <f>IF('Hyd routing'!F31&lt;&gt;0.000001,X27/('Preliminary calcs'!B$17*'Preliminary calcs'!B$15*'Preliminary calcs'!B$13),0)*100</f>
        <v>0</v>
      </c>
      <c r="Z27">
        <f t="shared" si="0"/>
        <v>0</v>
      </c>
      <c r="AA27">
        <f t="shared" si="1"/>
        <v>4309.17823893524</v>
      </c>
      <c r="AB27">
        <f t="shared" si="2"/>
        <v>26.059374933086843</v>
      </c>
      <c r="AC27">
        <f>AB27/'Preliminary calcs'!B$13</f>
        <v>0.06514843733271711</v>
      </c>
      <c r="AD27">
        <f>SQRT(2*AC27*'Preliminary calcs'!B$14)</f>
        <v>0.10209676769239434</v>
      </c>
    </row>
    <row r="28" spans="1:30" ht="12.75">
      <c r="A28" s="4"/>
      <c r="B28" s="4"/>
      <c r="C28" s="4"/>
      <c r="D28">
        <v>2.4</v>
      </c>
      <c r="E28" s="1">
        <v>24</v>
      </c>
      <c r="F28">
        <f>IF('Hyd routing'!F32&lt;&gt;0.000001,'Hyd routing'!AC32,0)</f>
        <v>0.019486252737626157</v>
      </c>
      <c r="G28">
        <f>IF('Hyd routing'!F32&lt;&gt;0.000001,F28*$A$3,0)</f>
        <v>0.07179257070770753</v>
      </c>
      <c r="H28">
        <f>IF('Hyd routing'!F32&lt;&gt;0.000001,AVERAGE(G27:G28)*(D28-D27)*3600,0)</f>
        <v>25.90546637945836</v>
      </c>
      <c r="I28">
        <f>IF('Hyd routing'!F32&lt;&gt;0.000001,'Hyd routing'!U32,0)</f>
        <v>0.04976630700687836</v>
      </c>
      <c r="J28">
        <f>IF('Hyd routing'!F32&lt;&gt;0.000001,I28*$A$11,0)</f>
        <v>0.13733094407154578</v>
      </c>
      <c r="K28">
        <f>IF('Hyd routing'!F32&lt;&gt;0.000001,AVERAGE(J27:J28)*(D28-D27)*3600,0)</f>
        <v>49.53594533367226</v>
      </c>
      <c r="L28" s="6">
        <f>IF('Hyd routing'!F32&lt;&gt;0.000001,'Hyd routing'!AD32,0)</f>
        <v>0.01602569787429195</v>
      </c>
      <c r="M28">
        <f>IF('Hyd routing'!F32&lt;&gt;0.000001,L28*$A$3,0)</f>
        <v>0.0590429603511661</v>
      </c>
      <c r="N28">
        <f>IF('Hyd routing'!F32&lt;&gt;0.000001,AVERAGE(M27:M28)*(D28-D27)*3600,0)</f>
        <v>21.473178023225678</v>
      </c>
      <c r="O28">
        <f>IF('Hyd routing'!F32&lt;&gt;0.000001,'Hyd routing'!V32,0)</f>
        <v>0.06372783914795951</v>
      </c>
      <c r="P28">
        <f>IF('Hyd routing'!F32&lt;&gt;0.000001,O28*$A$11,0)</f>
        <v>0.1758580220272177</v>
      </c>
      <c r="Q28">
        <f>IF('Hyd routing'!F32&lt;&gt;0.000001,AVERAGE(P27:P28)*(D28-D27)*3600,0)</f>
        <v>63.78028793565445</v>
      </c>
      <c r="R28">
        <f>IF('Hyd routing'!F32&lt;&gt;0.000001,R27+N28,"")</f>
        <v>251.4319943884949</v>
      </c>
      <c r="S28">
        <f>IF('Hyd routing'!F32&lt;&gt;0.000001,S27+Q28+K28,0)</f>
        <v>1282.3726723664506</v>
      </c>
      <c r="U28">
        <f>IF('Hyd routing'!F32&lt;&gt;0.000001,'Erosion calcs'!J27,"")</f>
        <v>5738.580652131379</v>
      </c>
      <c r="V28">
        <f>IF('Hyd routing'!F32&lt;&gt;0.000001,MAX((R28+S28)-U28,0),0)</f>
        <v>0</v>
      </c>
      <c r="W28">
        <f>IF('Hyd routing'!F32&lt;&gt;0.000001,V28/(62.4*2.65),0)</f>
        <v>0</v>
      </c>
      <c r="X28">
        <f>IF('Hyd routing'!G32&lt;&gt;0.000001,X27+W28,0)</f>
        <v>0</v>
      </c>
      <c r="Y28">
        <f>IF('Hyd routing'!F32&lt;&gt;0.000001,X28/('Preliminary calcs'!B$17*'Preliminary calcs'!B$15*'Preliminary calcs'!B$13),0)*100</f>
        <v>0</v>
      </c>
      <c r="Z28">
        <f t="shared" si="0"/>
        <v>0</v>
      </c>
      <c r="AA28">
        <f t="shared" si="1"/>
        <v>4204.775985376434</v>
      </c>
      <c r="AB28">
        <f t="shared" si="2"/>
        <v>25.428011522595757</v>
      </c>
      <c r="AC28">
        <f>AB28/'Preliminary calcs'!B$13</f>
        <v>0.06357002880648939</v>
      </c>
      <c r="AD28">
        <f>SQRT(2*AC28*'Preliminary calcs'!B$14)</f>
        <v>0.10085239019992685</v>
      </c>
    </row>
    <row r="29" spans="1:30" ht="12.75">
      <c r="A29" s="4"/>
      <c r="B29" s="4"/>
      <c r="C29" s="4"/>
      <c r="D29">
        <v>2.5</v>
      </c>
      <c r="E29" s="1">
        <v>25</v>
      </c>
      <c r="F29">
        <f>IF('Hyd routing'!F33&lt;&gt;0.000001,'Hyd routing'!AC33,0)</f>
        <v>0.01939811188963305</v>
      </c>
      <c r="G29">
        <f>IF('Hyd routing'!F33&lt;&gt;0.000001,F29*$A$3,0)</f>
        <v>0.07146783623222965</v>
      </c>
      <c r="H29">
        <f>IF('Hyd routing'!F33&lt;&gt;0.000001,AVERAGE(G28:G29)*(D29-D28)*3600,0)</f>
        <v>25.78687324918872</v>
      </c>
      <c r="I29">
        <f>IF('Hyd routing'!F33&lt;&gt;0.000001,'Hyd routing'!U33,0)</f>
        <v>0.04957674828259314</v>
      </c>
      <c r="J29">
        <f>IF('Hyd routing'!F33&lt;&gt;0.000001,I29*$A$11,0)</f>
        <v>0.13680785364895345</v>
      </c>
      <c r="K29">
        <f>IF('Hyd routing'!F33&lt;&gt;0.000001,AVERAGE(J28:J29)*(D29-D28)*3600,0)</f>
        <v>49.344983589689896</v>
      </c>
      <c r="L29" s="6">
        <f>IF('Hyd routing'!F33&lt;&gt;0.000001,'Hyd routing'!AD33,0)</f>
        <v>0.015710128136524424</v>
      </c>
      <c r="M29">
        <f>IF('Hyd routing'!F33&lt;&gt;0.000001,L29*$A$3,0)</f>
        <v>0.05788031697293761</v>
      </c>
      <c r="N29">
        <f>IF('Hyd routing'!F33&lt;&gt;0.000001,AVERAGE(M28:M29)*(D29-D28)*3600,0)</f>
        <v>21.046189918338687</v>
      </c>
      <c r="O29">
        <f>IF('Hyd routing'!F33&lt;&gt;0.000001,'Hyd routing'!V33,0)</f>
        <v>0.06281128293978352</v>
      </c>
      <c r="P29">
        <f>IF('Hyd routing'!F33&lt;&gt;0.000001,O29*$A$11,0)</f>
        <v>0.17332877007074748</v>
      </c>
      <c r="Q29">
        <f>IF('Hyd routing'!F33&lt;&gt;0.000001,AVERAGE(P28:P29)*(D29-D28)*3600,0)</f>
        <v>62.853622577633786</v>
      </c>
      <c r="R29">
        <f>IF('Hyd routing'!F33&lt;&gt;0.000001,R28+N29,"")</f>
        <v>272.4781843068336</v>
      </c>
      <c r="S29">
        <f>IF('Hyd routing'!F33&lt;&gt;0.000001,S28+Q29+K29,0)</f>
        <v>1394.5712785337744</v>
      </c>
      <c r="U29">
        <f>IF('Hyd routing'!F33&lt;&gt;0.000001,'Erosion calcs'!J28,"")</f>
        <v>5768.9764125033125</v>
      </c>
      <c r="V29">
        <f>IF('Hyd routing'!F33&lt;&gt;0.000001,MAX((R29+S29)-U29,0),0)</f>
        <v>0</v>
      </c>
      <c r="W29">
        <f>IF('Hyd routing'!F33&lt;&gt;0.000001,V29/(62.4*2.65),0)</f>
        <v>0</v>
      </c>
      <c r="X29">
        <f>IF('Hyd routing'!G33&lt;&gt;0.000001,X28+W29,0)</f>
        <v>0</v>
      </c>
      <c r="Y29">
        <f>IF('Hyd routing'!F33&lt;&gt;0.000001,X29/('Preliminary calcs'!B$17*'Preliminary calcs'!B$15*'Preliminary calcs'!B$13),0)*100</f>
        <v>0</v>
      </c>
      <c r="Z29">
        <f t="shared" si="0"/>
        <v>0</v>
      </c>
      <c r="AA29">
        <f t="shared" si="1"/>
        <v>4101.926949662704</v>
      </c>
      <c r="AB29">
        <f t="shared" si="2"/>
        <v>24.80604105988573</v>
      </c>
      <c r="AC29">
        <f>AB29/'Preliminary calcs'!B$13</f>
        <v>0.06201510264971432</v>
      </c>
      <c r="AD29">
        <f>SQRT(2*AC29*'Preliminary calcs'!B$14)</f>
        <v>0.09961132678543284</v>
      </c>
    </row>
    <row r="30" spans="1:30" ht="12.75">
      <c r="A30" s="4"/>
      <c r="B30" s="4"/>
      <c r="C30" s="4"/>
      <c r="D30">
        <v>2.6</v>
      </c>
      <c r="E30" s="1">
        <v>26</v>
      </c>
      <c r="F30">
        <f>IF('Hyd routing'!F34&lt;&gt;0.000001,'Hyd routing'!AC34,0)</f>
        <v>0.019278057194946588</v>
      </c>
      <c r="G30">
        <f>IF('Hyd routing'!F34&lt;&gt;0.000001,F30*$A$3,0)</f>
        <v>0.0710255226035848</v>
      </c>
      <c r="H30">
        <f>IF('Hyd routing'!F34&lt;&gt;0.000001,AVERAGE(G29:G30)*(D30-D29)*3600,0)</f>
        <v>25.64880459044662</v>
      </c>
      <c r="I30">
        <f>IF('Hyd routing'!F34&lt;&gt;0.000001,'Hyd routing'!U34,0)</f>
        <v>0.04933077067390272</v>
      </c>
      <c r="J30">
        <f>IF('Hyd routing'!F34&lt;&gt;0.000001,I30*$A$11,0)</f>
        <v>0.13612907438535957</v>
      </c>
      <c r="K30">
        <f>IF('Hyd routing'!F34&lt;&gt;0.000001,AVERAGE(J29:J30)*(D30-D29)*3600,0)</f>
        <v>49.12864704617639</v>
      </c>
      <c r="L30" s="6">
        <f>IF('Hyd routing'!F34&lt;&gt;0.000001,'Hyd routing'!AD34,0)</f>
        <v>0.015374615150741688</v>
      </c>
      <c r="M30">
        <f>IF('Hyd routing'!F34&lt;&gt;0.000001,L30*$A$3,0)</f>
        <v>0.05664419733108103</v>
      </c>
      <c r="N30">
        <f>IF('Hyd routing'!F34&lt;&gt;0.000001,AVERAGE(M29:M30)*(D30-D29)*3600,0)</f>
        <v>20.614412574723374</v>
      </c>
      <c r="O30">
        <f>IF('Hyd routing'!F34&lt;&gt;0.000001,'Hyd routing'!V34,0)</f>
        <v>0.06183698308436537</v>
      </c>
      <c r="P30">
        <f>IF('Hyd routing'!F34&lt;&gt;0.000001,O30*$A$11,0)</f>
        <v>0.17064017356840197</v>
      </c>
      <c r="Q30">
        <f>IF('Hyd routing'!F34&lt;&gt;0.000001,AVERAGE(P29:P30)*(D30-D29)*3600,0)</f>
        <v>61.91440985504695</v>
      </c>
      <c r="R30">
        <f>IF('Hyd routing'!F34&lt;&gt;0.000001,R29+N30,"")</f>
        <v>293.092596881557</v>
      </c>
      <c r="S30">
        <f>IF('Hyd routing'!F34&lt;&gt;0.000001,S29+Q30+K30,0)</f>
        <v>1505.6143354349977</v>
      </c>
      <c r="U30">
        <f>IF('Hyd routing'!F34&lt;&gt;0.000001,'Erosion calcs'!J29,"")</f>
        <v>5793.653761588278</v>
      </c>
      <c r="V30">
        <f>IF('Hyd routing'!F34&lt;&gt;0.000001,MAX((R30+S30)-U30,0),0)</f>
        <v>0</v>
      </c>
      <c r="W30">
        <f>IF('Hyd routing'!F34&lt;&gt;0.000001,V30/(62.4*2.65),0)</f>
        <v>0</v>
      </c>
      <c r="X30">
        <f>IF('Hyd routing'!G34&lt;&gt;0.000001,X29+W30,0)</f>
        <v>0</v>
      </c>
      <c r="Y30">
        <f>IF('Hyd routing'!F34&lt;&gt;0.000001,X30/('Preliminary calcs'!B$17*'Preliminary calcs'!B$15*'Preliminary calcs'!B$13),0)*100</f>
        <v>0</v>
      </c>
      <c r="Z30">
        <f t="shared" si="0"/>
        <v>0</v>
      </c>
      <c r="AA30">
        <f t="shared" si="1"/>
        <v>3994.946829271723</v>
      </c>
      <c r="AB30">
        <f t="shared" si="2"/>
        <v>24.159088227332628</v>
      </c>
      <c r="AC30">
        <f>AB30/'Preliminary calcs'!B$13</f>
        <v>0.06039772056833157</v>
      </c>
      <c r="AD30">
        <f>SQRT(2*AC30*'Preliminary calcs'!B$14)</f>
        <v>0.09830379082687021</v>
      </c>
    </row>
    <row r="31" spans="1:30" ht="12.75">
      <c r="A31" s="4"/>
      <c r="B31" s="4"/>
      <c r="C31" s="4"/>
      <c r="D31">
        <v>2.7</v>
      </c>
      <c r="E31" s="1">
        <v>27</v>
      </c>
      <c r="F31">
        <f>IF('Hyd routing'!F35&lt;&gt;0.000001,'Hyd routing'!AC35,0)</f>
        <v>0.019069302961536833</v>
      </c>
      <c r="G31">
        <f>IF('Hyd routing'!F35&lt;&gt;0.000001,F31*$A$3,0)</f>
        <v>0.07025641613327485</v>
      </c>
      <c r="H31">
        <f>IF('Hyd routing'!F35&lt;&gt;0.000001,AVERAGE(G30:G31)*(D31-D30)*3600,0)</f>
        <v>25.43074897263476</v>
      </c>
      <c r="I31">
        <f>IF('Hyd routing'!F35&lt;&gt;0.000001,'Hyd routing'!U35,0)</f>
        <v>0.04891413004544814</v>
      </c>
      <c r="J31">
        <f>IF('Hyd routing'!F35&lt;&gt;0.000001,I31*$A$11,0)</f>
        <v>0.13497934770710068</v>
      </c>
      <c r="K31">
        <f>IF('Hyd routing'!F35&lt;&gt;0.000001,AVERAGE(J30:J31)*(D31-D30)*3600,0)</f>
        <v>48.79951597664289</v>
      </c>
      <c r="L31" s="6">
        <f>IF('Hyd routing'!F35&lt;&gt;0.000001,'Hyd routing'!AD35,0)</f>
        <v>0.014966613427661996</v>
      </c>
      <c r="M31">
        <f>IF('Hyd routing'!F35&lt;&gt;0.000001,L31*$A$3,0)</f>
        <v>0.05514100977894044</v>
      </c>
      <c r="N31">
        <f>IF('Hyd routing'!F35&lt;&gt;0.000001,AVERAGE(M30:M31)*(D31-D30)*3600,0)</f>
        <v>20.12133727980388</v>
      </c>
      <c r="O31">
        <f>IF('Hyd routing'!F35&lt;&gt;0.000001,'Hyd routing'!V35,0)</f>
        <v>0.060641154568609454</v>
      </c>
      <c r="P31">
        <f>IF('Hyd routing'!F35&lt;&gt;0.000001,O31*$A$11,0)</f>
        <v>0.16734026507823138</v>
      </c>
      <c r="Q31">
        <f>IF('Hyd routing'!F35&lt;&gt;0.000001,AVERAGE(P30:P31)*(D31-D30)*3600,0)</f>
        <v>60.83647895639406</v>
      </c>
      <c r="R31">
        <f>IF('Hyd routing'!F35&lt;&gt;0.000001,R30+N31,"")</f>
        <v>313.21393416136084</v>
      </c>
      <c r="S31">
        <f>IF('Hyd routing'!F35&lt;&gt;0.000001,S30+Q31+K31,0)</f>
        <v>1615.2503303680346</v>
      </c>
      <c r="U31">
        <f>IF('Hyd routing'!F35&lt;&gt;0.000001,'Erosion calcs'!J30,"")</f>
        <v>5812.610280786749</v>
      </c>
      <c r="V31">
        <f>IF('Hyd routing'!F35&lt;&gt;0.000001,MAX((R31+S31)-U31,0),0)</f>
        <v>0</v>
      </c>
      <c r="W31">
        <f>IF('Hyd routing'!F35&lt;&gt;0.000001,V31/(62.4*2.65),0)</f>
        <v>0</v>
      </c>
      <c r="X31">
        <f>IF('Hyd routing'!G35&lt;&gt;0.000001,X30+W31,0)</f>
        <v>0</v>
      </c>
      <c r="Y31">
        <f>IF('Hyd routing'!F35&lt;&gt;0.000001,X31/('Preliminary calcs'!B$17*'Preliminary calcs'!B$15*'Preliminary calcs'!B$13),0)*100</f>
        <v>0</v>
      </c>
      <c r="Z31">
        <f t="shared" si="0"/>
        <v>0</v>
      </c>
      <c r="AA31">
        <f t="shared" si="1"/>
        <v>3884.1460162573535</v>
      </c>
      <c r="AB31">
        <f t="shared" si="2"/>
        <v>23.489030093476984</v>
      </c>
      <c r="AC31">
        <f>AB31/'Preliminary calcs'!B$13</f>
        <v>0.05872257523369246</v>
      </c>
      <c r="AD31">
        <f>SQRT(2*AC31*'Preliminary calcs'!B$14)</f>
        <v>0.09693096531754336</v>
      </c>
    </row>
    <row r="32" spans="1:30" ht="12.75">
      <c r="A32" s="4"/>
      <c r="B32" s="4"/>
      <c r="C32" s="4"/>
      <c r="D32">
        <v>2.8</v>
      </c>
      <c r="E32" s="1">
        <v>28</v>
      </c>
      <c r="F32">
        <f>IF('Hyd routing'!F36&lt;&gt;0.000001,'Hyd routing'!AC36,0)</f>
        <v>0.01886654857064611</v>
      </c>
      <c r="G32">
        <f>IF('Hyd routing'!F36&lt;&gt;0.000001,F32*$A$3,0)</f>
        <v>0.0695094146887019</v>
      </c>
      <c r="H32">
        <f>IF('Hyd routing'!F36&lt;&gt;0.000001,AVERAGE(G31:G32)*(D32-D31)*3600,0)</f>
        <v>25.157849547955724</v>
      </c>
      <c r="I32">
        <f>IF('Hyd routing'!F36&lt;&gt;0.000001,'Hyd routing'!U36,0)</f>
        <v>0.04847636389986634</v>
      </c>
      <c r="J32">
        <f>IF('Hyd routing'!F36&lt;&gt;0.000001,I32*$A$11,0)</f>
        <v>0.13377132481629225</v>
      </c>
      <c r="K32">
        <f>IF('Hyd routing'!F36&lt;&gt;0.000001,AVERAGE(J31:J32)*(D32-D31)*3600,0)</f>
        <v>48.375121054210545</v>
      </c>
      <c r="L32" s="6">
        <f>IF('Hyd routing'!F36&lt;&gt;0.000001,'Hyd routing'!AD36,0)</f>
        <v>0.014575482692587254</v>
      </c>
      <c r="M32">
        <f>IF('Hyd routing'!F36&lt;&gt;0.000001,L32*$A$3,0)</f>
        <v>0.05369997946223975</v>
      </c>
      <c r="N32">
        <f>IF('Hyd routing'!F36&lt;&gt;0.000001,AVERAGE(M31:M32)*(D32-D31)*3600,0)</f>
        <v>19.591378063412364</v>
      </c>
      <c r="O32">
        <f>IF('Hyd routing'!F36&lt;&gt;0.000001,'Hyd routing'!V36,0)</f>
        <v>0.05944429809909457</v>
      </c>
      <c r="P32">
        <f>IF('Hyd routing'!F36&lt;&gt;0.000001,O32*$A$11,0)</f>
        <v>0.16403751993272764</v>
      </c>
      <c r="Q32">
        <f>IF('Hyd routing'!F36&lt;&gt;0.000001,AVERAGE(P31:P32)*(D32-D31)*3600,0)</f>
        <v>59.64800130197242</v>
      </c>
      <c r="R32">
        <f>IF('Hyd routing'!F36&lt;&gt;0.000001,R31+N32,"")</f>
        <v>332.8053122247732</v>
      </c>
      <c r="S32">
        <f>IF('Hyd routing'!F36&lt;&gt;0.000001,S31+Q32+K32,0)</f>
        <v>1723.2734527242176</v>
      </c>
      <c r="U32">
        <f>IF('Hyd routing'!F36&lt;&gt;0.000001,'Erosion calcs'!J31,"")</f>
        <v>5831.570359736974</v>
      </c>
      <c r="V32">
        <f>IF('Hyd routing'!F36&lt;&gt;0.000001,MAX((R32+S32)-U32,0),0)</f>
        <v>0</v>
      </c>
      <c r="W32">
        <f>IF('Hyd routing'!F36&lt;&gt;0.000001,V32/(62.4*2.65),0)</f>
        <v>0</v>
      </c>
      <c r="X32">
        <f>IF('Hyd routing'!G36&lt;&gt;0.000001,X31+W32,0)</f>
        <v>0</v>
      </c>
      <c r="Y32">
        <f>IF('Hyd routing'!F36&lt;&gt;0.000001,X32/('Preliminary calcs'!B$17*'Preliminary calcs'!B$15*'Preliminary calcs'!B$13),0)*100</f>
        <v>0</v>
      </c>
      <c r="Z32">
        <f t="shared" si="0"/>
        <v>0</v>
      </c>
      <c r="AA32">
        <f t="shared" si="1"/>
        <v>3775.4915947879836</v>
      </c>
      <c r="AB32">
        <f t="shared" si="2"/>
        <v>22.831952072980066</v>
      </c>
      <c r="AC32">
        <f>AB32/'Preliminary calcs'!B$13</f>
        <v>0.057079880182450166</v>
      </c>
      <c r="AD32">
        <f>SQRT(2*AC32*'Preliminary calcs'!B$14)</f>
        <v>0.09556558391592669</v>
      </c>
    </row>
    <row r="33" spans="1:30" ht="12.75">
      <c r="A33" s="4"/>
      <c r="B33" s="4"/>
      <c r="C33" s="4"/>
      <c r="D33">
        <v>2.9</v>
      </c>
      <c r="E33" s="1">
        <v>29</v>
      </c>
      <c r="F33">
        <f>IF('Hyd routing'!F37&lt;&gt;0.000001,'Hyd routing'!AC37,0)</f>
        <v>0.018669603504402953</v>
      </c>
      <c r="G33">
        <f>IF('Hyd routing'!F37&lt;&gt;0.000001,F33*$A$3,0)</f>
        <v>0.06878381635103412</v>
      </c>
      <c r="H33">
        <f>IF('Hyd routing'!F37&lt;&gt;0.000001,AVERAGE(G32:G33)*(D33-D32)*3600,0)</f>
        <v>24.892781587152506</v>
      </c>
      <c r="I33">
        <f>IF('Hyd routing'!F37&lt;&gt;0.000001,'Hyd routing'!U37,0)</f>
        <v>0.048050416575309327</v>
      </c>
      <c r="J33">
        <f>IF('Hyd routing'!F37&lt;&gt;0.000001,I33*$A$11,0)</f>
        <v>0.13259591615681346</v>
      </c>
      <c r="K33">
        <f>IF('Hyd routing'!F37&lt;&gt;0.000001,AVERAGE(J32:J33)*(D33-D32)*3600,0)</f>
        <v>47.94610337515907</v>
      </c>
      <c r="L33" s="6">
        <f>IF('Hyd routing'!F37&lt;&gt;0.000001,'Hyd routing'!AD37,0)</f>
        <v>0.014200472393118311</v>
      </c>
      <c r="M33">
        <f>IF('Hyd routing'!F37&lt;&gt;0.000001,L33*$A$3,0)</f>
        <v>0.052318341145050275</v>
      </c>
      <c r="N33">
        <f>IF('Hyd routing'!F37&lt;&gt;0.000001,AVERAGE(M32:M33)*(D33-D32)*3600,0)</f>
        <v>19.083297709312223</v>
      </c>
      <c r="O33">
        <f>IF('Hyd routing'!F37&lt;&gt;0.000001,'Hyd routing'!V37,0)</f>
        <v>0.05828999618734333</v>
      </c>
      <c r="P33">
        <f>IF('Hyd routing'!F37&lt;&gt;0.000001,O33*$A$11,0)</f>
        <v>0.16085220479044718</v>
      </c>
      <c r="Q33">
        <f>IF('Hyd routing'!F37&lt;&gt;0.000001,AVERAGE(P32:P33)*(D33-D32)*3600,0)</f>
        <v>58.480150450171514</v>
      </c>
      <c r="R33">
        <f>IF('Hyd routing'!F37&lt;&gt;0.000001,R32+N33,"")</f>
        <v>351.8886099340854</v>
      </c>
      <c r="S33">
        <f>IF('Hyd routing'!F37&lt;&gt;0.000001,S32+Q33+K33,0)</f>
        <v>1829.6997065495482</v>
      </c>
      <c r="U33">
        <f>IF('Hyd routing'!F37&lt;&gt;0.000001,'Erosion calcs'!J32,"")</f>
        <v>5850.53390690119</v>
      </c>
      <c r="V33">
        <f>IF('Hyd routing'!F37&lt;&gt;0.000001,MAX((R33+S33)-U33,0),0)</f>
        <v>0</v>
      </c>
      <c r="W33">
        <f>IF('Hyd routing'!F37&lt;&gt;0.000001,V33/(62.4*2.65),0)</f>
        <v>0</v>
      </c>
      <c r="X33">
        <f>IF('Hyd routing'!G37&lt;&gt;0.000001,X32+W33,0)</f>
        <v>0</v>
      </c>
      <c r="Y33">
        <f>IF('Hyd routing'!F37&lt;&gt;0.000001,X33/('Preliminary calcs'!B$17*'Preliminary calcs'!B$15*'Preliminary calcs'!B$13),0)*100</f>
        <v>0</v>
      </c>
      <c r="Z33">
        <f t="shared" si="0"/>
        <v>0</v>
      </c>
      <c r="AA33">
        <f t="shared" si="1"/>
        <v>3668.9455904175566</v>
      </c>
      <c r="AB33">
        <f t="shared" si="2"/>
        <v>22.187624518732203</v>
      </c>
      <c r="AC33">
        <f>AB33/'Preliminary calcs'!B$13</f>
        <v>0.05546906129683051</v>
      </c>
      <c r="AD33">
        <f>SQRT(2*AC33*'Preliminary calcs'!B$14)</f>
        <v>0.0942074827574375</v>
      </c>
    </row>
    <row r="34" spans="1:30" ht="12.75">
      <c r="A34" s="4"/>
      <c r="B34" s="4"/>
      <c r="C34" s="4"/>
      <c r="D34">
        <v>3</v>
      </c>
      <c r="E34" s="1">
        <v>30</v>
      </c>
      <c r="F34">
        <f>IF('Hyd routing'!F38&lt;&gt;0.000001,'Hyd routing'!AC38,0)</f>
        <v>0.018478285237229213</v>
      </c>
      <c r="G34">
        <f>IF('Hyd routing'!F38&lt;&gt;0.000001,F34*$A$3,0)</f>
        <v>0.06807894864718742</v>
      </c>
      <c r="H34">
        <f>IF('Hyd routing'!F38&lt;&gt;0.000001,AVERAGE(G33:G34)*(D34-D33)*3600,0)</f>
        <v>24.635297699679896</v>
      </c>
      <c r="I34">
        <f>IF('Hyd routing'!F38&lt;&gt;0.000001,'Hyd routing'!U38,0)</f>
        <v>0.04763594667172466</v>
      </c>
      <c r="J34">
        <f>IF('Hyd routing'!F38&lt;&gt;0.000001,I34*$A$11,0)</f>
        <v>0.1314521796295952</v>
      </c>
      <c r="K34">
        <f>IF('Hyd routing'!F38&lt;&gt;0.000001,AVERAGE(J33:J34)*(D34-D33)*3600,0)</f>
        <v>47.528657241553596</v>
      </c>
      <c r="L34" s="6">
        <f>IF('Hyd routing'!F38&lt;&gt;0.000001,'Hyd routing'!AD38,0)</f>
        <v>0.013840872110922763</v>
      </c>
      <c r="M34">
        <f>IF('Hyd routing'!F38&lt;&gt;0.000001,L34*$A$3,0)</f>
        <v>0.05099347745608734</v>
      </c>
      <c r="N34">
        <f>IF('Hyd routing'!F38&lt;&gt;0.000001,AVERAGE(M33:M34)*(D34-D33)*3600,0)</f>
        <v>18.596127348204785</v>
      </c>
      <c r="O34">
        <f>IF('Hyd routing'!F38&lt;&gt;0.000001,'Hyd routing'!V38,0)</f>
        <v>0.05717667224680526</v>
      </c>
      <c r="P34">
        <f>IF('Hyd routing'!F38&lt;&gt;0.000001,O34*$A$11,0)</f>
        <v>0.15777996903483013</v>
      </c>
      <c r="Q34">
        <f>IF('Hyd routing'!F38&lt;&gt;0.000001,AVERAGE(P33:P34)*(D34-D33)*3600,0)</f>
        <v>57.353791288549964</v>
      </c>
      <c r="R34">
        <f>IF('Hyd routing'!F38&lt;&gt;0.000001,R33+N34,"")</f>
        <v>370.4847372822902</v>
      </c>
      <c r="S34">
        <f>IF('Hyd routing'!F38&lt;&gt;0.000001,S33+Q34+K34,0)</f>
        <v>1934.5821550796518</v>
      </c>
      <c r="U34">
        <f>IF('Hyd routing'!F38&lt;&gt;0.000001,'Erosion calcs'!J33,"")</f>
        <v>5869.5008338517</v>
      </c>
      <c r="V34">
        <f>IF('Hyd routing'!F38&lt;&gt;0.000001,MAX((R34+S34)-U34,0),0)</f>
        <v>0</v>
      </c>
      <c r="W34">
        <f>IF('Hyd routing'!F38&lt;&gt;0.000001,V34/(62.4*2.65),0)</f>
        <v>0</v>
      </c>
      <c r="X34">
        <f>IF('Hyd routing'!G38&lt;&gt;0.000001,X33+W34,0)</f>
        <v>0</v>
      </c>
      <c r="Y34">
        <f>IF('Hyd routing'!F38&lt;&gt;0.000001,X34/('Preliminary calcs'!B$17*'Preliminary calcs'!B$15*'Preliminary calcs'!B$13),0)*100</f>
        <v>0</v>
      </c>
      <c r="Z34">
        <f t="shared" si="0"/>
        <v>0</v>
      </c>
      <c r="AA34">
        <f t="shared" si="1"/>
        <v>3564.4339414897577</v>
      </c>
      <c r="AB34">
        <f t="shared" si="2"/>
        <v>21.55559954940589</v>
      </c>
      <c r="AC34">
        <f>AB34/'Preliminary calcs'!B$13</f>
        <v>0.053888998873514726</v>
      </c>
      <c r="AD34">
        <f>SQRT(2*AC34*'Preliminary calcs'!B$14)</f>
        <v>0.09285601660507711</v>
      </c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stvnsel</dc:creator>
  <cp:keywords/>
  <dc:description/>
  <cp:lastModifiedBy> </cp:lastModifiedBy>
  <cp:lastPrinted>2004-09-13T19:06:20Z</cp:lastPrinted>
  <dcterms:created xsi:type="dcterms:W3CDTF">2004-04-19T17:43:53Z</dcterms:created>
  <dcterms:modified xsi:type="dcterms:W3CDTF">2007-05-08T20:47:11Z</dcterms:modified>
  <cp:category/>
  <cp:version/>
  <cp:contentType/>
  <cp:contentStatus/>
</cp:coreProperties>
</file>