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65431" windowWidth="8265" windowHeight="6435" tabRatio="759" activeTab="0"/>
  </bookViews>
  <sheets>
    <sheet name="Fresh1" sheetId="1" r:id="rId1"/>
    <sheet name="Fresh2" sheetId="2" r:id="rId2"/>
    <sheet name="Fresh3" sheetId="3" r:id="rId3"/>
    <sheet name="Fresh4" sheetId="4" r:id="rId4"/>
    <sheet name="Fresh5" sheetId="5" r:id="rId5"/>
    <sheet name="Fresh6a" sheetId="6" r:id="rId6"/>
    <sheet name="Fresh6b" sheetId="7" r:id="rId7"/>
    <sheet name="Fresh7" sheetId="8" r:id="rId8"/>
    <sheet name="Fresh8" sheetId="9" r:id="rId9"/>
    <sheet name="Fresh9" sheetId="10" r:id="rId10"/>
    <sheet name="Fresh10" sheetId="11" r:id="rId11"/>
    <sheet name="Fresh11" sheetId="12" r:id="rId12"/>
    <sheet name="Fresh12" sheetId="13" r:id="rId13"/>
    <sheet name="Fresh13" sheetId="14" r:id="rId14"/>
    <sheet name="Fresh14" sheetId="15" r:id="rId15"/>
    <sheet name="Fresh15" sheetId="16" r:id="rId16"/>
    <sheet name="Fresh16" sheetId="17" r:id="rId17"/>
    <sheet name="Fresh17" sheetId="18" r:id="rId18"/>
    <sheet name="Fresh18" sheetId="19" r:id="rId19"/>
    <sheet name="Fresh19" sheetId="20" r:id="rId20"/>
    <sheet name="Fresh20" sheetId="21" r:id="rId21"/>
  </sheets>
  <externalReferences>
    <externalReference r:id="rId24"/>
    <externalReference r:id="rId25"/>
    <externalReference r:id="rId26"/>
    <externalReference r:id="rId27"/>
    <externalReference r:id="rId28"/>
    <externalReference r:id="rId29"/>
  </externalReferences>
  <definedNames>
    <definedName name="__123Graph_BPRIC_APP" localSheetId="0" hidden="1">'[5]TAB01'!#REF!</definedName>
    <definedName name="__123Graph_BPRIC_APP" localSheetId="14" hidden="1">'[2]TAB01'!#REF!</definedName>
    <definedName name="__123Graph_BPRIC_APP" localSheetId="4" hidden="1">'[5]TAB01'!#REF!</definedName>
    <definedName name="__123Graph_BPRIC_APP" localSheetId="5" hidden="1">'[5]TAB01'!#REF!</definedName>
    <definedName name="__123Graph_BPRIC_APP" localSheetId="6" hidden="1">'[5]TAB01'!#REF!</definedName>
    <definedName name="__123Graph_BPRIC_APP" localSheetId="7" hidden="1">'[2]TAB01'!#REF!</definedName>
    <definedName name="__123Graph_BPRIC_APP" localSheetId="8" hidden="1">'[2]TAB01'!#REF!</definedName>
    <definedName name="__123Graph_BPRIC_APP" hidden="1">'[1]TAB01'!#REF!</definedName>
    <definedName name="__123Graph_CEXPORTS" localSheetId="0" hidden="1">'[5]TAB01'!#REF!</definedName>
    <definedName name="__123Graph_CEXPORTS" localSheetId="4" hidden="1">'[5]TAB01'!#REF!</definedName>
    <definedName name="__123Graph_CEXPORTS" localSheetId="5" hidden="1">'[5]TAB01'!#REF!</definedName>
    <definedName name="__123Graph_CEXPORTS" localSheetId="6" hidden="1">'[5]TAB01'!#REF!</definedName>
    <definedName name="__123Graph_CEXPORTS" hidden="1">'[4]TAB01'!#REF!</definedName>
    <definedName name="__123Graph_XEXP_DEB" hidden="1">'[6]Trade11'!$B$4:$J$4</definedName>
    <definedName name="__123Graph_XEXPORTS" hidden="1">'[6]Trade11'!$B$4:$J$4</definedName>
    <definedName name="__123Graph_XPRICE_VG" hidden="1">'[6]Trade11'!$B$4:$J$4</definedName>
    <definedName name="_Fill" localSheetId="11" hidden="1">'[5]Tab26'!#REF!</definedName>
    <definedName name="_Fill" localSheetId="12" hidden="1">'[5]Tab26'!#REF!</definedName>
    <definedName name="_Fill" localSheetId="13" hidden="1">'[5]Tab26'!#REF!</definedName>
    <definedName name="_Fill" localSheetId="1" hidden="1">'[5]Tab26'!#REF!</definedName>
    <definedName name="_Fill" localSheetId="7" hidden="1">'[5]Tab26'!#REF!</definedName>
    <definedName name="_Fill" localSheetId="8" hidden="1">'[5]Tab26'!#REF!</definedName>
    <definedName name="_Fill" localSheetId="9" hidden="1">'[5]Tab26'!#REF!</definedName>
    <definedName name="_Fill" hidden="1">'[5]Tab26'!#REF!</definedName>
    <definedName name="_Key1" localSheetId="11" hidden="1">#REF!</definedName>
    <definedName name="_Key1" localSheetId="12" hidden="1">#REF!</definedName>
    <definedName name="_Key1" localSheetId="13" hidden="1">#REF!</definedName>
    <definedName name="_Key1" localSheetId="1" hidden="1">#REF!</definedName>
    <definedName name="_Key1" localSheetId="7" hidden="1">#REF!</definedName>
    <definedName name="_Key1" localSheetId="8" hidden="1">#REF!</definedName>
    <definedName name="_Key1" localSheetId="9" hidden="1">#REF!</definedName>
    <definedName name="_Key1" hidden="1">#REF!</definedName>
    <definedName name="_Order1" hidden="1">255</definedName>
    <definedName name="_Order2" hidden="1">0</definedName>
    <definedName name="_Parse_Out" localSheetId="11" hidden="1">#REF!</definedName>
    <definedName name="_Parse_Out" localSheetId="12" hidden="1">#REF!</definedName>
    <definedName name="_Parse_Out" localSheetId="13" hidden="1">#REF!</definedName>
    <definedName name="_Parse_Out" localSheetId="1" hidden="1">'Fresh2'!$A$55</definedName>
    <definedName name="_Parse_Out" localSheetId="7" hidden="1">#REF!</definedName>
    <definedName name="_Parse_Out" localSheetId="8" hidden="1">#REF!</definedName>
    <definedName name="_Parse_Out" localSheetId="9" hidden="1">#REF!</definedName>
    <definedName name="_Parse_Out" hidden="1">'Fresh3'!$A$34</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 hidden="1">1</definedName>
    <definedName name="_Regression_Int" localSheetId="2" hidden="1">1</definedName>
    <definedName name="_Regression_Int" localSheetId="7" hidden="1">1</definedName>
    <definedName name="_Regression_Int" localSheetId="8" hidden="1">1</definedName>
    <definedName name="_Regression_Int" localSheetId="9" hidden="1">1</definedName>
    <definedName name="_Regression_Out" hidden="1">'[1]TAB05'!#REF!</definedName>
    <definedName name="_Regression_X" hidden="1">#REF!</definedName>
    <definedName name="_Regression_Y" hidden="1">#REF!</definedName>
    <definedName name="_Sort" localSheetId="11" hidden="1">#REF!</definedName>
    <definedName name="_Sort" localSheetId="12" hidden="1">#REF!</definedName>
    <definedName name="_Sort" localSheetId="13" hidden="1">#REF!</definedName>
    <definedName name="_Sort" localSheetId="1" hidden="1">#REF!</definedName>
    <definedName name="_Sort" localSheetId="7" hidden="1">#REF!</definedName>
    <definedName name="_Sort" localSheetId="8" hidden="1">#REF!</definedName>
    <definedName name="_Sort" localSheetId="9" hidden="1">#REF!</definedName>
    <definedName name="_Sort" hidden="1">#REF!</definedName>
    <definedName name="_xlnm.Print_Area" localSheetId="0">'Fresh1'!$A$1:$R$47</definedName>
    <definedName name="_xlnm.Print_Area" localSheetId="10">'Fresh10'!$A$1:$Q$89</definedName>
    <definedName name="_xlnm.Print_Area" localSheetId="11">'Fresh11'!$A$1:$Q$70</definedName>
    <definedName name="_xlnm.Print_Area" localSheetId="14">'Fresh14'!$A$1:$Q$38</definedName>
    <definedName name="_xlnm.Print_Area" localSheetId="16">'Fresh16'!$A$1:$N$37</definedName>
    <definedName name="_xlnm.Print_Area" localSheetId="17">'Fresh17'!$A$1:$L$43</definedName>
    <definedName name="_xlnm.Print_Area" localSheetId="19">'Fresh19'!$A$3:$N$81</definedName>
    <definedName name="_xlnm.Print_Area" localSheetId="1">'Fresh2'!$A$1:$S$57</definedName>
    <definedName name="_xlnm.Print_Area" localSheetId="20">'Fresh20'!$A$3:$N$76</definedName>
    <definedName name="_xlnm.Print_Area" localSheetId="2">'Fresh3'!$A$1:$W$36</definedName>
    <definedName name="_xlnm.Print_Area" localSheetId="3">'Fresh4'!$A$1:$N$20</definedName>
    <definedName name="_xlnm.Print_Area" localSheetId="4">'Fresh5'!$A$1:$H$76</definedName>
    <definedName name="_xlnm.Print_Area" localSheetId="7">'Fresh7'!$A$2:$S$80</definedName>
    <definedName name="_xlnm.Print_Area" localSheetId="9">'Fresh9'!$A$1:$Q$75</definedName>
    <definedName name="Print_Area_MI" localSheetId="0">#REF!</definedName>
    <definedName name="Print_Area_MI" localSheetId="10">'Fresh10'!$A$1:$O$89</definedName>
    <definedName name="Print_Area_MI" localSheetId="14">'Fresh14'!$A$1:$M$40</definedName>
    <definedName name="Print_Area_MI" localSheetId="2">'Fresh3'!$A$1:$AA$38</definedName>
    <definedName name="Print_Area_MI" localSheetId="4">'Fresh5'!$A$1:$E$78</definedName>
    <definedName name="Print_Area_MI" localSheetId="5">'Fresh6a'!#REF!</definedName>
    <definedName name="Print_Area_MI" localSheetId="6">'Fresh6b'!#REF!</definedName>
  </definedNames>
  <calcPr fullCalcOnLoad="1"/>
</workbook>
</file>

<file path=xl/sharedStrings.xml><?xml version="1.0" encoding="utf-8"?>
<sst xmlns="http://schemas.openxmlformats.org/spreadsheetml/2006/main" count="1897" uniqueCount="581">
  <si>
    <t xml:space="preserve">Harvested area </t>
  </si>
  <si>
    <t xml:space="preserve">Production </t>
  </si>
  <si>
    <t>Commodity</t>
  </si>
  <si>
    <t>--1,000 acres--</t>
  </si>
  <si>
    <t xml:space="preserve">Snap beans  </t>
  </si>
  <si>
    <t>Cabbage 2/</t>
  </si>
  <si>
    <t>Cantaloup</t>
  </si>
  <si>
    <t xml:space="preserve">Carrots   </t>
  </si>
  <si>
    <t xml:space="preserve">Sweet corn  </t>
  </si>
  <si>
    <t xml:space="preserve">Cucumbers  </t>
  </si>
  <si>
    <t xml:space="preserve">Honeydews  </t>
  </si>
  <si>
    <t xml:space="preserve">Lettuce  </t>
  </si>
  <si>
    <t xml:space="preserve">Head  </t>
  </si>
  <si>
    <t xml:space="preserve">Leaf  </t>
  </si>
  <si>
    <t xml:space="preserve">Romaine  </t>
  </si>
  <si>
    <t>Chile peppers</t>
  </si>
  <si>
    <t>Pumpkins</t>
  </si>
  <si>
    <t>Squash</t>
  </si>
  <si>
    <t xml:space="preserve">Tomatoes  </t>
  </si>
  <si>
    <t xml:space="preserve">Watermelons  </t>
  </si>
  <si>
    <t xml:space="preserve"> Total  </t>
  </si>
  <si>
    <t xml:space="preserve"> </t>
  </si>
  <si>
    <t>Annual</t>
  </si>
  <si>
    <t xml:space="preserve"> Commodity</t>
  </si>
  <si>
    <t>I</t>
  </si>
  <si>
    <t>II</t>
  </si>
  <si>
    <t>III</t>
  </si>
  <si>
    <t>IV</t>
  </si>
  <si>
    <t>Change 2/</t>
  </si>
  <si>
    <t>Change</t>
  </si>
  <si>
    <t>Percent</t>
  </si>
  <si>
    <t xml:space="preserve"> Artichokes  </t>
  </si>
  <si>
    <t xml:space="preserve"> Asparagus  </t>
  </si>
  <si>
    <t xml:space="preserve"> Snap beans  </t>
  </si>
  <si>
    <t xml:space="preserve"> Broccoli  </t>
  </si>
  <si>
    <t xml:space="preserve"> Cabbage  </t>
  </si>
  <si>
    <t xml:space="preserve"> Cantaloup</t>
  </si>
  <si>
    <t xml:space="preserve"> Carrots  </t>
  </si>
  <si>
    <t xml:space="preserve"> Cauliflower  </t>
  </si>
  <si>
    <t xml:space="preserve"> Celery  </t>
  </si>
  <si>
    <t xml:space="preserve"> Sweet corn  </t>
  </si>
  <si>
    <t xml:space="preserve"> Cucumbers  </t>
  </si>
  <si>
    <t xml:space="preserve"> Lettuce, iceberg 3/  </t>
  </si>
  <si>
    <t xml:space="preserve"> Lettuce, romaine 3/  </t>
  </si>
  <si>
    <t xml:space="preserve"> Lettuce, other 3/  </t>
  </si>
  <si>
    <t xml:space="preserve"> Onions, dry  </t>
  </si>
  <si>
    <t xml:space="preserve"> Onions, green </t>
  </si>
  <si>
    <t xml:space="preserve"> Peppers, bell  </t>
  </si>
  <si>
    <t xml:space="preserve"> Peppers, chile  </t>
  </si>
  <si>
    <t xml:space="preserve"> Radishes  </t>
  </si>
  <si>
    <t xml:space="preserve"> Squash  </t>
  </si>
  <si>
    <t xml:space="preserve"> Tomatoes 4/  </t>
  </si>
  <si>
    <t xml:space="preserve"> Watermelon  </t>
  </si>
  <si>
    <t xml:space="preserve">  Subtotal  </t>
  </si>
  <si>
    <t xml:space="preserve"> Sweet potatoes  </t>
  </si>
  <si>
    <t xml:space="preserve">  Total  </t>
  </si>
  <si>
    <t>Winter</t>
  </si>
  <si>
    <t>Spring</t>
  </si>
  <si>
    <t xml:space="preserve">      Item</t>
  </si>
  <si>
    <t xml:space="preserve">     Item</t>
  </si>
  <si>
    <t>Snap beans</t>
  </si>
  <si>
    <t xml:space="preserve">Broccoli 2/  </t>
  </si>
  <si>
    <t>Broccoli 2/</t>
  </si>
  <si>
    <t>Cabbage</t>
  </si>
  <si>
    <t xml:space="preserve">Carrots </t>
  </si>
  <si>
    <t xml:space="preserve">Cauliflower 2/   </t>
  </si>
  <si>
    <t>Cauliflower 2/</t>
  </si>
  <si>
    <t xml:space="preserve">Celery 2/   </t>
  </si>
  <si>
    <t>Celery 2/</t>
  </si>
  <si>
    <t>Sweet corn</t>
  </si>
  <si>
    <t>Cucumbers</t>
  </si>
  <si>
    <t xml:space="preserve">Honeydew melons  </t>
  </si>
  <si>
    <t>Honeydew melons</t>
  </si>
  <si>
    <t>Lettuce, head</t>
  </si>
  <si>
    <t>Onions</t>
  </si>
  <si>
    <t>Spring onions</t>
  </si>
  <si>
    <t>Bell peppers</t>
  </si>
  <si>
    <t>Spinach</t>
  </si>
  <si>
    <t>Tomatoes</t>
  </si>
  <si>
    <t>Watermelons</t>
  </si>
  <si>
    <t xml:space="preserve">   Total</t>
  </si>
  <si>
    <t>Summer</t>
  </si>
  <si>
    <t>Fall</t>
  </si>
  <si>
    <t xml:space="preserve">Summer non-storage  </t>
  </si>
  <si>
    <t>Summer storage</t>
  </si>
  <si>
    <t xml:space="preserve"> onions</t>
  </si>
  <si>
    <t xml:space="preserve">  onions 2/</t>
  </si>
  <si>
    <t xml:space="preserve"> -- = Not available.</t>
  </si>
  <si>
    <t xml:space="preserve"> 1/ All commodity data include comparable States.   2/ Includes fresh market and processing.</t>
  </si>
  <si>
    <t>Item</t>
  </si>
  <si>
    <t xml:space="preserve">Harvested area:  </t>
  </si>
  <si>
    <t xml:space="preserve">Spring  </t>
  </si>
  <si>
    <t xml:space="preserve">  Nonstorage  1/  </t>
  </si>
  <si>
    <t xml:space="preserve">U.S.  </t>
  </si>
  <si>
    <t xml:space="preserve">Production:  </t>
  </si>
  <si>
    <t>Season</t>
  </si>
  <si>
    <t xml:space="preserve">  Year</t>
  </si>
  <si>
    <t>Jan.</t>
  </si>
  <si>
    <t>Feb.</t>
  </si>
  <si>
    <t>Mar.</t>
  </si>
  <si>
    <t>Apr.</t>
  </si>
  <si>
    <t>May</t>
  </si>
  <si>
    <t>June</t>
  </si>
  <si>
    <t>July</t>
  </si>
  <si>
    <t>Aug.</t>
  </si>
  <si>
    <t>Sep.</t>
  </si>
  <si>
    <t>Oct.</t>
  </si>
  <si>
    <t>Nov.</t>
  </si>
  <si>
    <t>Dec.</t>
  </si>
  <si>
    <t>average</t>
  </si>
  <si>
    <t>--Dollars per cwt--</t>
  </si>
  <si>
    <t xml:space="preserve">Asparagus </t>
  </si>
  <si>
    <t xml:space="preserve">        --</t>
  </si>
  <si>
    <t>Cantaloups</t>
  </si>
  <si>
    <t>Carrots</t>
  </si>
  <si>
    <t>Celery</t>
  </si>
  <si>
    <t>Corn, sweet</t>
  </si>
  <si>
    <t>Head lettuce</t>
  </si>
  <si>
    <t xml:space="preserve">    Item</t>
  </si>
  <si>
    <t>Year</t>
  </si>
  <si>
    <t>--1910-14=100--</t>
  </si>
  <si>
    <t xml:space="preserve">Potatoes 3/  </t>
  </si>
  <si>
    <t xml:space="preserve">  Item</t>
  </si>
  <si>
    <t xml:space="preserve">Annual </t>
  </si>
  <si>
    <t>--1982=100--</t>
  </si>
  <si>
    <t xml:space="preserve"> Fresh 2/  </t>
  </si>
  <si>
    <t xml:space="preserve"> Canned 3/  </t>
  </si>
  <si>
    <t xml:space="preserve"> Frozen  </t>
  </si>
  <si>
    <t xml:space="preserve"> Dehydrated  </t>
  </si>
  <si>
    <t xml:space="preserve">Fresh  </t>
  </si>
  <si>
    <t xml:space="preserve"> vegetables 2/  </t>
  </si>
  <si>
    <t xml:space="preserve">Potatoes,  </t>
  </si>
  <si>
    <t xml:space="preserve">   fresh  </t>
  </si>
  <si>
    <t xml:space="preserve">Lettuce,   </t>
  </si>
  <si>
    <t xml:space="preserve">    fresh  </t>
  </si>
  <si>
    <t xml:space="preserve">Tomatoes,  </t>
  </si>
  <si>
    <t xml:space="preserve">    fresh   </t>
  </si>
  <si>
    <t xml:space="preserve">Other, fresh  </t>
  </si>
  <si>
    <t xml:space="preserve">Frozen  </t>
  </si>
  <si>
    <t xml:space="preserve"> vegetables  </t>
  </si>
  <si>
    <t xml:space="preserve">Processed  </t>
  </si>
  <si>
    <t xml:space="preserve"> fruits and  </t>
  </si>
  <si>
    <t xml:space="preserve">Canned   </t>
  </si>
  <si>
    <t xml:space="preserve">Dried beans, </t>
  </si>
  <si>
    <t xml:space="preserve">   Item</t>
  </si>
  <si>
    <t xml:space="preserve">white  </t>
  </si>
  <si>
    <t>Broccoli</t>
  </si>
  <si>
    <t xml:space="preserve">iceberg  </t>
  </si>
  <si>
    <t xml:space="preserve">Tomatoes, </t>
  </si>
  <si>
    <t xml:space="preserve"> field grown </t>
  </si>
  <si>
    <t xml:space="preserve">    California 2/  </t>
  </si>
  <si>
    <t xml:space="preserve">           --</t>
  </si>
  <si>
    <t xml:space="preserve">Summer </t>
  </si>
  <si>
    <t xml:space="preserve">  Storage</t>
  </si>
  <si>
    <t xml:space="preserve">    Other States</t>
  </si>
  <si>
    <t xml:space="preserve">  Total summer</t>
  </si>
  <si>
    <t xml:space="preserve">     Total storage</t>
  </si>
  <si>
    <t xml:space="preserve">            --</t>
  </si>
  <si>
    <t>Quarterly averages</t>
  </si>
  <si>
    <t>Prcnt Change</t>
  </si>
  <si>
    <t xml:space="preserve"> Colorado</t>
  </si>
  <si>
    <t xml:space="preserve"> Idaho</t>
  </si>
  <si>
    <t xml:space="preserve"> Michigan</t>
  </si>
  <si>
    <t xml:space="preserve"> Minnesota</t>
  </si>
  <si>
    <t xml:space="preserve"> New York</t>
  </si>
  <si>
    <t xml:space="preserve"> Ohio</t>
  </si>
  <si>
    <t xml:space="preserve"> Oregon</t>
  </si>
  <si>
    <t xml:space="preserve">   Malheur County</t>
  </si>
  <si>
    <t xml:space="preserve">   Others</t>
  </si>
  <si>
    <t xml:space="preserve"> Utah</t>
  </si>
  <si>
    <t xml:space="preserve"> Washington</t>
  </si>
  <si>
    <t xml:space="preserve"> Wisconsin</t>
  </si>
  <si>
    <t xml:space="preserve"> Total</t>
  </si>
  <si>
    <t xml:space="preserve"> California 1/</t>
  </si>
  <si>
    <t xml:space="preserve"> --1,000 cwt --</t>
  </si>
  <si>
    <t xml:space="preserve"> Greens</t>
  </si>
  <si>
    <t xml:space="preserve">          --</t>
  </si>
  <si>
    <t xml:space="preserve"> Lettuce, processed </t>
  </si>
  <si>
    <t>U.S. total</t>
  </si>
  <si>
    <t>Alabama</t>
  </si>
  <si>
    <t>Alaska</t>
  </si>
  <si>
    <t>Arizona</t>
  </si>
  <si>
    <t>Arkansas</t>
  </si>
  <si>
    <t>California</t>
  </si>
  <si>
    <t>Colorado</t>
  </si>
  <si>
    <t>Connecticut</t>
  </si>
  <si>
    <t>Florida</t>
  </si>
  <si>
    <t>Georgia</t>
  </si>
  <si>
    <t>Hawaii</t>
  </si>
  <si>
    <t>Idaho</t>
  </si>
  <si>
    <t>Illinois</t>
  </si>
  <si>
    <t>Indiana</t>
  </si>
  <si>
    <t>Iowa</t>
  </si>
  <si>
    <t>Kansas</t>
  </si>
  <si>
    <t>Kentucky</t>
  </si>
  <si>
    <t>Maine</t>
  </si>
  <si>
    <t>Maryland</t>
  </si>
  <si>
    <t>Michigan</t>
  </si>
  <si>
    <t>Minnesota</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</si>
  <si>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</si>
  <si>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</si>
  <si>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</si>
  <si>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</si>
  <si>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</si>
  <si>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</si>
  <si>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</si>
  <si>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</si>
  <si>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</si>
  <si>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</si>
  <si>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</si>
  <si>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</si>
  <si>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</si>
  <si>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</si>
  <si>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</si>
  <si>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</si>
  <si>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</si>
  <si>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</si>
  <si>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</si>
  <si>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</si>
  <si>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</si>
  <si>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</si>
  <si>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</si>
  <si>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</si>
  <si>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</si>
  <si>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 xml:space="preserve">*In addition to unclassified vegetable acreage, "other" vegetable acreage includes ginger, blue corn, </t>
  </si>
  <si>
    <t xml:space="preserve">   popcorn, shallots, sweet potatoes, yams and many other specialty crops.</t>
  </si>
  <si>
    <t>For more information on organic agriculture, please visit the following ERS briefing room:</t>
  </si>
  <si>
    <t>http://www.ers.usda.gov/Briefing/Organic/</t>
  </si>
  <si>
    <t>United</t>
  </si>
  <si>
    <t>States</t>
  </si>
  <si>
    <t>Area planted</t>
  </si>
  <si>
    <t xml:space="preserve">   2000</t>
  </si>
  <si>
    <t xml:space="preserve">   2001</t>
  </si>
  <si>
    <t xml:space="preserve">   2002</t>
  </si>
  <si>
    <t xml:space="preserve">   2003</t>
  </si>
  <si>
    <t>Area harvested</t>
  </si>
  <si>
    <t>Yield per acre</t>
  </si>
  <si>
    <t>Production</t>
  </si>
  <si>
    <t>Value per unit</t>
  </si>
  <si>
    <t>Value of production</t>
  </si>
  <si>
    <t>Arizona  1/</t>
  </si>
  <si>
    <t xml:space="preserve">   -- Cwt/acre --</t>
  </si>
  <si>
    <t xml:space="preserve">      -- 1,000 cwt --</t>
  </si>
  <si>
    <t xml:space="preserve">     -- $/cwt --</t>
  </si>
  <si>
    <t xml:space="preserve">      -- 1,000 $ --</t>
  </si>
  <si>
    <t>-- Acres --</t>
  </si>
  <si>
    <t xml:space="preserve"> Total, less California</t>
  </si>
  <si>
    <t xml:space="preserve">Cauliflower </t>
  </si>
  <si>
    <t xml:space="preserve">   2004</t>
  </si>
  <si>
    <t xml:space="preserve">      --</t>
  </si>
  <si>
    <t xml:space="preserve">   peppers</t>
  </si>
  <si>
    <t xml:space="preserve"> Squash</t>
  </si>
  <si>
    <t xml:space="preserve"> Radishes</t>
  </si>
  <si>
    <t>--Dec 1991=100--</t>
  </si>
  <si>
    <t xml:space="preserve"> --</t>
  </si>
  <si>
    <t xml:space="preserve"> Eggplant</t>
  </si>
  <si>
    <t xml:space="preserve"> of a market over an entire month.    These indexes reflect prices at the f.o.b. shipping point level.</t>
  </si>
  <si>
    <t xml:space="preserve">     --</t>
  </si>
  <si>
    <t xml:space="preserve">       --</t>
  </si>
  <si>
    <t xml:space="preserve">Commercial </t>
  </si>
  <si>
    <t xml:space="preserve"> vegetables 2/</t>
  </si>
  <si>
    <t>--1990-92=100--</t>
  </si>
  <si>
    <t xml:space="preserve">         4/</t>
  </si>
  <si>
    <t>Prcnt change</t>
  </si>
  <si>
    <t>January</t>
  </si>
  <si>
    <t xml:space="preserve">  peas, lentils  </t>
  </si>
  <si>
    <t xml:space="preserve">  vegetables  </t>
  </si>
  <si>
    <t xml:space="preserve"> 1/ Not seasonally adjusted.   2/ Includes potatoes.   </t>
  </si>
  <si>
    <t xml:space="preserve"> Potatoes, all  6/</t>
  </si>
  <si>
    <t xml:space="preserve">   Table</t>
  </si>
  <si>
    <t xml:space="preserve">   Seed </t>
  </si>
  <si>
    <t xml:space="preserve"> Potatoes 6/  </t>
  </si>
  <si>
    <t xml:space="preserve"> Beets</t>
  </si>
  <si>
    <t xml:space="preserve"> Tomatoes</t>
  </si>
  <si>
    <t xml:space="preserve"> Cabbage</t>
  </si>
  <si>
    <t xml:space="preserve"> Green</t>
  </si>
  <si>
    <t xml:space="preserve">  onions</t>
  </si>
  <si>
    <t xml:space="preserve"> Spinach</t>
  </si>
  <si>
    <t xml:space="preserve"> Others 2/</t>
  </si>
  <si>
    <t>February</t>
  </si>
  <si>
    <t>United States</t>
  </si>
  <si>
    <t>Number of farms</t>
  </si>
  <si>
    <t xml:space="preserve"> -- Acres harvested --</t>
  </si>
  <si>
    <t>-- Number --</t>
  </si>
  <si>
    <t>Massachusetts</t>
  </si>
  <si>
    <t>All others 2/</t>
  </si>
  <si>
    <t xml:space="preserve"> 2/ Includes states for which data could not be disclosed.</t>
  </si>
  <si>
    <t xml:space="preserve"> -- = Not shown to avoid disclosure of individual operations.</t>
  </si>
  <si>
    <t xml:space="preserve"> 1/ Fresh-market cut herbs as reported by the Census of Agriculture.</t>
  </si>
  <si>
    <t>April</t>
  </si>
  <si>
    <t>2004</t>
  </si>
  <si>
    <t>2003</t>
  </si>
  <si>
    <t xml:space="preserve">   2005</t>
  </si>
  <si>
    <t>2005</t>
  </si>
  <si>
    <t>September</t>
  </si>
  <si>
    <t>August</t>
  </si>
  <si>
    <t xml:space="preserve"> Melons   </t>
  </si>
  <si>
    <t xml:space="preserve">    --</t>
  </si>
  <si>
    <t>Dehy link:</t>
  </si>
  <si>
    <t>http://data.bls.gov/servlet/SurveyOutputServlet?jrunsessionid=1096548052915210666</t>
  </si>
  <si>
    <t xml:space="preserve">  State/</t>
  </si>
  <si>
    <t xml:space="preserve">           Acreage</t>
  </si>
  <si>
    <t xml:space="preserve">  Produc-</t>
  </si>
  <si>
    <t xml:space="preserve">  Season</t>
  </si>
  <si>
    <t xml:space="preserve">    Crop</t>
  </si>
  <si>
    <t>Harvested</t>
  </si>
  <si>
    <t xml:space="preserve">     Yield</t>
  </si>
  <si>
    <t xml:space="preserve">     tion</t>
  </si>
  <si>
    <t xml:space="preserve"> ave. price</t>
  </si>
  <si>
    <t xml:space="preserve">    value</t>
  </si>
  <si>
    <t>2002:</t>
  </si>
  <si>
    <t xml:space="preserve">  Illinois 1/</t>
  </si>
  <si>
    <t xml:space="preserve">  California</t>
  </si>
  <si>
    <t xml:space="preserve">  Pennsylvania</t>
  </si>
  <si>
    <t xml:space="preserve">  New York</t>
  </si>
  <si>
    <t xml:space="preserve">  Ohio</t>
  </si>
  <si>
    <t xml:space="preserve">  Michigan</t>
  </si>
  <si>
    <t xml:space="preserve">  Total</t>
  </si>
  <si>
    <t>2003:</t>
  </si>
  <si>
    <t>2004:</t>
  </si>
  <si>
    <t xml:space="preserve"> 1/ Illinois prices are low because a large share of the crop is for processing.</t>
  </si>
  <si>
    <t xml:space="preserve">  Planted</t>
  </si>
  <si>
    <t>November</t>
  </si>
  <si>
    <t>October</t>
  </si>
  <si>
    <t>December</t>
  </si>
  <si>
    <t>2005:</t>
  </si>
  <si>
    <t>Lettuce</t>
  </si>
  <si>
    <t>Delaware</t>
  </si>
  <si>
    <t>Louisiana</t>
  </si>
  <si>
    <t>Mississippi</t>
  </si>
  <si>
    <t>Wyoming</t>
  </si>
  <si>
    <t xml:space="preserve">  Unclassified/</t>
  </si>
  <si>
    <t xml:space="preserve">    vegetables*</t>
  </si>
  <si>
    <t xml:space="preserve">        other</t>
  </si>
  <si>
    <t xml:space="preserve">     State</t>
  </si>
  <si>
    <t xml:space="preserve">          Mixed vegetables</t>
  </si>
  <si>
    <t xml:space="preserve">  romaine 1/</t>
  </si>
  <si>
    <t xml:space="preserve">      2005</t>
  </si>
  <si>
    <t>Web sources:  http://usda.mannlib.cornell.edu/reports/nassr/price/pap-bb/2006/</t>
  </si>
  <si>
    <t xml:space="preserve">                         http://usda.mannlib.cornell.edu/reports/nassr/price/zap-bb/</t>
  </si>
  <si>
    <t xml:space="preserve">Peppers, </t>
  </si>
  <si>
    <t xml:space="preserve">   2006</t>
  </si>
  <si>
    <t xml:space="preserve">   2006 </t>
  </si>
  <si>
    <t>2006</t>
  </si>
  <si>
    <t xml:space="preserve"> 2000</t>
  </si>
  <si>
    <t xml:space="preserve"> 2001</t>
  </si>
  <si>
    <t xml:space="preserve"> 2002</t>
  </si>
  <si>
    <t xml:space="preserve"> 2003</t>
  </si>
  <si>
    <t xml:space="preserve"> 2004</t>
  </si>
  <si>
    <t xml:space="preserve"> 2005</t>
  </si>
  <si>
    <t xml:space="preserve"> dry bulb</t>
  </si>
  <si>
    <t xml:space="preserve">Onions, </t>
  </si>
  <si>
    <t xml:space="preserve">         --</t>
  </si>
  <si>
    <r>
      <t xml:space="preserve"> Source:  USDA, National Agricultural Statistics Service, </t>
    </r>
    <r>
      <rPr>
        <i/>
        <sz val="7"/>
        <rFont val="Helvetica"/>
        <family val="2"/>
      </rPr>
      <t xml:space="preserve">Agricultural Prices. </t>
    </r>
    <r>
      <rPr>
        <sz val="7"/>
        <rFont val="Helvetica"/>
        <family val="2"/>
      </rPr>
      <t xml:space="preserve">  </t>
    </r>
  </si>
  <si>
    <t>Source:  U.S. Department of Labor, Bureau of Labor Statistics  (http://www.bls.gov/data/home.htm).</t>
  </si>
  <si>
    <t>Source:  USDA, National Agricultural Statistics Service and USDC, Bureau of the Census (1997).</t>
  </si>
  <si>
    <r>
      <t xml:space="preserve"> Source: USDA, National Agricultural Statistics Service, </t>
    </r>
    <r>
      <rPr>
        <i/>
        <sz val="8"/>
        <rFont val="Arial"/>
        <family val="2"/>
      </rPr>
      <t>Vegetables Annual Summary.</t>
    </r>
    <r>
      <rPr>
        <sz val="8"/>
        <rFont val="Arial"/>
        <family val="0"/>
      </rPr>
      <t xml:space="preserve"> </t>
    </r>
  </si>
  <si>
    <t xml:space="preserve">  Arizona</t>
  </si>
  <si>
    <t xml:space="preserve">  New Jersey</t>
  </si>
  <si>
    <t xml:space="preserve">  Texas </t>
  </si>
  <si>
    <t xml:space="preserve">  Colorado</t>
  </si>
  <si>
    <t xml:space="preserve">  Maryland</t>
  </si>
  <si>
    <t xml:space="preserve">  Other states 2/</t>
  </si>
  <si>
    <t xml:space="preserve"> 1/ Fresh-market spinach only.  Includes fresh-cut/bagged spinach.   2/ Other includes Colorado and Maryland.  </t>
  </si>
  <si>
    <t xml:space="preserve"> sweet 2/</t>
  </si>
  <si>
    <r>
      <t xml:space="preserve"> Source:   USDA, National Agricultural Statistics Service, </t>
    </r>
    <r>
      <rPr>
        <i/>
        <sz val="7"/>
        <rFont val="Helvetica"/>
        <family val="0"/>
      </rPr>
      <t xml:space="preserve">Vegetables </t>
    </r>
    <r>
      <rPr>
        <sz val="7"/>
        <rFont val="Helvetica"/>
        <family val="0"/>
      </rPr>
      <t xml:space="preserve">and </t>
    </r>
    <r>
      <rPr>
        <i/>
        <sz val="7"/>
        <rFont val="Helvetica"/>
        <family val="0"/>
      </rPr>
      <t>Vegetables Summary.</t>
    </r>
  </si>
  <si>
    <t>ARCHIVE</t>
  </si>
  <si>
    <t>Fresh table 1--U.S. fresh vegetables: Harvested area, by seasons, for selected crops, 2000-01 1/</t>
  </si>
  <si>
    <r>
      <t>Source:  U.S. Department of Labor, Bureau of Labor Statistics  (</t>
    </r>
    <r>
      <rPr>
        <u val="single"/>
        <sz val="7"/>
        <color indexed="12"/>
        <rFont val="Helvetica"/>
        <family val="2"/>
      </rPr>
      <t>http://www.bls.gov/data/home.htm</t>
    </r>
    <r>
      <rPr>
        <sz val="7"/>
        <color indexed="8"/>
        <rFont val="Helvetica"/>
        <family val="2"/>
      </rPr>
      <t>).</t>
    </r>
  </si>
  <si>
    <t xml:space="preserve">-- = not available.   1/ Romaine data was first reported by BLS in January 2006.    2/ Reported by BLS as statistically valid data are available. </t>
  </si>
  <si>
    <t xml:space="preserve">    2006</t>
  </si>
  <si>
    <t>Crop value 1/</t>
  </si>
  <si>
    <t>Spinach 4/</t>
  </si>
  <si>
    <t>Bell peppers 2/ 4/</t>
  </si>
  <si>
    <t>Garlic 2/ 4/</t>
  </si>
  <si>
    <t xml:space="preserve">Celery 2/  </t>
  </si>
  <si>
    <t xml:space="preserve">Cauliflower 2/  </t>
  </si>
  <si>
    <t>Cabbage 3/</t>
  </si>
  <si>
    <t xml:space="preserve">Asparagus 2/  </t>
  </si>
  <si>
    <t xml:space="preserve">Artichokes 2/  </t>
  </si>
  <si>
    <t>2006:</t>
  </si>
  <si>
    <t xml:space="preserve">   2007</t>
  </si>
  <si>
    <t>Prices beginning in 2006 are measured at the point of first sale.  They are f.o.b. shipping point prices in prior years.</t>
  </si>
  <si>
    <t>Source:  USDA, Economic Research Service, http://www.ers.usda.gov/Data/Organic/Data/Vegetables.xls</t>
  </si>
  <si>
    <t xml:space="preserve">Planted area:  </t>
  </si>
  <si>
    <t>100 pound bags (cwt)</t>
  </si>
  <si>
    <t>Yield per acre:</t>
  </si>
  <si>
    <t>Acres</t>
  </si>
  <si>
    <t xml:space="preserve">    2nd</t>
  </si>
  <si>
    <t xml:space="preserve">   1st</t>
  </si>
  <si>
    <t xml:space="preserve">    3rd</t>
  </si>
  <si>
    <t xml:space="preserve">   4th</t>
  </si>
  <si>
    <t xml:space="preserve">               Acreage</t>
  </si>
  <si>
    <t xml:space="preserve">        Cwt</t>
  </si>
  <si>
    <t xml:space="preserve">   1,000 cwt</t>
  </si>
  <si>
    <t xml:space="preserve">   $ 1,000</t>
  </si>
  <si>
    <t xml:space="preserve">      $/cwt</t>
  </si>
  <si>
    <t xml:space="preserve">   2007 </t>
  </si>
  <si>
    <t xml:space="preserve"> 1/ About two-thirds of the California storage crop is used for dehydration and other processing (9,365,000 cwt in 2006).   2/ Covers MN and OH in 2004 and OH and UT in 2005-07.</t>
  </si>
  <si>
    <t>Carrots 2/</t>
  </si>
  <si>
    <t xml:space="preserve">   March </t>
  </si>
  <si>
    <t>2006-07</t>
  </si>
  <si>
    <t xml:space="preserve">   Greenhouse</t>
  </si>
  <si>
    <t xml:space="preserve">   Roma</t>
  </si>
  <si>
    <t xml:space="preserve">   Other/round</t>
  </si>
  <si>
    <t xml:space="preserve">   Grape</t>
  </si>
  <si>
    <t xml:space="preserve"> Tomatoes, small 5/</t>
  </si>
  <si>
    <t xml:space="preserve">   Cherry</t>
  </si>
  <si>
    <t xml:space="preserve">              --</t>
  </si>
  <si>
    <t xml:space="preserve"> -- 1,000 cwt --</t>
  </si>
  <si>
    <t>Fresh table 1--U.S. fresh vegetables: Harvested area, by seasons, for selected crops, 2002-2008 1/</t>
  </si>
  <si>
    <t xml:space="preserve">Fresh table 8--Commercial vegetables and potatoes: Indexes of prices received by U.S. growers, by month, 1995-2008 1/  </t>
  </si>
  <si>
    <t xml:space="preserve"> 1/ Prices for 2008 are preliminary.  2/ Includes fresh and processing vegetables.  3/ Includes fresh potatoes and dry  edible beans.  </t>
  </si>
  <si>
    <t xml:space="preserve">Price table 9--Vegetables:  Producer Price Indexes, by month, 1996-2008  1/   </t>
  </si>
  <si>
    <t xml:space="preserve"> -- = not available.    1/ Indexes for 2008 are preliminary.   Since the fresh PPI is not a full month price measurement, fresh-market indexes may not be representative </t>
  </si>
  <si>
    <t xml:space="preserve"> -- = not available.   1/ Indexes for 2008 are preliminary.    2/ Excludes potatoes.   3/ Includes vegetable juices.    4/ Includes both fruits and vegetables.</t>
  </si>
  <si>
    <t xml:space="preserve"> -- = Not available.   1/ 2008 prices are preliminary.    One hundredweight (cwt) is equal to 100 pounds.  The prices in this table can also be read as cents per pound.</t>
  </si>
  <si>
    <t>Fresh table 7--Fresh vegetables:  U.S. monthly and season-average f.o.b. shipping-point prices, 2004-08 1/</t>
  </si>
  <si>
    <t xml:space="preserve">1982-84=100 </t>
  </si>
  <si>
    <t xml:space="preserve">December 1997=100 </t>
  </si>
  <si>
    <t xml:space="preserve">Fresh table 11--Vegetables:  Consumer Price Indexes, by month, 2003-08 1/   </t>
  </si>
  <si>
    <t>--Cents/pound--</t>
  </si>
  <si>
    <t xml:space="preserve">Fresh table 12—Fresh-market vegetables:  U.S. average retail prices, by month, 2000-08   </t>
  </si>
  <si>
    <t>Onions 2/ 3/</t>
  </si>
  <si>
    <t>2007:</t>
  </si>
  <si>
    <t>2005-07 ave:</t>
  </si>
  <si>
    <t>Mil cwt</t>
  </si>
  <si>
    <t>1,000 $</t>
  </si>
  <si>
    <t xml:space="preserve">Fresh table 10--Selected fresh-market vegetables:  Producer Price Indexes, by month, 2002-2008  1/   </t>
  </si>
  <si>
    <t>Fresh table 4--U.S. onions: Planted area by season, 2000-2008</t>
  </si>
  <si>
    <r>
      <t xml:space="preserve"> Source:   USDA, National Agricultural Statistics Service, </t>
    </r>
    <r>
      <rPr>
        <i/>
        <sz val="7"/>
        <rFont val="Helvetica"/>
        <family val="0"/>
      </rPr>
      <t xml:space="preserve">Vegetables Summary. </t>
    </r>
  </si>
  <si>
    <r>
      <t xml:space="preserve"> Source:   USDA, National Agricultural Statistics Service, </t>
    </r>
    <r>
      <rPr>
        <i/>
        <sz val="7"/>
        <rFont val="Helvetica"/>
        <family val="0"/>
      </rPr>
      <t xml:space="preserve">Vegetables Summary </t>
    </r>
  </si>
  <si>
    <t xml:space="preserve"> 1/ Crop value from 2004 forward is based on grower prices while prior to that, it is on an f.o.b. shipping-point basis.  2/ Reported data includes some processing uses in addtion to fresh-</t>
  </si>
  <si>
    <t xml:space="preserve"> to previous years and 2002-07 due to changes in the vegetable program in 2000 and 2002.  </t>
  </si>
  <si>
    <t xml:space="preserve"> market information.  3/ Value excludes production not marketed because of shrinkage.  4/ When comparing to past years, note that data for 2000 and 2001 may not be directly comparable </t>
  </si>
  <si>
    <t xml:space="preserve"> 2006</t>
  </si>
  <si>
    <t xml:space="preserve"> 2007</t>
  </si>
  <si>
    <t xml:space="preserve"> Tomatoes, small 5/ </t>
  </si>
  <si>
    <t xml:space="preserve"> incomplete data in the current year.   4/ Includes round tomatoes, plum (roma) tomatoes and greenhouse tomatoes.   Excludes grape and cherry.  5/ Includes grape and cherry tomatoes.   6/ Includes fresh, chipper, and seed potatoes.  </t>
  </si>
  <si>
    <t xml:space="preserve">    2007</t>
  </si>
  <si>
    <t>2008 p</t>
  </si>
  <si>
    <t xml:space="preserve">Fresh table 3--Fresh vegetables: U.S. shipments, by quarter, 2006-2008 1/  </t>
  </si>
  <si>
    <t xml:space="preserve"> -- = Not available.  Onion data are harvested acres.</t>
  </si>
  <si>
    <t>Fresh table 5--U.S. spring onions:  Area, production, and value, 2000-08</t>
  </si>
  <si>
    <t>2007-08</t>
  </si>
  <si>
    <t>Fresh table 6a--Storage onions:  Planted and harvested area by State, 1998-2008</t>
  </si>
  <si>
    <t>2008f</t>
  </si>
  <si>
    <t xml:space="preserve">   --</t>
  </si>
  <si>
    <t>Fresh table 6b--Storage onions:  Yield per acre and production by State, 1998-2008</t>
  </si>
  <si>
    <t>Chng 08/07</t>
  </si>
  <si>
    <t>Asparagus</t>
  </si>
  <si>
    <t>Beans,</t>
  </si>
  <si>
    <t xml:space="preserve"> round green</t>
  </si>
  <si>
    <t>Broccoli,</t>
  </si>
  <si>
    <t xml:space="preserve"> Organic</t>
  </si>
  <si>
    <t>Carrots, baby</t>
  </si>
  <si>
    <t>Carrots,</t>
  </si>
  <si>
    <t xml:space="preserve"> baby organic</t>
  </si>
  <si>
    <t>Lettuce,</t>
  </si>
  <si>
    <t xml:space="preserve"> iceberg</t>
  </si>
  <si>
    <t xml:space="preserve"> romaine</t>
  </si>
  <si>
    <t xml:space="preserve"> white</t>
  </si>
  <si>
    <t>Mushrooms,</t>
  </si>
  <si>
    <t>Onions,</t>
  </si>
  <si>
    <t xml:space="preserve">  yellow</t>
  </si>
  <si>
    <t>Onions, sweet</t>
  </si>
  <si>
    <t>Peppers,</t>
  </si>
  <si>
    <t xml:space="preserve"> bell green</t>
  </si>
  <si>
    <t xml:space="preserve">  bell red</t>
  </si>
  <si>
    <t>Squash,</t>
  </si>
  <si>
    <t xml:space="preserve"> zucchini</t>
  </si>
  <si>
    <t xml:space="preserve">Sweet </t>
  </si>
  <si>
    <t xml:space="preserve"> potatoes</t>
  </si>
  <si>
    <t>Tomatoes,</t>
  </si>
  <si>
    <t xml:space="preserve"> organic</t>
  </si>
  <si>
    <t xml:space="preserve"> on the vine</t>
  </si>
  <si>
    <t xml:space="preserve"> grape</t>
  </si>
  <si>
    <t xml:space="preserve">    Units</t>
  </si>
  <si>
    <t>Pound</t>
  </si>
  <si>
    <t>Bunch</t>
  </si>
  <si>
    <t>Each</t>
  </si>
  <si>
    <t>Ear</t>
  </si>
  <si>
    <t>Head</t>
  </si>
  <si>
    <t>8-oz pkg</t>
  </si>
  <si>
    <t>3-lb bag</t>
  </si>
  <si>
    <t>Pint</t>
  </si>
  <si>
    <r>
      <t>Source:  Compiled by ERS from data of U.S. Department of Agriculture, Agricultural Marketing Service, Fruit and Vegetable Market News Service,</t>
    </r>
    <r>
      <rPr>
        <i/>
        <sz val="7"/>
        <color indexed="8"/>
        <rFont val="Helvetica"/>
        <family val="0"/>
      </rPr>
      <t xml:space="preserve"> Retail Price Report.</t>
    </r>
  </si>
  <si>
    <t>-- Dollars per unit --</t>
  </si>
  <si>
    <t xml:space="preserve"> 1/ Includes imports, exports, and domestic transfers.   2008 data are preliminary.   2/ January 2008 preliminary weekly data includes days from Dec. and Feb.   3/ Excludes processed lettuce.  </t>
  </si>
  <si>
    <t>Artichokes</t>
  </si>
  <si>
    <t>Fresh table 16--Fresh-cut herbs:  Census area harvested and number of farms by major state, 2002 1/</t>
  </si>
  <si>
    <t>Fresh table 15--Certified organic vegetable acreage, by State, 2005</t>
  </si>
  <si>
    <t>Fresh table 13—Fresh-market vegetables:  U.S. average monthly advertised retail prices, 2007-08</t>
  </si>
  <si>
    <t xml:space="preserve">Cultivated </t>
  </si>
  <si>
    <t>mushrooms</t>
  </si>
  <si>
    <t xml:space="preserve">  &lt; 5 acres</t>
  </si>
  <si>
    <t xml:space="preserve"> &gt; 5 acres</t>
  </si>
  <si>
    <t xml:space="preserve">    Total</t>
  </si>
  <si>
    <t xml:space="preserve"> vegetables</t>
  </si>
  <si>
    <t xml:space="preserve">   Potatoes</t>
  </si>
  <si>
    <t xml:space="preserve">   Dry edible</t>
  </si>
  <si>
    <t xml:space="preserve">      beans</t>
  </si>
  <si>
    <t xml:space="preserve">    &amp; lentils</t>
  </si>
  <si>
    <t xml:space="preserve">   Dry peas</t>
  </si>
  <si>
    <t xml:space="preserve">  Cultivated</t>
  </si>
  <si>
    <t xml:space="preserve">      herbs</t>
  </si>
  <si>
    <t xml:space="preserve">   &amp; wild</t>
  </si>
  <si>
    <t>Aug. *</t>
  </si>
  <si>
    <t xml:space="preserve"> June</t>
  </si>
  <si>
    <t>1,000 acres</t>
  </si>
  <si>
    <t xml:space="preserve">   Cantaloup</t>
  </si>
  <si>
    <t xml:space="preserve">   Honeydew</t>
  </si>
  <si>
    <t xml:space="preserve">   Watermelon  </t>
  </si>
  <si>
    <t xml:space="preserve">     Seedless</t>
  </si>
  <si>
    <t xml:space="preserve">   Chipping</t>
  </si>
  <si>
    <t xml:space="preserve"> Melons, all 7/</t>
  </si>
  <si>
    <t xml:space="preserve"> 4/ Excludes grape and cherry tomatoes.  5/ Includes grape and cherry tomatoes.    6/ Includes fresh, chipper, and seed potatoes.   7/ Excludes minor melon crops.</t>
  </si>
  <si>
    <t xml:space="preserve">   2008</t>
  </si>
  <si>
    <t xml:space="preserve"> -- = not available.   1/  Nonstorage estimates for  California began in 2000.   2/ Primarily dehydrated and other processing.</t>
  </si>
  <si>
    <t xml:space="preserve">  2008</t>
  </si>
  <si>
    <t xml:space="preserve"> 1/  Includes a small amount of processing.</t>
  </si>
  <si>
    <t>Watermelon,</t>
  </si>
  <si>
    <t xml:space="preserve"> seedless</t>
  </si>
  <si>
    <t>Fresh table 2--Selected fresh vegetables: U.S. shipments, recent months, 2007-2008 1/  2/</t>
  </si>
  <si>
    <t xml:space="preserve"> p = preliminary.   Cwt = 100 pound units.   1/ Includes imports, exports, and domestic transfers.   2008 data are preliminary.   2/ Change in third quarter 2008 over third quarter 2007.   3/ Excludes processed lettuce due to</t>
  </si>
  <si>
    <t>2008p</t>
  </si>
  <si>
    <t xml:space="preserve"> -- = not applicable.   p = NASS preliminary estimates.</t>
  </si>
  <si>
    <t xml:space="preserve"> -- = not applicable.   p = preliminary NASS estimates.</t>
  </si>
  <si>
    <t xml:space="preserve">Fresh table 14--Fresh vegetables: U.S. area, production, and crop value, 2004-2008 </t>
  </si>
  <si>
    <t>Note:  Numbers in italics are 2008 forecasts.</t>
  </si>
  <si>
    <t xml:space="preserve"> f = ERS forecast.</t>
  </si>
  <si>
    <t>3rd quarter</t>
  </si>
  <si>
    <t>Imports</t>
  </si>
  <si>
    <t>Expots</t>
  </si>
  <si>
    <t>Quantity</t>
  </si>
  <si>
    <t>Price</t>
  </si>
  <si>
    <t>Value</t>
  </si>
  <si>
    <t>1,000 lbs</t>
  </si>
  <si>
    <t>$/lb</t>
  </si>
  <si>
    <t>$1,000</t>
  </si>
  <si>
    <t>Garlic, all fresh 1/</t>
  </si>
  <si>
    <t>Ginger, fresh 2/</t>
  </si>
  <si>
    <t>Curry leaves</t>
  </si>
  <si>
    <t>Chicory, except Witloof</t>
  </si>
  <si>
    <t>Thyme and Bay leaves, fresh 3/</t>
  </si>
  <si>
    <t>Various herbs, fresh 4/</t>
  </si>
  <si>
    <t xml:space="preserve">               --</t>
  </si>
  <si>
    <t>Dill, fresh</t>
  </si>
  <si>
    <t>1/ Excludes dried garlic or garlic powder, includes fresh whole bulbs, cloves, and chilled garlic</t>
  </si>
  <si>
    <t>2/ Excludes ground ginger</t>
  </si>
  <si>
    <t>3/ Includes crude or unmanufactured Thyme and Bay Leaves</t>
  </si>
  <si>
    <t xml:space="preserve">4/ Includes crude or unmanufactured fennel, majoram, savory and tarragon </t>
  </si>
  <si>
    <t xml:space="preserve"> Source:  Prepared by USDA, Economic Research Service using data provided by U.S. Department of Commerce, U.S. Census Bureau.</t>
  </si>
  <si>
    <t>Peppermint</t>
  </si>
  <si>
    <t>Spearmint</t>
  </si>
  <si>
    <t>Calendar</t>
  </si>
  <si>
    <t>Yield</t>
  </si>
  <si>
    <t xml:space="preserve">  Crop</t>
  </si>
  <si>
    <t>year</t>
  </si>
  <si>
    <t>area</t>
  </si>
  <si>
    <t>per acre</t>
  </si>
  <si>
    <t xml:space="preserve">   value</t>
  </si>
  <si>
    <t xml:space="preserve">       Cwt</t>
  </si>
  <si>
    <t xml:space="preserve">     1,000 lbs</t>
  </si>
  <si>
    <t xml:space="preserve">      $/lb</t>
  </si>
  <si>
    <t xml:space="preserve">     $1,000</t>
  </si>
  <si>
    <t xml:space="preserve"> Indiana</t>
  </si>
  <si>
    <t xml:space="preserve">  United States</t>
  </si>
  <si>
    <t>Souce: National Agricultural Statistics Survey, http://www.nass.usda.gov/QuickStats/PullData_US.jsp</t>
  </si>
  <si>
    <t>Table 17--Fresh peppermint and spearmint production, selected states and U.S., 2004-2007</t>
  </si>
  <si>
    <t>Fresh table 18--Selected herbs and other crops:  U.S. trade quantity, price, and value, 2005-2007</t>
  </si>
  <si>
    <t>Fresh table 19--Pumpkins:  Acreage, production, and value, selected states, 2002-2007</t>
  </si>
  <si>
    <t>Fresh table 20--Spinach:  Acreage, production, and value, selected states, 2002-2007 1/</t>
  </si>
  <si>
    <t>Nov- Nov</t>
  </si>
  <si>
    <t>Nov - Nov</t>
  </si>
  <si>
    <t xml:space="preserve"> Misc Asian veg.</t>
  </si>
  <si>
    <t xml:space="preserve"> Misc herbs</t>
  </si>
  <si>
    <t xml:space="preserve"> Peas, green</t>
  </si>
  <si>
    <r>
      <t xml:space="preserve"> Source:  USDA,Agricultural Marketing Service,  </t>
    </r>
    <r>
      <rPr>
        <i/>
        <sz val="7"/>
        <color indexed="8"/>
        <rFont val="Helvetica"/>
        <family val="0"/>
      </rPr>
      <t xml:space="preserve">Fresh Fruit and Vegetable Shipments. (table 3) </t>
    </r>
    <r>
      <rPr>
        <sz val="7"/>
        <color indexed="8"/>
        <rFont val="Helvetica"/>
        <family val="0"/>
      </rPr>
      <t xml:space="preserve"> </t>
    </r>
  </si>
  <si>
    <r>
      <t xml:space="preserve"> Source:  Compiled by ERS from data of USDA,Agricultural Marketing Service, </t>
    </r>
    <r>
      <rPr>
        <i/>
        <sz val="7"/>
        <color indexed="8"/>
        <rFont val="Helvetica"/>
        <family val="0"/>
      </rPr>
      <t xml:space="preserve">Fresh Fruit and Vegetable Shipments (Table 3).  </t>
    </r>
    <r>
      <rPr>
        <sz val="7"/>
        <color indexed="8"/>
        <rFont val="Helvetica"/>
        <family val="0"/>
      </rPr>
      <t xml:space="preserve"> </t>
    </r>
  </si>
  <si>
    <t xml:space="preserve">-- = not available.  * = partial month average for December 2008.    Compiled from weekly data first reported in October of 2007. </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</si>
</sst>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_)"/>
    <numFmt numFmtId="167" formatCode="0.00_)"/>
    <numFmt numFmtId="168" formatCode="#,##0.0_);\(#,##0.0\)"/>
    <numFmt numFmtId="169" formatCode="0.0___)"/>
    <numFmt numFmtId="170" formatCode="0.0_____)"/>
    <numFmt numFmtId="171" formatCode="#,##0___);\(#,##0\)"/>
    <numFmt numFmtId="172" formatCode="0.000"/>
    <numFmt numFmtId="173" formatCode="#,##0___)"/>
    <numFmt numFmtId="174" formatCode="#,##0.0___)"/>
    <numFmt numFmtId="175" formatCode="#,##0.00_____)"/>
    <numFmt numFmtId="176" formatCode="0.0_______)"/>
    <numFmt numFmtId="177" formatCode="#,##0_____)"/>
    <numFmt numFmtId="178" formatCode="#,##0.0_______)"/>
    <numFmt numFmtId="179" formatCode="#,##0.0_____)"/>
    <numFmt numFmtId="180" formatCode="0_);\(0\)"/>
    <numFmt numFmtId="181" formatCode="#,##0.0____"/>
    <numFmt numFmtId="182" formatCode="#,##0______"/>
    <numFmt numFmtId="183" formatCode="_(* #,##0_);_(* \(#,##0\);_(* &quot;-&quot;??_);_(@_)"/>
    <numFmt numFmtId="184" formatCode="_(* #,##0.0_);_(* \(#,##0.0\);_(* &quot;-&quot;??_);_(@_)"/>
    <numFmt numFmtId="185" formatCode="0.0"/>
    <numFmt numFmtId="186" formatCode="0.00___)"/>
    <numFmt numFmtId="187" formatCode=".00_)"/>
    <numFmt numFmtId="188" formatCode="##,###,_;###.0"/>
    <numFmt numFmtId="189" formatCode="##0.0"/>
    <numFmt numFmtId="190" formatCode="#,##0___________________)"/>
    <numFmt numFmtId="191" formatCode="#,##0_______________________)"/>
    <numFmt numFmtId="192" formatCode="#,##0_________)"/>
    <numFmt numFmtId="193" formatCode="#,##0.00___________________)"/>
    <numFmt numFmtId="194" formatCode="0.0__"/>
    <numFmt numFmtId="195" formatCode="0.00_____)"/>
    <numFmt numFmtId="196" formatCode="#,##0_______________)"/>
    <numFmt numFmtId="197" formatCode="#,##0________________\)"/>
    <numFmt numFmtId="198" formatCode="&quot;Yes&quot;;&quot;Yes&quot;;&quot;No&quot;"/>
    <numFmt numFmtId="199" formatCode="&quot;True&quot;;&quot;True&quot;;&quot;False&quot;"/>
    <numFmt numFmtId="200" formatCode="&quot;On&quot;;&quot;On&quot;;&quot;Off&quot;"/>
    <numFmt numFmtId="201" formatCode="[$€-2]\ #,##0.00_);[Red]\([$€-2]\ #,##0.00\)"/>
    <numFmt numFmtId="202" formatCode="mm/dd/yy"/>
    <numFmt numFmtId="203" formatCode="#,##0.0____\)"/>
    <numFmt numFmtId="204" formatCode="0.0________\)"/>
    <numFmt numFmtId="205" formatCode="0.0______\)"/>
    <numFmt numFmtId="206" formatCode="#,##0____\);\(#,##0\)"/>
    <numFmt numFmtId="207" formatCode="#,##0__\);\(#,##0\)"/>
    <numFmt numFmtId="208" formatCode="00____\)"/>
    <numFmt numFmtId="209" formatCode="##,#0___;\(#,##0\)"/>
    <numFmt numFmtId="210" formatCode="00____"/>
    <numFmt numFmtId="211" formatCode="00__"/>
    <numFmt numFmtId="212" formatCode="0__"/>
    <numFmt numFmtId="213" formatCode="0____"/>
    <numFmt numFmtId="214" formatCode="0______"/>
    <numFmt numFmtId="215" formatCode="#,##0__"/>
    <numFmt numFmtId="216" formatCode="#,##0.0"/>
    <numFmt numFmtId="217" formatCode="##0"/>
    <numFmt numFmtId="218" formatCode="##0.00"/>
    <numFmt numFmtId="219" formatCode="##0.000"/>
    <numFmt numFmtId="220" formatCode="##0.0000"/>
    <numFmt numFmtId="221" formatCode="##0.00000"/>
    <numFmt numFmtId="222" formatCode="##0.000000"/>
    <numFmt numFmtId="223" formatCode="##0.0000000"/>
    <numFmt numFmtId="224" formatCode="##0.00000000"/>
    <numFmt numFmtId="225" formatCode="mmmm\-yy"/>
    <numFmt numFmtId="226" formatCode="#,##0.000_);\(#,##0.000\)"/>
    <numFmt numFmtId="227" formatCode="&quot;$&quot;#,##0"/>
  </numFmts>
  <fonts count="34">
    <font>
      <sz val="10"/>
      <name val="Arial"/>
      <family val="0"/>
    </font>
    <font>
      <u val="single"/>
      <sz val="10"/>
      <color indexed="36"/>
      <name val="Arial"/>
      <family val="0"/>
    </font>
    <font>
      <u val="single"/>
      <sz val="10"/>
      <color indexed="12"/>
      <name val="Arial"/>
      <family val="0"/>
    </font>
    <font>
      <sz val="12"/>
      <name val="Arial"/>
      <family val="0"/>
    </font>
    <font>
      <sz val="9"/>
      <name val="Helv"/>
      <family val="0"/>
    </font>
    <font>
      <sz val="9"/>
      <name val="Arial"/>
      <family val="0"/>
    </font>
    <font>
      <sz val="8"/>
      <color indexed="8"/>
      <name val="Helvetica"/>
      <family val="2"/>
    </font>
    <font>
      <sz val="8"/>
      <name val="Helvetica"/>
      <family val="2"/>
    </font>
    <font>
      <sz val="7"/>
      <name val="Helvetica"/>
      <family val="2"/>
    </font>
    <font>
      <sz val="9"/>
      <name val="Helvetica"/>
      <family val="2"/>
    </font>
    <font>
      <sz val="9"/>
      <name val="Arial MT"/>
      <family val="0"/>
    </font>
    <font>
      <sz val="8"/>
      <color indexed="12"/>
      <name val="Helvetica"/>
      <family val="2"/>
    </font>
    <font>
      <sz val="8"/>
      <name val="Arial"/>
      <family val="2"/>
    </font>
    <font>
      <b/>
      <sz val="8"/>
      <name val="Helvetica"/>
      <family val="2"/>
    </font>
    <font>
      <sz val="10"/>
      <name val="Helvetica"/>
      <family val="2"/>
    </font>
    <font>
      <i/>
      <sz val="8"/>
      <name val="Helvetica"/>
      <family val="0"/>
    </font>
    <font>
      <b/>
      <sz val="8"/>
      <name val="Arial"/>
      <family val="2"/>
    </font>
    <font>
      <b/>
      <sz val="9"/>
      <name val="Helvetica"/>
      <family val="2"/>
    </font>
    <font>
      <b/>
      <sz val="9"/>
      <color indexed="8"/>
      <name val="Helvetica"/>
      <family val="2"/>
    </font>
    <font>
      <b/>
      <sz val="9"/>
      <name val="Arial"/>
      <family val="0"/>
    </font>
    <font>
      <i/>
      <sz val="7"/>
      <color indexed="8"/>
      <name val="Helvetica"/>
      <family val="0"/>
    </font>
    <font>
      <i/>
      <sz val="7"/>
      <name val="Helvetica"/>
      <family val="0"/>
    </font>
    <font>
      <i/>
      <sz val="8"/>
      <name val="Arial"/>
      <family val="2"/>
    </font>
    <font>
      <b/>
      <i/>
      <sz val="8"/>
      <name val="Helvetica"/>
      <family val="0"/>
    </font>
    <font>
      <i/>
      <sz val="9"/>
      <name val="Arial"/>
      <family val="2"/>
    </font>
    <font>
      <b/>
      <sz val="10"/>
      <name val="Arial"/>
      <family val="0"/>
    </font>
    <font>
      <sz val="7"/>
      <color indexed="8"/>
      <name val="Helvetica"/>
      <family val="0"/>
    </font>
    <font>
      <u val="single"/>
      <sz val="7"/>
      <color indexed="12"/>
      <name val="Helvetica"/>
      <family val="2"/>
    </font>
    <font>
      <i/>
      <sz val="9"/>
      <name val="Helvetica"/>
      <family val="2"/>
    </font>
    <font>
      <i/>
      <sz val="10"/>
      <name val="Arial"/>
      <family val="0"/>
    </font>
    <font>
      <i/>
      <sz val="9"/>
      <name val="Arial MT"/>
      <family val="0"/>
    </font>
    <font>
      <sz val="12"/>
      <name val="Arial MT"/>
      <family val="0"/>
    </font>
    <font>
      <b/>
      <sz val="8"/>
      <color indexed="8"/>
      <name val="Verdana"/>
      <family val="2"/>
    </font>
    <font>
      <sz val="8"/>
      <color indexed="8"/>
      <name val="Verdana"/>
      <family val="2"/>
    </font>
  </fonts>
  <fills count="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41"/>
        <bgColor indexed="64"/>
      </patternFill>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1" fillId="0" borderId="0" applyBorder="0">
      <alignment/>
      <protection/>
    </xf>
    <xf numFmtId="0" fontId="10" fillId="0" borderId="0">
      <alignment/>
      <protection/>
    </xf>
    <xf numFmtId="0" fontId="10" fillId="0" borderId="0">
      <alignment/>
      <protection/>
    </xf>
    <xf numFmtId="164" fontId="5" fillId="0" borderId="0">
      <alignment/>
      <protection/>
    </xf>
    <xf numFmtId="164" fontId="5" fillId="0" borderId="0">
      <alignment/>
      <protection/>
    </xf>
    <xf numFmtId="164" fontId="5" fillId="0" borderId="0">
      <alignment/>
      <protection/>
    </xf>
    <xf numFmtId="164" fontId="5" fillId="0" borderId="0">
      <alignment/>
      <protection/>
    </xf>
    <xf numFmtId="164" fontId="0" fillId="0" borderId="0">
      <alignment/>
      <protection/>
    </xf>
    <xf numFmtId="164" fontId="5" fillId="0" borderId="0">
      <alignment/>
      <protection/>
    </xf>
    <xf numFmtId="164" fontId="4" fillId="0" borderId="0">
      <alignment/>
      <protection/>
    </xf>
    <xf numFmtId="164" fontId="5" fillId="0" borderId="0">
      <alignment/>
      <protection/>
    </xf>
    <xf numFmtId="9" fontId="0" fillId="0" borderId="0" applyFont="0" applyFill="0" applyBorder="0" applyAlignment="0" applyProtection="0"/>
  </cellStyleXfs>
  <cellXfs count="677">
    <xf numFmtId="0" fontId="0" fillId="0" borderId="0" xfId="0" applyAlignment="1">
      <alignment/>
    </xf>
    <xf numFmtId="39" fontId="7" fillId="0" borderId="1" xfId="30" applyNumberFormat="1" applyFont="1" applyBorder="1" applyProtection="1">
      <alignment/>
      <protection/>
    </xf>
    <xf numFmtId="164" fontId="5" fillId="0" borderId="0" xfId="30">
      <alignment/>
      <protection/>
    </xf>
    <xf numFmtId="164" fontId="7" fillId="0" borderId="0" xfId="30" applyFont="1" applyBorder="1">
      <alignment/>
      <protection/>
    </xf>
    <xf numFmtId="39" fontId="7" fillId="0" borderId="0" xfId="30" applyNumberFormat="1" applyFont="1" applyBorder="1" applyProtection="1">
      <alignment/>
      <protection/>
    </xf>
    <xf numFmtId="164" fontId="7" fillId="0" borderId="0" xfId="30" applyFont="1" applyBorder="1" applyAlignment="1" applyProtection="1">
      <alignment horizontal="left"/>
      <protection/>
    </xf>
    <xf numFmtId="175" fontId="7" fillId="0" borderId="0" xfId="30" applyNumberFormat="1" applyFont="1" applyBorder="1" applyProtection="1">
      <alignment/>
      <protection/>
    </xf>
    <xf numFmtId="164" fontId="7" fillId="0" borderId="0" xfId="30" applyFont="1" applyBorder="1" applyAlignment="1" applyProtection="1" quotePrefix="1">
      <alignment horizontal="left"/>
      <protection/>
    </xf>
    <xf numFmtId="164" fontId="7" fillId="0" borderId="0" xfId="30" applyFont="1" applyBorder="1" applyAlignment="1" applyProtection="1">
      <alignment horizontal="left" indent="1"/>
      <protection/>
    </xf>
    <xf numFmtId="164" fontId="8" fillId="0" borderId="0" xfId="30" applyFont="1" applyBorder="1" applyAlignment="1" applyProtection="1" quotePrefix="1">
      <alignment horizontal="left"/>
      <protection/>
    </xf>
    <xf numFmtId="39" fontId="9" fillId="0" borderId="0" xfId="30" applyNumberFormat="1" applyFont="1" applyBorder="1" applyProtection="1">
      <alignment/>
      <protection/>
    </xf>
    <xf numFmtId="164" fontId="5" fillId="0" borderId="0" xfId="30" applyBorder="1">
      <alignment/>
      <protection/>
    </xf>
    <xf numFmtId="39" fontId="5" fillId="0" borderId="0" xfId="30" applyNumberFormat="1" applyBorder="1" applyProtection="1">
      <alignment/>
      <protection/>
    </xf>
    <xf numFmtId="37" fontId="7" fillId="0" borderId="1" xfId="32" applyNumberFormat="1" applyFont="1" applyBorder="1" applyProtection="1">
      <alignment/>
      <protection/>
    </xf>
    <xf numFmtId="164" fontId="7" fillId="0" borderId="1" xfId="32" applyFont="1" applyBorder="1">
      <alignment/>
      <protection/>
    </xf>
    <xf numFmtId="164" fontId="5" fillId="0" borderId="0" xfId="32">
      <alignment/>
      <protection/>
    </xf>
    <xf numFmtId="164" fontId="7" fillId="0" borderId="0" xfId="32" applyFont="1" applyBorder="1">
      <alignment/>
      <protection/>
    </xf>
    <xf numFmtId="37" fontId="7" fillId="0" borderId="0" xfId="32" applyNumberFormat="1" applyFont="1" applyBorder="1" applyProtection="1">
      <alignment/>
      <protection/>
    </xf>
    <xf numFmtId="164" fontId="7" fillId="0" borderId="0" xfId="32" applyFont="1" applyBorder="1" applyAlignment="1">
      <alignment horizontal="centerContinuous"/>
      <protection/>
    </xf>
    <xf numFmtId="37" fontId="7" fillId="0" borderId="0" xfId="32" applyNumberFormat="1" applyFont="1" applyBorder="1" applyAlignment="1" applyProtection="1">
      <alignment horizontal="centerContinuous"/>
      <protection/>
    </xf>
    <xf numFmtId="37" fontId="7" fillId="0" borderId="0" xfId="32" applyNumberFormat="1" applyFont="1" applyBorder="1" applyAlignment="1" applyProtection="1">
      <alignment horizontal="left"/>
      <protection/>
    </xf>
    <xf numFmtId="173" fontId="7" fillId="0" borderId="0" xfId="32" applyNumberFormat="1" applyFont="1" applyBorder="1" applyProtection="1">
      <alignment/>
      <protection/>
    </xf>
    <xf numFmtId="173" fontId="7" fillId="0" borderId="0" xfId="32" applyNumberFormat="1" applyFont="1" applyBorder="1">
      <alignment/>
      <protection/>
    </xf>
    <xf numFmtId="174" fontId="7" fillId="0" borderId="0" xfId="32" applyNumberFormat="1" applyFont="1" applyBorder="1" applyProtection="1">
      <alignment/>
      <protection/>
    </xf>
    <xf numFmtId="164" fontId="7" fillId="0" borderId="0" xfId="32" applyFont="1" applyBorder="1" applyAlignment="1" applyProtection="1">
      <alignment horizontal="left"/>
      <protection/>
    </xf>
    <xf numFmtId="164" fontId="7" fillId="0" borderId="0" xfId="32" applyFont="1" applyBorder="1" applyAlignment="1" applyProtection="1" quotePrefix="1">
      <alignment horizontal="left"/>
      <protection/>
    </xf>
    <xf numFmtId="164" fontId="8" fillId="0" borderId="0" xfId="32" applyFont="1" applyBorder="1" applyAlignment="1" applyProtection="1" quotePrefix="1">
      <alignment horizontal="left"/>
      <protection/>
    </xf>
    <xf numFmtId="37" fontId="9" fillId="0" borderId="0" xfId="32" applyNumberFormat="1" applyFont="1" applyBorder="1" applyProtection="1">
      <alignment/>
      <protection/>
    </xf>
    <xf numFmtId="164" fontId="9" fillId="0" borderId="0" xfId="32" applyFont="1" applyBorder="1">
      <alignment/>
      <protection/>
    </xf>
    <xf numFmtId="164" fontId="5" fillId="0" borderId="0" xfId="32" applyBorder="1">
      <alignment/>
      <protection/>
    </xf>
    <xf numFmtId="37" fontId="5" fillId="0" borderId="0" xfId="32" applyNumberFormat="1" applyBorder="1" applyProtection="1">
      <alignment/>
      <protection/>
    </xf>
    <xf numFmtId="37" fontId="5" fillId="0" borderId="0" xfId="32" applyNumberFormat="1" applyProtection="1">
      <alignment/>
      <protection/>
    </xf>
    <xf numFmtId="37" fontId="7" fillId="0" borderId="0" xfId="32" applyNumberFormat="1" applyFont="1" applyProtection="1">
      <alignment/>
      <protection/>
    </xf>
    <xf numFmtId="164" fontId="5" fillId="0" borderId="0" xfId="32" applyFont="1">
      <alignment/>
      <protection/>
    </xf>
    <xf numFmtId="0" fontId="7" fillId="0" borderId="2" xfId="24" applyFont="1" applyBorder="1" applyAlignment="1" quotePrefix="1">
      <alignment horizontal="left"/>
      <protection/>
    </xf>
    <xf numFmtId="0" fontId="7" fillId="0" borderId="2" xfId="24" applyFont="1" applyBorder="1">
      <alignment/>
      <protection/>
    </xf>
    <xf numFmtId="0" fontId="10" fillId="0" borderId="0" xfId="24">
      <alignment/>
      <protection/>
    </xf>
    <xf numFmtId="0" fontId="7" fillId="0" borderId="0" xfId="24" applyFont="1">
      <alignment/>
      <protection/>
    </xf>
    <xf numFmtId="0" fontId="7" fillId="0" borderId="0" xfId="24" applyFont="1" applyAlignment="1" quotePrefix="1">
      <alignment horizontal="centerContinuous"/>
      <protection/>
    </xf>
    <xf numFmtId="0" fontId="7" fillId="0" borderId="0" xfId="24" applyFont="1" applyAlignment="1">
      <alignment horizontal="centerContinuous"/>
      <protection/>
    </xf>
    <xf numFmtId="0" fontId="7" fillId="0" borderId="0" xfId="24" applyFont="1" applyAlignment="1">
      <alignment horizontal="left"/>
      <protection/>
    </xf>
    <xf numFmtId="176" fontId="7" fillId="0" borderId="0" xfId="24" applyNumberFormat="1" applyFont="1">
      <alignment/>
      <protection/>
    </xf>
    <xf numFmtId="0" fontId="7" fillId="0" borderId="0" xfId="24" applyFont="1" applyAlignment="1" quotePrefix="1">
      <alignment horizontal="left"/>
      <protection/>
    </xf>
    <xf numFmtId="176" fontId="7" fillId="0" borderId="0" xfId="24" applyNumberFormat="1" applyFont="1" applyProtection="1">
      <alignment/>
      <protection/>
    </xf>
    <xf numFmtId="168" fontId="7" fillId="0" borderId="0" xfId="24" applyNumberFormat="1" applyFont="1" applyProtection="1">
      <alignment/>
      <protection/>
    </xf>
    <xf numFmtId="168" fontId="7" fillId="0" borderId="0" xfId="24" applyNumberFormat="1" applyFont="1" applyAlignment="1" applyProtection="1">
      <alignment horizontal="left"/>
      <protection/>
    </xf>
    <xf numFmtId="166" fontId="10" fillId="0" borderId="0" xfId="24" applyNumberFormat="1" applyProtection="1">
      <alignment/>
      <protection/>
    </xf>
    <xf numFmtId="168" fontId="7" fillId="0" borderId="0" xfId="24" applyNumberFormat="1" applyFont="1" applyAlignment="1" applyProtection="1" quotePrefix="1">
      <alignment horizontal="left"/>
      <protection/>
    </xf>
    <xf numFmtId="0" fontId="8" fillId="0" borderId="0" xfId="24" applyFont="1" applyAlignment="1">
      <alignment horizontal="left"/>
      <protection/>
    </xf>
    <xf numFmtId="0" fontId="8" fillId="0" borderId="0" xfId="24" applyFont="1" applyAlignment="1" quotePrefix="1">
      <alignment horizontal="left"/>
      <protection/>
    </xf>
    <xf numFmtId="166" fontId="7" fillId="0" borderId="0" xfId="24" applyNumberFormat="1" applyFont="1" applyProtection="1">
      <alignment/>
      <protection/>
    </xf>
    <xf numFmtId="166" fontId="11" fillId="0" borderId="0" xfId="24" applyNumberFormat="1" applyFont="1" applyProtection="1">
      <alignment/>
      <protection locked="0"/>
    </xf>
    <xf numFmtId="172" fontId="10" fillId="0" borderId="0" xfId="24" applyNumberFormat="1" applyProtection="1">
      <alignment/>
      <protection/>
    </xf>
    <xf numFmtId="168" fontId="10" fillId="0" borderId="0" xfId="24" applyNumberFormat="1" applyProtection="1">
      <alignment/>
      <protection/>
    </xf>
    <xf numFmtId="0" fontId="8" fillId="0" borderId="3" xfId="24" applyFont="1" applyBorder="1" applyAlignment="1" quotePrefix="1">
      <alignment horizontal="left"/>
      <protection/>
    </xf>
    <xf numFmtId="0" fontId="7" fillId="0" borderId="3" xfId="24" applyFont="1" applyBorder="1">
      <alignment/>
      <protection/>
    </xf>
    <xf numFmtId="167" fontId="7" fillId="0" borderId="2" xfId="21" applyNumberFormat="1" applyFont="1" applyBorder="1" applyProtection="1">
      <alignment/>
      <protection/>
    </xf>
    <xf numFmtId="0" fontId="7" fillId="0" borderId="2" xfId="21" applyFont="1" applyBorder="1">
      <alignment/>
      <protection/>
    </xf>
    <xf numFmtId="164" fontId="12" fillId="0" borderId="0" xfId="25" applyFont="1" applyBorder="1">
      <alignment/>
      <protection/>
    </xf>
    <xf numFmtId="164" fontId="12" fillId="0" borderId="0" xfId="25" applyFont="1">
      <alignment/>
      <protection/>
    </xf>
    <xf numFmtId="167" fontId="7" fillId="0" borderId="0" xfId="21" applyNumberFormat="1" applyFont="1" applyProtection="1">
      <alignment/>
      <protection/>
    </xf>
    <xf numFmtId="0" fontId="7" fillId="0" borderId="0" xfId="21" applyFont="1">
      <alignment/>
      <protection/>
    </xf>
    <xf numFmtId="0" fontId="3" fillId="0" borderId="0" xfId="21">
      <alignment/>
      <protection/>
    </xf>
    <xf numFmtId="0" fontId="7" fillId="0" borderId="0" xfId="21" applyFont="1" applyAlignment="1" quotePrefix="1">
      <alignment horizontal="centerContinuous"/>
      <protection/>
    </xf>
    <xf numFmtId="0" fontId="7" fillId="0" borderId="0" xfId="21" applyFont="1" applyAlignment="1">
      <alignment horizontal="centerContinuous"/>
      <protection/>
    </xf>
    <xf numFmtId="0" fontId="3" fillId="0" borderId="0" xfId="21" applyAlignment="1">
      <alignment horizontal="centerContinuous"/>
      <protection/>
    </xf>
    <xf numFmtId="167" fontId="7" fillId="0" borderId="0" xfId="21" applyNumberFormat="1" applyFont="1" applyAlignment="1" applyProtection="1">
      <alignment horizontal="left"/>
      <protection/>
    </xf>
    <xf numFmtId="0" fontId="7" fillId="0" borderId="0" xfId="21" applyFont="1" applyAlignment="1">
      <alignment horizontal="left"/>
      <protection/>
    </xf>
    <xf numFmtId="167" fontId="7" fillId="0" borderId="0" xfId="21" applyNumberFormat="1" applyFont="1" applyBorder="1" applyAlignment="1" applyProtection="1">
      <alignment horizontal="left"/>
      <protection/>
    </xf>
    <xf numFmtId="165" fontId="7" fillId="0" borderId="0" xfId="21" applyNumberFormat="1" applyFont="1" applyBorder="1" applyAlignment="1" applyProtection="1">
      <alignment horizontal="center"/>
      <protection/>
    </xf>
    <xf numFmtId="167" fontId="7" fillId="0" borderId="0" xfId="21" applyNumberFormat="1" applyFont="1" applyBorder="1" applyProtection="1">
      <alignment/>
      <protection/>
    </xf>
    <xf numFmtId="167" fontId="6" fillId="0" borderId="0" xfId="31" applyNumberFormat="1" applyFont="1" applyFill="1" applyBorder="1" applyAlignment="1" quotePrefix="1">
      <alignment horizontal="left"/>
      <protection/>
    </xf>
    <xf numFmtId="0" fontId="7" fillId="0" borderId="0" xfId="21" applyFont="1" applyBorder="1">
      <alignment/>
      <protection/>
    </xf>
    <xf numFmtId="167" fontId="7" fillId="0" borderId="0" xfId="21" applyNumberFormat="1" applyFont="1" applyBorder="1" applyAlignment="1" applyProtection="1">
      <alignment horizontal="center"/>
      <protection/>
    </xf>
    <xf numFmtId="0" fontId="7" fillId="0" borderId="0" xfId="21" applyFont="1" applyBorder="1" applyAlignment="1">
      <alignment horizontal="left"/>
      <protection/>
    </xf>
    <xf numFmtId="167" fontId="6" fillId="0" borderId="0" xfId="31" applyNumberFormat="1" applyFont="1" applyFill="1" applyBorder="1" applyAlignment="1">
      <alignment/>
      <protection/>
    </xf>
    <xf numFmtId="167" fontId="7" fillId="0" borderId="0" xfId="21" applyNumberFormat="1" applyFont="1" applyBorder="1">
      <alignment/>
      <protection/>
    </xf>
    <xf numFmtId="167" fontId="6" fillId="0" borderId="0" xfId="31" applyNumberFormat="1" applyFont="1" applyFill="1" applyBorder="1" applyAlignment="1">
      <alignment horizontal="right" wrapText="1"/>
      <protection/>
    </xf>
    <xf numFmtId="167" fontId="7" fillId="0" borderId="0" xfId="21" applyNumberFormat="1" applyFont="1" applyBorder="1" applyAlignment="1" applyProtection="1">
      <alignment/>
      <protection/>
    </xf>
    <xf numFmtId="165" fontId="7" fillId="0" borderId="0" xfId="21" applyNumberFormat="1" applyFont="1" applyAlignment="1" applyProtection="1">
      <alignment horizontal="center"/>
      <protection/>
    </xf>
    <xf numFmtId="0" fontId="8" fillId="0" borderId="3" xfId="21" applyFont="1" applyBorder="1" applyAlignment="1" quotePrefix="1">
      <alignment horizontal="left"/>
      <protection/>
    </xf>
    <xf numFmtId="165" fontId="7" fillId="0" borderId="3" xfId="21" applyNumberFormat="1" applyFont="1" applyBorder="1" applyProtection="1">
      <alignment/>
      <protection/>
    </xf>
    <xf numFmtId="167" fontId="7" fillId="0" borderId="3" xfId="21" applyNumberFormat="1" applyFont="1" applyBorder="1" applyProtection="1">
      <alignment/>
      <protection/>
    </xf>
    <xf numFmtId="165" fontId="7" fillId="0" borderId="0" xfId="21" applyNumberFormat="1" applyFont="1" applyProtection="1">
      <alignment/>
      <protection/>
    </xf>
    <xf numFmtId="164" fontId="12" fillId="0" borderId="0" xfId="25" applyFont="1" applyAlignment="1">
      <alignment horizontal="right"/>
      <protection/>
    </xf>
    <xf numFmtId="164" fontId="5" fillId="0" borderId="0" xfId="25">
      <alignment/>
      <protection/>
    </xf>
    <xf numFmtId="164" fontId="7" fillId="0" borderId="1" xfId="26" applyFont="1" applyBorder="1">
      <alignment/>
      <protection/>
    </xf>
    <xf numFmtId="164" fontId="7" fillId="0" borderId="0" xfId="26" applyFont="1">
      <alignment/>
      <protection/>
    </xf>
    <xf numFmtId="164" fontId="5" fillId="0" borderId="0" xfId="26">
      <alignment/>
      <protection/>
    </xf>
    <xf numFmtId="164" fontId="13" fillId="0" borderId="0" xfId="26" applyFont="1" applyBorder="1">
      <alignment/>
      <protection/>
    </xf>
    <xf numFmtId="164" fontId="7" fillId="0" borderId="0" xfId="26" applyFont="1" applyBorder="1">
      <alignment/>
      <protection/>
    </xf>
    <xf numFmtId="164" fontId="7" fillId="0" borderId="0" xfId="26" applyFont="1" applyBorder="1" applyAlignment="1">
      <alignment horizontal="centerContinuous"/>
      <protection/>
    </xf>
    <xf numFmtId="164" fontId="11" fillId="0" borderId="0" xfId="26" applyFont="1" applyBorder="1" applyProtection="1">
      <alignment/>
      <protection locked="0"/>
    </xf>
    <xf numFmtId="165" fontId="7" fillId="0" borderId="0" xfId="26" applyNumberFormat="1" applyFont="1" applyBorder="1" applyProtection="1">
      <alignment/>
      <protection/>
    </xf>
    <xf numFmtId="164" fontId="7" fillId="0" borderId="0" xfId="26" applyFont="1" applyBorder="1" applyAlignment="1" applyProtection="1">
      <alignment horizontal="center"/>
      <protection locked="0"/>
    </xf>
    <xf numFmtId="171" fontId="7" fillId="0" borderId="0" xfId="26" applyNumberFormat="1" applyFont="1" applyBorder="1" applyProtection="1">
      <alignment/>
      <protection locked="0"/>
    </xf>
    <xf numFmtId="173" fontId="7" fillId="0" borderId="0" xfId="26" applyNumberFormat="1" applyFont="1" applyBorder="1" applyProtection="1">
      <alignment/>
      <protection/>
    </xf>
    <xf numFmtId="171" fontId="7" fillId="0" borderId="0" xfId="26" applyNumberFormat="1" applyFont="1" applyBorder="1" applyProtection="1">
      <alignment/>
      <protection/>
    </xf>
    <xf numFmtId="164" fontId="7" fillId="0" borderId="0" xfId="26" applyFont="1" applyBorder="1" applyAlignment="1">
      <alignment horizontal="center"/>
      <protection/>
    </xf>
    <xf numFmtId="173" fontId="7" fillId="0" borderId="0" xfId="26" applyNumberFormat="1" applyFont="1" applyBorder="1">
      <alignment/>
      <protection/>
    </xf>
    <xf numFmtId="164" fontId="11" fillId="0" borderId="0" xfId="26" applyFont="1" applyBorder="1" applyAlignment="1" applyProtection="1">
      <alignment horizontal="center"/>
      <protection locked="0"/>
    </xf>
    <xf numFmtId="37" fontId="7" fillId="0" borderId="0" xfId="26" applyNumberFormat="1" applyFont="1" applyBorder="1" applyAlignment="1" applyProtection="1">
      <alignment horizontal="centerContinuous"/>
      <protection/>
    </xf>
    <xf numFmtId="173" fontId="7" fillId="0" borderId="0" xfId="26" applyNumberFormat="1" applyFont="1" applyBorder="1" applyAlignment="1" applyProtection="1">
      <alignment horizontal="centerContinuous"/>
      <protection/>
    </xf>
    <xf numFmtId="37" fontId="7" fillId="0" borderId="0" xfId="26" applyNumberFormat="1" applyFont="1" applyBorder="1" applyProtection="1">
      <alignment/>
      <protection/>
    </xf>
    <xf numFmtId="173" fontId="7" fillId="0" borderId="0" xfId="26" applyNumberFormat="1" applyFont="1" applyBorder="1" applyProtection="1">
      <alignment/>
      <protection/>
    </xf>
    <xf numFmtId="164" fontId="7" fillId="0" borderId="1" xfId="27" applyFont="1" applyBorder="1">
      <alignment/>
      <protection/>
    </xf>
    <xf numFmtId="166" fontId="7" fillId="0" borderId="1" xfId="27" applyNumberFormat="1" applyFont="1" applyBorder="1" applyProtection="1">
      <alignment/>
      <protection/>
    </xf>
    <xf numFmtId="164" fontId="12" fillId="0" borderId="0" xfId="27" applyFont="1" applyBorder="1">
      <alignment/>
      <protection/>
    </xf>
    <xf numFmtId="164" fontId="5" fillId="0" borderId="0" xfId="27">
      <alignment/>
      <protection/>
    </xf>
    <xf numFmtId="164" fontId="7" fillId="0" borderId="0" xfId="27" applyFont="1" applyBorder="1">
      <alignment/>
      <protection/>
    </xf>
    <xf numFmtId="166" fontId="7" fillId="0" borderId="0" xfId="27" applyNumberFormat="1" applyFont="1" applyBorder="1" applyAlignment="1" applyProtection="1">
      <alignment horizontal="centerContinuous"/>
      <protection/>
    </xf>
    <xf numFmtId="164" fontId="5" fillId="0" borderId="0" xfId="27" applyAlignment="1">
      <alignment horizontal="centerContinuous"/>
      <protection/>
    </xf>
    <xf numFmtId="164" fontId="7" fillId="0" borderId="0" xfId="27" applyFont="1" applyBorder="1" applyAlignment="1">
      <alignment horizontal="centerContinuous"/>
      <protection/>
    </xf>
    <xf numFmtId="166" fontId="7" fillId="0" borderId="0" xfId="27" applyNumberFormat="1" applyFont="1" applyBorder="1" applyProtection="1">
      <alignment/>
      <protection/>
    </xf>
    <xf numFmtId="164" fontId="7" fillId="0" borderId="0" xfId="27" applyFont="1" applyBorder="1" applyAlignment="1" applyProtection="1">
      <alignment horizontal="left"/>
      <protection/>
    </xf>
    <xf numFmtId="164" fontId="7" fillId="0" borderId="0" xfId="27" applyFont="1" applyBorder="1" applyAlignment="1" applyProtection="1">
      <alignment horizontal="center"/>
      <protection/>
    </xf>
    <xf numFmtId="169" fontId="7" fillId="0" borderId="0" xfId="27" applyNumberFormat="1" applyFont="1" applyBorder="1" applyProtection="1">
      <alignment/>
      <protection/>
    </xf>
    <xf numFmtId="164" fontId="7" fillId="0" borderId="0" xfId="27" applyFont="1" applyBorder="1" applyAlignment="1">
      <alignment horizontal="center"/>
      <protection/>
    </xf>
    <xf numFmtId="164" fontId="7" fillId="0" borderId="0" xfId="27" applyFont="1" applyBorder="1" applyAlignment="1" applyProtection="1" quotePrefix="1">
      <alignment horizontal="left"/>
      <protection/>
    </xf>
    <xf numFmtId="164" fontId="7" fillId="0" borderId="1" xfId="28" applyFont="1" applyBorder="1">
      <alignment/>
      <protection/>
    </xf>
    <xf numFmtId="166" fontId="7" fillId="0" borderId="1" xfId="28" applyNumberFormat="1" applyFont="1" applyBorder="1" applyProtection="1">
      <alignment/>
      <protection/>
    </xf>
    <xf numFmtId="164" fontId="5" fillId="0" borderId="0" xfId="28" applyBorder="1">
      <alignment/>
      <protection/>
    </xf>
    <xf numFmtId="164" fontId="5" fillId="0" borderId="0" xfId="28">
      <alignment/>
      <protection/>
    </xf>
    <xf numFmtId="164" fontId="7" fillId="0" borderId="0" xfId="28" applyFont="1" applyBorder="1">
      <alignment/>
      <protection/>
    </xf>
    <xf numFmtId="166" fontId="7" fillId="0" borderId="0" xfId="28" applyNumberFormat="1" applyFont="1" applyBorder="1" applyAlignment="1" applyProtection="1">
      <alignment horizontal="centerContinuous"/>
      <protection/>
    </xf>
    <xf numFmtId="164" fontId="5" fillId="0" borderId="0" xfId="28" applyAlignment="1">
      <alignment horizontal="centerContinuous"/>
      <protection/>
    </xf>
    <xf numFmtId="166" fontId="7" fillId="0" borderId="0" xfId="28" applyNumberFormat="1" applyFont="1" applyBorder="1" applyProtection="1">
      <alignment/>
      <protection/>
    </xf>
    <xf numFmtId="164" fontId="7" fillId="0" borderId="0" xfId="28" applyFont="1" applyBorder="1" applyAlignment="1" applyProtection="1">
      <alignment horizontal="left"/>
      <protection/>
    </xf>
    <xf numFmtId="164" fontId="7" fillId="0" borderId="0" xfId="28" applyFont="1" applyBorder="1" applyProtection="1">
      <alignment/>
      <protection/>
    </xf>
    <xf numFmtId="168" fontId="5" fillId="0" borderId="0" xfId="28" applyNumberFormat="1" applyBorder="1" applyProtection="1">
      <alignment/>
      <protection/>
    </xf>
    <xf numFmtId="0" fontId="14" fillId="0" borderId="0" xfId="0" applyFont="1" applyBorder="1" applyAlignment="1">
      <alignment horizontal="centerContinuous"/>
    </xf>
    <xf numFmtId="166" fontId="7" fillId="0" borderId="0" xfId="28" applyNumberFormat="1" applyFont="1">
      <alignment/>
      <protection/>
    </xf>
    <xf numFmtId="0" fontId="14" fillId="0" borderId="0" xfId="0" applyFont="1" applyBorder="1" applyAlignment="1">
      <alignment/>
    </xf>
    <xf numFmtId="164" fontId="9" fillId="0" borderId="0" xfId="28" applyFont="1" applyBorder="1">
      <alignment/>
      <protection/>
    </xf>
    <xf numFmtId="166" fontId="9" fillId="0" borderId="0" xfId="28" applyNumberFormat="1" applyFont="1" applyBorder="1" applyProtection="1">
      <alignment/>
      <protection/>
    </xf>
    <xf numFmtId="166" fontId="5" fillId="0" borderId="0" xfId="28" applyNumberFormat="1" applyBorder="1" applyProtection="1">
      <alignment/>
      <protection/>
    </xf>
    <xf numFmtId="164" fontId="7" fillId="0" borderId="1" xfId="29" applyFont="1" applyBorder="1">
      <alignment/>
      <protection/>
    </xf>
    <xf numFmtId="166" fontId="7" fillId="0" borderId="1" xfId="29" applyNumberFormat="1" applyFont="1" applyBorder="1" applyProtection="1">
      <alignment/>
      <protection/>
    </xf>
    <xf numFmtId="164" fontId="0" fillId="0" borderId="0" xfId="29">
      <alignment/>
      <protection/>
    </xf>
    <xf numFmtId="164" fontId="7" fillId="0" borderId="0" xfId="29" applyFont="1" applyBorder="1">
      <alignment/>
      <protection/>
    </xf>
    <xf numFmtId="166" fontId="7" fillId="0" borderId="0" xfId="29" applyNumberFormat="1" applyFont="1" applyBorder="1" applyAlignment="1" applyProtection="1">
      <alignment horizontal="centerContinuous"/>
      <protection/>
    </xf>
    <xf numFmtId="164" fontId="0" fillId="0" borderId="0" xfId="29" applyAlignment="1">
      <alignment horizontal="centerContinuous"/>
      <protection/>
    </xf>
    <xf numFmtId="164" fontId="7" fillId="0" borderId="0" xfId="29" applyFont="1" applyBorder="1" applyAlignment="1">
      <alignment horizontal="centerContinuous"/>
      <protection/>
    </xf>
    <xf numFmtId="166" fontId="7" fillId="0" borderId="0" xfId="29" applyNumberFormat="1" applyFont="1" applyBorder="1" applyProtection="1">
      <alignment/>
      <protection/>
    </xf>
    <xf numFmtId="164" fontId="7" fillId="0" borderId="0" xfId="29" applyFont="1" applyBorder="1" applyProtection="1">
      <alignment/>
      <protection/>
    </xf>
    <xf numFmtId="169" fontId="7" fillId="0" borderId="0" xfId="29" applyNumberFormat="1" applyFont="1" applyBorder="1" applyProtection="1">
      <alignment/>
      <protection/>
    </xf>
    <xf numFmtId="164" fontId="7" fillId="0" borderId="0" xfId="29" applyFont="1" applyBorder="1" applyAlignment="1" applyProtection="1" quotePrefix="1">
      <alignment horizontal="left"/>
      <protection/>
    </xf>
    <xf numFmtId="164" fontId="7" fillId="0" borderId="4" xfId="29" applyFont="1" applyBorder="1">
      <alignment/>
      <protection/>
    </xf>
    <xf numFmtId="166" fontId="7" fillId="0" borderId="4" xfId="29" applyNumberFormat="1" applyFont="1" applyBorder="1" applyProtection="1">
      <alignment/>
      <protection/>
    </xf>
    <xf numFmtId="170" fontId="7" fillId="0" borderId="0" xfId="29" applyNumberFormat="1" applyFont="1" applyBorder="1" applyProtection="1">
      <alignment/>
      <protection/>
    </xf>
    <xf numFmtId="164" fontId="0" fillId="0" borderId="4" xfId="29" applyBorder="1">
      <alignment/>
      <protection/>
    </xf>
    <xf numFmtId="2" fontId="10" fillId="0" borderId="0" xfId="24" applyNumberFormat="1">
      <alignment/>
      <protection/>
    </xf>
    <xf numFmtId="0" fontId="10" fillId="0" borderId="0" xfId="24" applyFont="1">
      <alignment/>
      <protection/>
    </xf>
    <xf numFmtId="164" fontId="8" fillId="0" borderId="4" xfId="26" applyFont="1" applyBorder="1" applyAlignment="1" applyProtection="1" quotePrefix="1">
      <alignment horizontal="left"/>
      <protection/>
    </xf>
    <xf numFmtId="164" fontId="7" fillId="0" borderId="4" xfId="26" applyFont="1" applyBorder="1">
      <alignment/>
      <protection/>
    </xf>
    <xf numFmtId="164" fontId="8" fillId="0" borderId="4" xfId="27" applyFont="1" applyBorder="1" applyAlignment="1" applyProtection="1" quotePrefix="1">
      <alignment horizontal="left"/>
      <protection/>
    </xf>
    <xf numFmtId="164" fontId="7" fillId="0" borderId="4" xfId="27" applyFont="1" applyBorder="1">
      <alignment/>
      <protection/>
    </xf>
    <xf numFmtId="166" fontId="7" fillId="0" borderId="4" xfId="27" applyNumberFormat="1" applyFont="1" applyBorder="1" applyProtection="1">
      <alignment/>
      <protection/>
    </xf>
    <xf numFmtId="164" fontId="8" fillId="0" borderId="4" xfId="28" applyFont="1" applyBorder="1" applyAlignment="1" applyProtection="1">
      <alignment horizontal="left"/>
      <protection/>
    </xf>
    <xf numFmtId="164" fontId="9" fillId="0" borderId="4" xfId="28" applyFont="1" applyBorder="1">
      <alignment/>
      <protection/>
    </xf>
    <xf numFmtId="166" fontId="9" fillId="0" borderId="4" xfId="28" applyNumberFormat="1" applyFont="1" applyBorder="1" applyProtection="1">
      <alignment/>
      <protection/>
    </xf>
    <xf numFmtId="164" fontId="5" fillId="0" borderId="4" xfId="28" applyBorder="1">
      <alignment/>
      <protection/>
    </xf>
    <xf numFmtId="164" fontId="8" fillId="0" borderId="4" xfId="29" applyFont="1" applyBorder="1" applyAlignment="1" applyProtection="1" quotePrefix="1">
      <alignment horizontal="left"/>
      <protection/>
    </xf>
    <xf numFmtId="0" fontId="14" fillId="0" borderId="4" xfId="0" applyFont="1" applyBorder="1" applyAlignment="1">
      <alignment/>
    </xf>
    <xf numFmtId="178" fontId="7" fillId="0" borderId="0" xfId="24" applyNumberFormat="1" applyFont="1" applyProtection="1">
      <alignment/>
      <protection/>
    </xf>
    <xf numFmtId="178" fontId="7" fillId="0" borderId="0" xfId="24" applyNumberFormat="1" applyFont="1" applyProtection="1">
      <alignment/>
      <protection locked="0"/>
    </xf>
    <xf numFmtId="164" fontId="12" fillId="0" borderId="0" xfId="26" applyFont="1">
      <alignment/>
      <protection/>
    </xf>
    <xf numFmtId="0" fontId="7" fillId="0" borderId="0" xfId="21" applyFont="1" applyAlignment="1" quotePrefix="1">
      <alignment horizontal="center"/>
      <protection/>
    </xf>
    <xf numFmtId="181" fontId="12" fillId="0" borderId="0" xfId="25" applyNumberFormat="1" applyFont="1" applyAlignment="1">
      <alignment/>
      <protection/>
    </xf>
    <xf numFmtId="164" fontId="9" fillId="0" borderId="4" xfId="32" applyFont="1" applyBorder="1">
      <alignment/>
      <protection/>
    </xf>
    <xf numFmtId="0" fontId="13" fillId="0" borderId="0" xfId="24" applyFont="1" applyAlignment="1">
      <alignment horizontal="left"/>
      <protection/>
    </xf>
    <xf numFmtId="0" fontId="10" fillId="0" borderId="4" xfId="24" applyBorder="1">
      <alignment/>
      <protection/>
    </xf>
    <xf numFmtId="0" fontId="12" fillId="0" borderId="1" xfId="0" applyFont="1" applyBorder="1" applyAlignment="1">
      <alignment/>
    </xf>
    <xf numFmtId="0" fontId="12" fillId="0" borderId="0" xfId="0" applyFont="1" applyBorder="1" applyAlignment="1">
      <alignment/>
    </xf>
    <xf numFmtId="0" fontId="16" fillId="0" borderId="0" xfId="0" applyFont="1" applyBorder="1" applyAlignment="1">
      <alignment/>
    </xf>
    <xf numFmtId="178" fontId="7" fillId="0" borderId="0" xfId="24" applyNumberFormat="1" applyFont="1">
      <alignment/>
      <protection/>
    </xf>
    <xf numFmtId="178" fontId="7" fillId="0" borderId="0" xfId="24" applyNumberFormat="1" applyFont="1" applyAlignment="1">
      <alignment horizontal="centerContinuous"/>
      <protection/>
    </xf>
    <xf numFmtId="0" fontId="7" fillId="0" borderId="0" xfId="24" applyFont="1" quotePrefix="1">
      <alignment/>
      <protection/>
    </xf>
    <xf numFmtId="178" fontId="7" fillId="0" borderId="0" xfId="24" applyNumberFormat="1" applyFont="1" applyProtection="1" quotePrefix="1">
      <alignment/>
      <protection locked="0"/>
    </xf>
    <xf numFmtId="177" fontId="7" fillId="0" borderId="0" xfId="24" applyNumberFormat="1" applyFont="1" applyProtection="1">
      <alignment/>
      <protection/>
    </xf>
    <xf numFmtId="179" fontId="7" fillId="0" borderId="0" xfId="24" applyNumberFormat="1" applyFont="1" applyProtection="1">
      <alignment/>
      <protection/>
    </xf>
    <xf numFmtId="179" fontId="7" fillId="0" borderId="0" xfId="24" applyNumberFormat="1" applyFont="1" applyProtection="1">
      <alignment/>
      <protection locked="0"/>
    </xf>
    <xf numFmtId="179" fontId="10" fillId="0" borderId="0" xfId="24" applyNumberFormat="1">
      <alignment/>
      <protection/>
    </xf>
    <xf numFmtId="175" fontId="7" fillId="0" borderId="0" xfId="24" applyNumberFormat="1" applyFont="1" applyProtection="1">
      <alignment/>
      <protection/>
    </xf>
    <xf numFmtId="175" fontId="7" fillId="0" borderId="0" xfId="24" applyNumberFormat="1" applyFont="1" applyProtection="1">
      <alignment/>
      <protection locked="0"/>
    </xf>
    <xf numFmtId="0" fontId="17" fillId="0" borderId="2" xfId="24" applyFont="1" applyBorder="1" applyAlignment="1" quotePrefix="1">
      <alignment horizontal="left"/>
      <protection/>
    </xf>
    <xf numFmtId="164" fontId="18" fillId="0" borderId="1" xfId="27" applyFont="1" applyBorder="1" applyAlignment="1" applyProtection="1" quotePrefix="1">
      <alignment horizontal="left"/>
      <protection locked="0"/>
    </xf>
    <xf numFmtId="164" fontId="18" fillId="0" borderId="1" xfId="28" applyFont="1" applyBorder="1" applyAlignment="1" applyProtection="1" quotePrefix="1">
      <alignment horizontal="left"/>
      <protection locked="0"/>
    </xf>
    <xf numFmtId="164" fontId="17" fillId="0" borderId="1" xfId="29" applyFont="1" applyBorder="1" applyAlignment="1" applyProtection="1" quotePrefix="1">
      <alignment horizontal="left"/>
      <protection/>
    </xf>
    <xf numFmtId="164" fontId="17" fillId="0" borderId="1" xfId="26" applyFont="1" applyBorder="1" applyAlignment="1" applyProtection="1" quotePrefix="1">
      <alignment horizontal="left"/>
      <protection/>
    </xf>
    <xf numFmtId="164" fontId="18" fillId="0" borderId="1" xfId="30" applyFont="1" applyBorder="1" applyAlignment="1" applyProtection="1" quotePrefix="1">
      <alignment horizontal="left"/>
      <protection locked="0"/>
    </xf>
    <xf numFmtId="164" fontId="18" fillId="0" borderId="1" xfId="32" applyFont="1" applyBorder="1" applyAlignment="1" applyProtection="1" quotePrefix="1">
      <alignment horizontal="left"/>
      <protection locked="0"/>
    </xf>
    <xf numFmtId="164" fontId="15" fillId="0" borderId="0" xfId="32" applyFont="1" applyBorder="1" applyAlignment="1">
      <alignment horizontal="centerContinuous"/>
      <protection/>
    </xf>
    <xf numFmtId="0" fontId="15" fillId="0" borderId="0" xfId="21" applyFont="1" applyAlignment="1" quotePrefix="1">
      <alignment horizontal="centerContinuous"/>
      <protection/>
    </xf>
    <xf numFmtId="166" fontId="15" fillId="0" borderId="0" xfId="27" applyNumberFormat="1" applyFont="1" applyBorder="1" applyAlignment="1" applyProtection="1" quotePrefix="1">
      <alignment horizontal="centerContinuous"/>
      <protection/>
    </xf>
    <xf numFmtId="166" fontId="15" fillId="0" borderId="0" xfId="29" applyNumberFormat="1" applyFont="1" applyBorder="1" applyAlignment="1" applyProtection="1" quotePrefix="1">
      <alignment horizontal="centerContinuous"/>
      <protection/>
    </xf>
    <xf numFmtId="169" fontId="15" fillId="0" borderId="4" xfId="29" applyNumberFormat="1" applyFont="1" applyBorder="1" applyAlignment="1" applyProtection="1" quotePrefix="1">
      <alignment horizontal="center"/>
      <protection/>
    </xf>
    <xf numFmtId="177" fontId="7" fillId="0" borderId="0" xfId="24" applyNumberFormat="1" applyFont="1" applyProtection="1" quotePrefix="1">
      <alignment/>
      <protection/>
    </xf>
    <xf numFmtId="181" fontId="12" fillId="0" borderId="0" xfId="25" applyNumberFormat="1" applyFont="1" applyAlignment="1" quotePrefix="1">
      <alignment/>
      <protection/>
    </xf>
    <xf numFmtId="169" fontId="7" fillId="0" borderId="0" xfId="27" applyNumberFormat="1" applyFont="1" applyBorder="1" applyAlignment="1" applyProtection="1">
      <alignment horizontal="centerContinuous"/>
      <protection/>
    </xf>
    <xf numFmtId="164" fontId="8" fillId="0" borderId="0" xfId="27" applyFont="1" applyBorder="1" applyAlignment="1" applyProtection="1" quotePrefix="1">
      <alignment horizontal="left"/>
      <protection/>
    </xf>
    <xf numFmtId="169" fontId="7" fillId="0" borderId="0" xfId="27" applyNumberFormat="1" applyFont="1" applyBorder="1" applyProtection="1" quotePrefix="1">
      <alignment/>
      <protection/>
    </xf>
    <xf numFmtId="164" fontId="23" fillId="0" borderId="1" xfId="26" applyFont="1" applyBorder="1">
      <alignment/>
      <protection/>
    </xf>
    <xf numFmtId="164" fontId="15" fillId="0" borderId="0" xfId="26" applyFont="1" applyBorder="1" applyAlignment="1" applyProtection="1" quotePrefix="1">
      <alignment horizontal="centerContinuous"/>
      <protection/>
    </xf>
    <xf numFmtId="164" fontId="9" fillId="0" borderId="0" xfId="26" applyFont="1" applyAlignment="1">
      <alignment horizontal="centerContinuous"/>
      <protection/>
    </xf>
    <xf numFmtId="37" fontId="15" fillId="0" borderId="0" xfId="26" applyNumberFormat="1" applyFont="1" applyBorder="1" applyAlignment="1" applyProtection="1" quotePrefix="1">
      <alignment horizontal="centerContinuous"/>
      <protection/>
    </xf>
    <xf numFmtId="185" fontId="10" fillId="0" borderId="0" xfId="24" applyNumberFormat="1">
      <alignment/>
      <protection/>
    </xf>
    <xf numFmtId="185" fontId="7" fillId="0" borderId="2" xfId="24" applyNumberFormat="1" applyFont="1" applyBorder="1" applyAlignment="1" quotePrefix="1">
      <alignment horizontal="left"/>
      <protection/>
    </xf>
    <xf numFmtId="0" fontId="2" fillId="0" borderId="0" xfId="20" applyBorder="1" applyAlignment="1">
      <alignment/>
    </xf>
    <xf numFmtId="167" fontId="7" fillId="0" borderId="0" xfId="21" applyNumberFormat="1" applyFont="1" applyProtection="1" quotePrefix="1">
      <alignment/>
      <protection/>
    </xf>
    <xf numFmtId="0" fontId="9" fillId="0" borderId="0" xfId="23" applyFont="1" applyBorder="1" applyAlignment="1" quotePrefix="1">
      <alignment horizontal="left"/>
      <protection/>
    </xf>
    <xf numFmtId="0" fontId="9" fillId="0" borderId="0" xfId="0" applyFont="1" applyAlignment="1">
      <alignment/>
    </xf>
    <xf numFmtId="0" fontId="14" fillId="0" borderId="0" xfId="0" applyFont="1" applyAlignment="1">
      <alignment/>
    </xf>
    <xf numFmtId="0" fontId="9" fillId="0" borderId="2" xfId="23" applyFont="1" applyBorder="1" applyAlignment="1" quotePrefix="1">
      <alignment horizontal="left"/>
      <protection/>
    </xf>
    <xf numFmtId="0" fontId="9" fillId="0" borderId="2" xfId="23" applyFont="1" applyBorder="1">
      <alignment/>
      <protection/>
    </xf>
    <xf numFmtId="0" fontId="9" fillId="0" borderId="0" xfId="23" applyFont="1">
      <alignment/>
      <protection/>
    </xf>
    <xf numFmtId="0" fontId="9" fillId="0" borderId="2" xfId="23" applyFont="1" applyBorder="1" applyAlignment="1">
      <alignment horizontal="left"/>
      <protection/>
    </xf>
    <xf numFmtId="0" fontId="7" fillId="0" borderId="0" xfId="23" applyFont="1">
      <alignment/>
      <protection/>
    </xf>
    <xf numFmtId="3" fontId="9" fillId="0" borderId="0" xfId="23" applyNumberFormat="1" applyFont="1" applyAlignment="1">
      <alignment horizontal="right"/>
      <protection/>
    </xf>
    <xf numFmtId="171" fontId="9" fillId="0" borderId="0" xfId="23" applyNumberFormat="1" applyFont="1" applyAlignment="1">
      <alignment horizontal="right"/>
      <protection/>
    </xf>
    <xf numFmtId="168" fontId="9" fillId="0" borderId="0" xfId="23" applyNumberFormat="1" applyFont="1" applyProtection="1">
      <alignment/>
      <protection/>
    </xf>
    <xf numFmtId="0" fontId="9" fillId="0" borderId="0" xfId="23" applyFont="1" applyAlignment="1">
      <alignment horizontal="left"/>
      <protection/>
    </xf>
    <xf numFmtId="0" fontId="9" fillId="0" borderId="0" xfId="23" applyFont="1" applyAlignment="1" quotePrefix="1">
      <alignment horizontal="left"/>
      <protection/>
    </xf>
    <xf numFmtId="0" fontId="9" fillId="0" borderId="0" xfId="0" applyFont="1" applyAlignment="1">
      <alignment/>
    </xf>
    <xf numFmtId="171" fontId="9" fillId="0" borderId="2" xfId="23" applyNumberFormat="1" applyFont="1" applyBorder="1" applyAlignment="1" applyProtection="1">
      <alignment horizontal="right"/>
      <protection/>
    </xf>
    <xf numFmtId="168" fontId="9" fillId="0" borderId="2" xfId="23" applyNumberFormat="1" applyFont="1" applyBorder="1" applyProtection="1">
      <alignment/>
      <protection/>
    </xf>
    <xf numFmtId="0" fontId="7" fillId="0" borderId="0" xfId="23" applyFont="1" applyAlignment="1" quotePrefix="1">
      <alignment horizontal="left"/>
      <protection/>
    </xf>
    <xf numFmtId="168" fontId="7" fillId="0" borderId="0" xfId="23" applyNumberFormat="1" applyFont="1" applyProtection="1">
      <alignment/>
      <protection/>
    </xf>
    <xf numFmtId="168" fontId="7" fillId="0" borderId="0" xfId="23" applyNumberFormat="1" applyFont="1" applyBorder="1" applyProtection="1">
      <alignment/>
      <protection/>
    </xf>
    <xf numFmtId="0" fontId="7" fillId="0" borderId="0" xfId="0" applyFont="1" applyBorder="1" applyAlignment="1">
      <alignment/>
    </xf>
    <xf numFmtId="0" fontId="7" fillId="0" borderId="0" xfId="23" applyFont="1" applyAlignment="1" applyProtection="1" quotePrefix="1">
      <alignment horizontal="left"/>
      <protection locked="0"/>
    </xf>
    <xf numFmtId="166" fontId="7" fillId="0" borderId="0" xfId="23" applyNumberFormat="1" applyFont="1" applyProtection="1">
      <alignment/>
      <protection/>
    </xf>
    <xf numFmtId="0" fontId="7" fillId="0" borderId="0" xfId="0" applyFont="1" applyAlignment="1">
      <alignment/>
    </xf>
    <xf numFmtId="0" fontId="9" fillId="0" borderId="0" xfId="23" applyFont="1" applyBorder="1" applyAlignment="1">
      <alignment horizontal="left"/>
      <protection/>
    </xf>
    <xf numFmtId="0" fontId="0" fillId="0" borderId="0" xfId="0" applyAlignment="1">
      <alignment horizontal="centerContinuous"/>
    </xf>
    <xf numFmtId="0" fontId="0" fillId="0" borderId="0" xfId="0" applyAlignment="1" quotePrefix="1">
      <alignment/>
    </xf>
    <xf numFmtId="171" fontId="9" fillId="0" borderId="0" xfId="23" applyNumberFormat="1" applyFont="1" applyBorder="1" applyAlignment="1" applyProtection="1">
      <alignment horizontal="right"/>
      <protection/>
    </xf>
    <xf numFmtId="168" fontId="9" fillId="0" borderId="0" xfId="23" applyNumberFormat="1" applyFont="1" applyBorder="1" applyProtection="1">
      <alignment/>
      <protection/>
    </xf>
    <xf numFmtId="0" fontId="17" fillId="0" borderId="0" xfId="23" applyFont="1" applyBorder="1" applyAlignment="1" quotePrefix="1">
      <alignment horizontal="left"/>
      <protection/>
    </xf>
    <xf numFmtId="0" fontId="15" fillId="0" borderId="0" xfId="23" applyFont="1" applyAlignment="1" applyProtection="1" quotePrefix="1">
      <alignment horizontal="left"/>
      <protection locked="0"/>
    </xf>
    <xf numFmtId="0" fontId="8" fillId="0" borderId="4" xfId="24" applyFont="1" applyBorder="1" applyAlignment="1" quotePrefix="1">
      <alignment horizontal="left"/>
      <protection/>
    </xf>
    <xf numFmtId="169" fontId="7" fillId="0" borderId="0" xfId="27" applyNumberFormat="1" applyFont="1" applyBorder="1" applyAlignment="1" applyProtection="1" quotePrefix="1">
      <alignment horizontal="left"/>
      <protection/>
    </xf>
    <xf numFmtId="164" fontId="24" fillId="0" borderId="0" xfId="27" applyFont="1">
      <alignment/>
      <protection/>
    </xf>
    <xf numFmtId="164" fontId="5" fillId="0" borderId="0" xfId="27" applyFont="1">
      <alignment/>
      <protection/>
    </xf>
    <xf numFmtId="0" fontId="5" fillId="0" borderId="0" xfId="0" applyFont="1" applyAlignment="1">
      <alignment/>
    </xf>
    <xf numFmtId="0" fontId="25" fillId="0" borderId="0" xfId="0" applyFont="1" applyAlignment="1" quotePrefix="1">
      <alignment horizontal="left"/>
    </xf>
    <xf numFmtId="0" fontId="5" fillId="0" borderId="4" xfId="0" applyFont="1" applyBorder="1" applyAlignment="1">
      <alignment/>
    </xf>
    <xf numFmtId="0" fontId="5" fillId="0" borderId="0" xfId="0" applyFont="1" applyAlignment="1" quotePrefix="1">
      <alignment horizontal="left"/>
    </xf>
    <xf numFmtId="0" fontId="19" fillId="0" borderId="0" xfId="0" applyFont="1" applyAlignment="1" quotePrefix="1">
      <alignment horizontal="left"/>
    </xf>
    <xf numFmtId="3" fontId="5" fillId="0" borderId="0" xfId="0" applyNumberFormat="1" applyFont="1" applyAlignment="1">
      <alignment/>
    </xf>
    <xf numFmtId="2" fontId="5" fillId="0" borderId="0" xfId="0" applyNumberFormat="1" applyFont="1" applyAlignment="1">
      <alignment/>
    </xf>
    <xf numFmtId="0" fontId="5" fillId="0" borderId="4" xfId="0" applyFont="1" applyBorder="1" applyAlignment="1" quotePrefix="1">
      <alignment horizontal="left"/>
    </xf>
    <xf numFmtId="167" fontId="17" fillId="0" borderId="2" xfId="21" applyNumberFormat="1" applyFont="1" applyBorder="1" applyAlignment="1" applyProtection="1" quotePrefix="1">
      <alignment horizontal="left"/>
      <protection/>
    </xf>
    <xf numFmtId="167" fontId="13" fillId="0" borderId="0" xfId="21" applyNumberFormat="1" applyFont="1" applyBorder="1" applyAlignment="1" applyProtection="1">
      <alignment horizontal="left"/>
      <protection/>
    </xf>
    <xf numFmtId="0" fontId="13" fillId="0" borderId="0" xfId="21" applyFont="1" applyBorder="1">
      <alignment/>
      <protection/>
    </xf>
    <xf numFmtId="167" fontId="13" fillId="0" borderId="0" xfId="21" applyNumberFormat="1" applyFont="1" applyBorder="1" applyAlignment="1" applyProtection="1" quotePrefix="1">
      <alignment horizontal="left"/>
      <protection/>
    </xf>
    <xf numFmtId="0" fontId="13" fillId="0" borderId="0" xfId="21" applyFont="1" applyBorder="1" applyAlignment="1">
      <alignment horizontal="left"/>
      <protection/>
    </xf>
    <xf numFmtId="0" fontId="13" fillId="0" borderId="0" xfId="21" applyFont="1" applyBorder="1" applyAlignment="1" quotePrefix="1">
      <alignment horizontal="left"/>
      <protection/>
    </xf>
    <xf numFmtId="166" fontId="10" fillId="0" borderId="4" xfId="24" applyNumberFormat="1" applyBorder="1" applyProtection="1">
      <alignment/>
      <protection/>
    </xf>
    <xf numFmtId="3" fontId="12" fillId="0" borderId="0" xfId="0" applyNumberFormat="1" applyFont="1" applyBorder="1" applyAlignment="1">
      <alignment/>
    </xf>
    <xf numFmtId="0" fontId="25" fillId="0" borderId="0" xfId="0" applyFont="1" applyBorder="1" applyAlignment="1" quotePrefix="1">
      <alignment horizontal="left"/>
    </xf>
    <xf numFmtId="164" fontId="8" fillId="0" borderId="0" xfId="29" applyFont="1" applyBorder="1" applyAlignment="1" applyProtection="1" quotePrefix="1">
      <alignment horizontal="left"/>
      <protection/>
    </xf>
    <xf numFmtId="164" fontId="0" fillId="0" borderId="0" xfId="29" applyBorder="1">
      <alignment/>
      <protection/>
    </xf>
    <xf numFmtId="164" fontId="15" fillId="0" borderId="0" xfId="26" applyFont="1" applyAlignment="1" quotePrefix="1">
      <alignment horizontal="left"/>
      <protection/>
    </xf>
    <xf numFmtId="164" fontId="22" fillId="0" borderId="0" xfId="26" applyFont="1" applyAlignment="1" quotePrefix="1">
      <alignment horizontal="left"/>
      <protection/>
    </xf>
    <xf numFmtId="0" fontId="8" fillId="0" borderId="0" xfId="24" applyFont="1" applyAlignment="1" applyProtection="1" quotePrefix="1">
      <alignment horizontal="left"/>
      <protection locked="0"/>
    </xf>
    <xf numFmtId="0" fontId="8" fillId="0" borderId="0" xfId="24" applyFont="1" applyAlignment="1" applyProtection="1" quotePrefix="1">
      <alignment horizontal="left"/>
      <protection locked="0"/>
    </xf>
    <xf numFmtId="169" fontId="7" fillId="0" borderId="0" xfId="29" applyNumberFormat="1" applyFont="1" applyBorder="1" applyAlignment="1" applyProtection="1" quotePrefix="1">
      <alignment horizontal="left"/>
      <protection/>
    </xf>
    <xf numFmtId="0" fontId="7" fillId="2" borderId="0" xfId="24" applyFont="1" applyFill="1">
      <alignment/>
      <protection/>
    </xf>
    <xf numFmtId="0" fontId="15" fillId="2" borderId="2" xfId="24" applyFont="1" applyFill="1" applyBorder="1" applyAlignment="1">
      <alignment horizontal="centerContinuous"/>
      <protection/>
    </xf>
    <xf numFmtId="0" fontId="7" fillId="2" borderId="2" xfId="24" applyFont="1" applyFill="1" applyBorder="1" applyAlignment="1">
      <alignment horizontal="centerContinuous"/>
      <protection/>
    </xf>
    <xf numFmtId="0" fontId="13" fillId="2" borderId="2" xfId="24" applyFont="1" applyFill="1" applyBorder="1" applyAlignment="1">
      <alignment horizontal="centerContinuous"/>
      <protection/>
    </xf>
    <xf numFmtId="0" fontId="7" fillId="2" borderId="2" xfId="24" applyFont="1" applyFill="1" applyBorder="1" applyAlignment="1">
      <alignment horizontal="left"/>
      <protection/>
    </xf>
    <xf numFmtId="0" fontId="7" fillId="2" borderId="2" xfId="24" applyFont="1" applyFill="1" applyBorder="1" applyAlignment="1">
      <alignment horizontal="center"/>
      <protection/>
    </xf>
    <xf numFmtId="0" fontId="7" fillId="3" borderId="0" xfId="24" applyFont="1" applyFill="1" applyAlignment="1">
      <alignment horizontal="left"/>
      <protection/>
    </xf>
    <xf numFmtId="176" fontId="7" fillId="3" borderId="0" xfId="24" applyNumberFormat="1" applyFont="1" applyFill="1" applyProtection="1">
      <alignment/>
      <protection/>
    </xf>
    <xf numFmtId="0" fontId="7" fillId="3" borderId="0" xfId="24" applyFont="1" applyFill="1">
      <alignment/>
      <protection/>
    </xf>
    <xf numFmtId="0" fontId="7" fillId="3" borderId="2" xfId="24" applyFont="1" applyFill="1" applyBorder="1" applyAlignment="1">
      <alignment horizontal="left"/>
      <protection/>
    </xf>
    <xf numFmtId="176" fontId="7" fillId="3" borderId="2" xfId="24" applyNumberFormat="1" applyFont="1" applyFill="1" applyBorder="1" applyProtection="1">
      <alignment/>
      <protection/>
    </xf>
    <xf numFmtId="168" fontId="7" fillId="3" borderId="2" xfId="24" applyNumberFormat="1" applyFont="1" applyFill="1" applyBorder="1" applyAlignment="1" applyProtection="1">
      <alignment horizontal="left"/>
      <protection/>
    </xf>
    <xf numFmtId="164" fontId="7" fillId="2" borderId="0" xfId="32" applyFont="1" applyFill="1" applyBorder="1">
      <alignment/>
      <protection/>
    </xf>
    <xf numFmtId="164" fontId="7" fillId="2" borderId="0" xfId="32" applyFont="1" applyFill="1" applyBorder="1" applyAlignment="1" quotePrefix="1">
      <alignment horizontal="centerContinuous"/>
      <protection/>
    </xf>
    <xf numFmtId="164" fontId="7" fillId="2" borderId="0" xfId="32" applyFont="1" applyFill="1" applyBorder="1" applyAlignment="1">
      <alignment horizontal="centerContinuous"/>
      <protection/>
    </xf>
    <xf numFmtId="164" fontId="7" fillId="2" borderId="4" xfId="32" applyFont="1" applyFill="1" applyBorder="1" applyAlignment="1">
      <alignment horizontal="centerContinuous"/>
      <protection/>
    </xf>
    <xf numFmtId="164" fontId="7" fillId="2" borderId="1" xfId="32" applyFont="1" applyFill="1" applyBorder="1" applyAlignment="1" applyProtection="1">
      <alignment horizontal="left"/>
      <protection/>
    </xf>
    <xf numFmtId="37" fontId="7" fillId="2" borderId="5" xfId="32" applyNumberFormat="1" applyFont="1" applyFill="1" applyBorder="1" applyAlignment="1" applyProtection="1">
      <alignment horizontal="center"/>
      <protection/>
    </xf>
    <xf numFmtId="37" fontId="7" fillId="2" borderId="1" xfId="32" applyNumberFormat="1" applyFont="1" applyFill="1" applyBorder="1" applyAlignment="1" applyProtection="1">
      <alignment horizontal="center"/>
      <protection/>
    </xf>
    <xf numFmtId="164" fontId="7" fillId="3" borderId="0" xfId="32" applyFont="1" applyFill="1" applyBorder="1" applyAlignment="1" applyProtection="1">
      <alignment horizontal="left"/>
      <protection/>
    </xf>
    <xf numFmtId="173" fontId="7" fillId="3" borderId="0" xfId="32" applyNumberFormat="1" applyFont="1" applyFill="1" applyBorder="1" applyProtection="1">
      <alignment/>
      <protection/>
    </xf>
    <xf numFmtId="174" fontId="7" fillId="3" borderId="0" xfId="32" applyNumberFormat="1" applyFont="1" applyFill="1" applyBorder="1" applyProtection="1">
      <alignment/>
      <protection/>
    </xf>
    <xf numFmtId="164" fontId="7" fillId="3" borderId="1" xfId="32" applyFont="1" applyFill="1" applyBorder="1" applyAlignment="1" applyProtection="1">
      <alignment horizontal="left"/>
      <protection/>
    </xf>
    <xf numFmtId="173" fontId="7" fillId="3" borderId="1" xfId="32" applyNumberFormat="1" applyFont="1" applyFill="1" applyBorder="1" applyProtection="1">
      <alignment/>
      <protection/>
    </xf>
    <xf numFmtId="1" fontId="7" fillId="2" borderId="0" xfId="32" applyNumberFormat="1" applyFont="1" applyFill="1" applyBorder="1" applyAlignment="1" applyProtection="1" quotePrefix="1">
      <alignment horizontal="centerContinuous"/>
      <protection/>
    </xf>
    <xf numFmtId="164" fontId="7" fillId="2" borderId="1" xfId="32" applyFont="1" applyFill="1" applyBorder="1" applyAlignment="1">
      <alignment horizontal="centerContinuous"/>
      <protection/>
    </xf>
    <xf numFmtId="37" fontId="7" fillId="2" borderId="0" xfId="32" applyNumberFormat="1" applyFont="1" applyFill="1" applyBorder="1" applyProtection="1">
      <alignment/>
      <protection/>
    </xf>
    <xf numFmtId="164" fontId="5" fillId="2" borderId="0" xfId="32" applyFill="1">
      <alignment/>
      <protection/>
    </xf>
    <xf numFmtId="164" fontId="7" fillId="2" borderId="1" xfId="32" applyFont="1" applyFill="1" applyBorder="1">
      <alignment/>
      <protection/>
    </xf>
    <xf numFmtId="164" fontId="7" fillId="2" borderId="5" xfId="32" applyFont="1" applyFill="1" applyBorder="1" applyAlignment="1" applyProtection="1">
      <alignment horizontal="center"/>
      <protection/>
    </xf>
    <xf numFmtId="164" fontId="7" fillId="2" borderId="5" xfId="32" applyFont="1" applyFill="1" applyBorder="1" applyAlignment="1" applyProtection="1" quotePrefix="1">
      <alignment horizontal="center"/>
      <protection/>
    </xf>
    <xf numFmtId="37" fontId="7" fillId="2" borderId="1" xfId="32" applyNumberFormat="1" applyFont="1" applyFill="1" applyBorder="1" applyProtection="1">
      <alignment/>
      <protection/>
    </xf>
    <xf numFmtId="165" fontId="7" fillId="2" borderId="5" xfId="32" applyNumberFormat="1" applyFont="1" applyFill="1" applyBorder="1" applyAlignment="1" applyProtection="1" quotePrefix="1">
      <alignment horizontal="left"/>
      <protection/>
    </xf>
    <xf numFmtId="173" fontId="9" fillId="3" borderId="1" xfId="32" applyNumberFormat="1" applyFont="1" applyFill="1" applyBorder="1">
      <alignment/>
      <protection/>
    </xf>
    <xf numFmtId="174" fontId="7" fillId="3" borderId="1" xfId="32" applyNumberFormat="1" applyFont="1" applyFill="1" applyBorder="1" applyProtection="1">
      <alignment/>
      <protection/>
    </xf>
    <xf numFmtId="37" fontId="7" fillId="3" borderId="1" xfId="32" applyNumberFormat="1" applyFont="1" applyFill="1" applyBorder="1" applyProtection="1">
      <alignment/>
      <protection/>
    </xf>
    <xf numFmtId="164" fontId="5" fillId="3" borderId="1" xfId="32" applyFill="1" applyBorder="1">
      <alignment/>
      <protection/>
    </xf>
    <xf numFmtId="0" fontId="7" fillId="2" borderId="2" xfId="24" applyFont="1" applyFill="1" applyBorder="1" applyAlignment="1" quotePrefix="1">
      <alignment horizontal="center"/>
      <protection/>
    </xf>
    <xf numFmtId="1" fontId="7" fillId="2" borderId="1" xfId="24" applyNumberFormat="1" applyFont="1" applyFill="1" applyBorder="1" applyAlignment="1" applyProtection="1">
      <alignment horizontal="center"/>
      <protection/>
    </xf>
    <xf numFmtId="1" fontId="7" fillId="2" borderId="1" xfId="24" applyNumberFormat="1" applyFont="1" applyFill="1" applyBorder="1" applyAlignment="1" applyProtection="1" quotePrefix="1">
      <alignment horizontal="center"/>
      <protection/>
    </xf>
    <xf numFmtId="178" fontId="7" fillId="3" borderId="0" xfId="24" applyNumberFormat="1" applyFont="1" applyFill="1" applyProtection="1">
      <alignment/>
      <protection locked="0"/>
    </xf>
    <xf numFmtId="179" fontId="7" fillId="3" borderId="0" xfId="24" applyNumberFormat="1" applyFont="1" applyFill="1" applyProtection="1">
      <alignment/>
      <protection/>
    </xf>
    <xf numFmtId="178" fontId="7" fillId="3" borderId="0" xfId="24" applyNumberFormat="1" applyFont="1" applyFill="1" applyProtection="1">
      <alignment/>
      <protection/>
    </xf>
    <xf numFmtId="0" fontId="13" fillId="2" borderId="3" xfId="24" applyFont="1" applyFill="1" applyBorder="1" applyAlignment="1" quotePrefix="1">
      <alignment horizontal="left"/>
      <protection/>
    </xf>
    <xf numFmtId="0" fontId="7" fillId="2" borderId="0" xfId="24" applyFont="1" applyFill="1" applyBorder="1">
      <alignment/>
      <protection/>
    </xf>
    <xf numFmtId="1" fontId="7" fillId="2" borderId="3" xfId="24" applyNumberFormat="1" applyFont="1" applyFill="1" applyBorder="1" applyAlignment="1" applyProtection="1">
      <alignment horizontal="center"/>
      <protection/>
    </xf>
    <xf numFmtId="0" fontId="7" fillId="3" borderId="0" xfId="24" applyFont="1" applyFill="1" applyAlignment="1" quotePrefix="1">
      <alignment horizontal="left"/>
      <protection/>
    </xf>
    <xf numFmtId="177" fontId="7" fillId="3" borderId="0" xfId="24" applyNumberFormat="1" applyFont="1" applyFill="1" applyProtection="1">
      <alignment/>
      <protection/>
    </xf>
    <xf numFmtId="177" fontId="7" fillId="3" borderId="0" xfId="24" applyNumberFormat="1" applyFont="1" applyFill="1" applyProtection="1" quotePrefix="1">
      <alignment/>
      <protection/>
    </xf>
    <xf numFmtId="182" fontId="7" fillId="3" borderId="0" xfId="24" applyNumberFormat="1" applyFont="1" applyFill="1" applyProtection="1">
      <alignment/>
      <protection/>
    </xf>
    <xf numFmtId="0" fontId="7" fillId="4" borderId="0" xfId="24" applyFont="1" applyFill="1" applyAlignment="1" quotePrefix="1">
      <alignment horizontal="left"/>
      <protection/>
    </xf>
    <xf numFmtId="182" fontId="7" fillId="4" borderId="0" xfId="24" applyNumberFormat="1" applyFont="1" applyFill="1" applyProtection="1">
      <alignment/>
      <protection/>
    </xf>
    <xf numFmtId="167" fontId="7" fillId="2" borderId="0" xfId="21" applyNumberFormat="1" applyFont="1" applyFill="1" applyProtection="1">
      <alignment/>
      <protection/>
    </xf>
    <xf numFmtId="0" fontId="7" fillId="2" borderId="0" xfId="21" applyFont="1" applyFill="1">
      <alignment/>
      <protection/>
    </xf>
    <xf numFmtId="0" fontId="7" fillId="2" borderId="0" xfId="21" applyFont="1" applyFill="1" applyAlignment="1">
      <alignment horizontal="center"/>
      <protection/>
    </xf>
    <xf numFmtId="164" fontId="12" fillId="2" borderId="0" xfId="25" applyFont="1" applyFill="1" applyBorder="1">
      <alignment/>
      <protection/>
    </xf>
    <xf numFmtId="0" fontId="7" fillId="2" borderId="0" xfId="21" applyFont="1" applyFill="1" applyAlignment="1" quotePrefix="1">
      <alignment horizontal="center"/>
      <protection/>
    </xf>
    <xf numFmtId="167" fontId="7" fillId="2" borderId="2" xfId="21" applyNumberFormat="1" applyFont="1" applyFill="1" applyBorder="1" applyAlignment="1" applyProtection="1">
      <alignment horizontal="left"/>
      <protection/>
    </xf>
    <xf numFmtId="167" fontId="7" fillId="2" borderId="2" xfId="21" applyNumberFormat="1" applyFont="1" applyFill="1" applyBorder="1" applyAlignment="1" applyProtection="1">
      <alignment horizontal="center"/>
      <protection/>
    </xf>
    <xf numFmtId="0" fontId="7" fillId="2" borderId="2" xfId="21" applyFont="1" applyFill="1" applyBorder="1" applyAlignment="1">
      <alignment horizontal="center"/>
      <protection/>
    </xf>
    <xf numFmtId="0" fontId="7" fillId="2" borderId="2" xfId="21" applyFont="1" applyFill="1" applyBorder="1" applyAlignment="1" quotePrefix="1">
      <alignment horizontal="center"/>
      <protection/>
    </xf>
    <xf numFmtId="165" fontId="7" fillId="3" borderId="0" xfId="21" applyNumberFormat="1" applyFont="1" applyFill="1" applyBorder="1" applyAlignment="1" applyProtection="1">
      <alignment horizontal="center"/>
      <protection/>
    </xf>
    <xf numFmtId="167" fontId="6" fillId="5" borderId="0" xfId="31" applyNumberFormat="1" applyFont="1" applyFill="1" applyBorder="1" applyAlignment="1" quotePrefix="1">
      <alignment horizontal="left"/>
      <protection/>
    </xf>
    <xf numFmtId="167" fontId="7" fillId="3" borderId="0" xfId="21" applyNumberFormat="1" applyFont="1" applyFill="1" applyBorder="1" applyProtection="1">
      <alignment/>
      <protection/>
    </xf>
    <xf numFmtId="164" fontId="7" fillId="3" borderId="0" xfId="26" applyFont="1" applyFill="1">
      <alignment/>
      <protection/>
    </xf>
    <xf numFmtId="181" fontId="12" fillId="3" borderId="0" xfId="25" applyNumberFormat="1" applyFont="1" applyFill="1" applyAlignment="1">
      <alignment/>
      <protection/>
    </xf>
    <xf numFmtId="167" fontId="6" fillId="5" borderId="0" xfId="31" applyNumberFormat="1" applyFont="1" applyFill="1" applyBorder="1" applyAlignment="1">
      <alignment/>
      <protection/>
    </xf>
    <xf numFmtId="167" fontId="7" fillId="3" borderId="0" xfId="21" applyNumberFormat="1" applyFont="1" applyFill="1" applyBorder="1">
      <alignment/>
      <protection/>
    </xf>
    <xf numFmtId="164" fontId="12" fillId="3" borderId="0" xfId="25" applyFont="1" applyFill="1">
      <alignment/>
      <protection/>
    </xf>
    <xf numFmtId="165" fontId="7" fillId="3" borderId="0" xfId="21" applyNumberFormat="1" applyFont="1" applyFill="1" applyAlignment="1" applyProtection="1">
      <alignment horizontal="center"/>
      <protection/>
    </xf>
    <xf numFmtId="167" fontId="7" fillId="3" borderId="0" xfId="21" applyNumberFormat="1" applyFont="1" applyFill="1" applyProtection="1">
      <alignment/>
      <protection/>
    </xf>
    <xf numFmtId="164" fontId="7" fillId="2" borderId="1" xfId="26" applyFont="1" applyFill="1" applyBorder="1" applyAlignment="1" applyProtection="1">
      <alignment horizontal="left"/>
      <protection/>
    </xf>
    <xf numFmtId="164" fontId="7" fillId="2" borderId="1" xfId="26" applyFont="1" applyFill="1" applyBorder="1" applyAlignment="1" applyProtection="1">
      <alignment horizontal="center"/>
      <protection/>
    </xf>
    <xf numFmtId="167" fontId="7" fillId="2" borderId="1" xfId="25" applyNumberFormat="1" applyFont="1" applyFill="1" applyBorder="1" applyAlignment="1" applyProtection="1">
      <alignment horizontal="center"/>
      <protection/>
    </xf>
    <xf numFmtId="164" fontId="7" fillId="3" borderId="0" xfId="26" applyFont="1" applyFill="1" applyBorder="1" applyAlignment="1" applyProtection="1">
      <alignment horizontal="center"/>
      <protection locked="0"/>
    </xf>
    <xf numFmtId="164" fontId="7" fillId="2" borderId="1" xfId="27" applyFont="1" applyFill="1" applyBorder="1" applyAlignment="1" applyProtection="1">
      <alignment horizontal="left"/>
      <protection/>
    </xf>
    <xf numFmtId="164" fontId="7" fillId="2" borderId="1" xfId="27" applyFont="1" applyFill="1" applyBorder="1" applyAlignment="1" applyProtection="1">
      <alignment horizontal="center"/>
      <protection/>
    </xf>
    <xf numFmtId="164" fontId="12" fillId="2" borderId="0" xfId="27" applyFont="1" applyFill="1" applyBorder="1">
      <alignment/>
      <protection/>
    </xf>
    <xf numFmtId="164" fontId="7" fillId="3" borderId="0" xfId="27" applyFont="1" applyFill="1" applyBorder="1" applyAlignment="1" applyProtection="1">
      <alignment horizontal="center"/>
      <protection/>
    </xf>
    <xf numFmtId="169" fontId="7" fillId="3" borderId="0" xfId="27" applyNumberFormat="1" applyFont="1" applyFill="1" applyBorder="1" applyProtection="1" quotePrefix="1">
      <alignment/>
      <protection/>
    </xf>
    <xf numFmtId="169" fontId="7" fillId="3" borderId="0" xfId="27" applyNumberFormat="1" applyFont="1" applyFill="1" applyBorder="1" applyProtection="1">
      <alignment/>
      <protection/>
    </xf>
    <xf numFmtId="164" fontId="12" fillId="3" borderId="0" xfId="27" applyFont="1" applyFill="1" applyBorder="1">
      <alignment/>
      <protection/>
    </xf>
    <xf numFmtId="169" fontId="7" fillId="3" borderId="0" xfId="27" applyNumberFormat="1" applyFont="1" applyFill="1" applyBorder="1" applyAlignment="1" applyProtection="1" quotePrefix="1">
      <alignment horizontal="left"/>
      <protection/>
    </xf>
    <xf numFmtId="164" fontId="7" fillId="2" borderId="1" xfId="28" applyFont="1" applyFill="1" applyBorder="1" applyAlignment="1" applyProtection="1">
      <alignment horizontal="left"/>
      <protection/>
    </xf>
    <xf numFmtId="164" fontId="7" fillId="2" borderId="1" xfId="28" applyFont="1" applyFill="1" applyBorder="1" applyAlignment="1" applyProtection="1">
      <alignment horizontal="center"/>
      <protection/>
    </xf>
    <xf numFmtId="164" fontId="7" fillId="3" borderId="0" xfId="28" applyFont="1" applyFill="1" applyBorder="1" applyProtection="1">
      <alignment/>
      <protection/>
    </xf>
    <xf numFmtId="166" fontId="7" fillId="3" borderId="0" xfId="28" applyNumberFormat="1" applyFont="1" applyFill="1" applyBorder="1" applyProtection="1">
      <alignment/>
      <protection/>
    </xf>
    <xf numFmtId="168" fontId="5" fillId="3" borderId="0" xfId="28" applyNumberFormat="1" applyFill="1" applyBorder="1" applyProtection="1">
      <alignment/>
      <protection/>
    </xf>
    <xf numFmtId="166" fontId="7" fillId="3" borderId="0" xfId="28" applyNumberFormat="1" applyFont="1" applyFill="1">
      <alignment/>
      <protection/>
    </xf>
    <xf numFmtId="166" fontId="7" fillId="3" borderId="0" xfId="0" applyNumberFormat="1" applyFont="1" applyFill="1" applyBorder="1" applyAlignment="1">
      <alignment/>
    </xf>
    <xf numFmtId="164" fontId="7" fillId="2" borderId="4" xfId="29" applyFont="1" applyFill="1" applyBorder="1" applyAlignment="1" applyProtection="1" quotePrefix="1">
      <alignment horizontal="left"/>
      <protection/>
    </xf>
    <xf numFmtId="164" fontId="7" fillId="2" borderId="4" xfId="29" applyFont="1" applyFill="1" applyBorder="1">
      <alignment/>
      <protection/>
    </xf>
    <xf numFmtId="166" fontId="7" fillId="2" borderId="4" xfId="29" applyNumberFormat="1" applyFont="1" applyFill="1" applyBorder="1" applyProtection="1">
      <alignment/>
      <protection/>
    </xf>
    <xf numFmtId="164" fontId="0" fillId="2" borderId="0" xfId="29" applyFill="1">
      <alignment/>
      <protection/>
    </xf>
    <xf numFmtId="169" fontId="7" fillId="2" borderId="0" xfId="29" applyNumberFormat="1" applyFont="1" applyFill="1" applyBorder="1" applyAlignment="1" applyProtection="1">
      <alignment horizontal="center"/>
      <protection/>
    </xf>
    <xf numFmtId="164" fontId="7" fillId="2" borderId="1" xfId="29" applyFont="1" applyFill="1" applyBorder="1" applyAlignment="1" applyProtection="1">
      <alignment horizontal="left"/>
      <protection/>
    </xf>
    <xf numFmtId="164" fontId="7" fillId="2" borderId="1" xfId="29" applyFont="1" applyFill="1" applyBorder="1" applyAlignment="1" applyProtection="1">
      <alignment horizontal="center"/>
      <protection/>
    </xf>
    <xf numFmtId="164" fontId="7" fillId="3" borderId="0" xfId="29" applyFont="1" applyFill="1" applyBorder="1" applyProtection="1">
      <alignment/>
      <protection/>
    </xf>
    <xf numFmtId="169" fontId="7" fillId="3" borderId="0" xfId="29" applyNumberFormat="1" applyFont="1" applyFill="1" applyBorder="1" applyProtection="1">
      <alignment/>
      <protection/>
    </xf>
    <xf numFmtId="164" fontId="0" fillId="3" borderId="0" xfId="29" applyFill="1">
      <alignment/>
      <protection/>
    </xf>
    <xf numFmtId="169" fontId="7" fillId="3" borderId="0" xfId="29" applyNumberFormat="1" applyFont="1" applyFill="1" applyBorder="1" applyAlignment="1" applyProtection="1" quotePrefix="1">
      <alignment horizontal="left"/>
      <protection/>
    </xf>
    <xf numFmtId="164" fontId="7" fillId="2" borderId="0" xfId="30" applyFont="1" applyFill="1" applyBorder="1">
      <alignment/>
      <protection/>
    </xf>
    <xf numFmtId="39" fontId="7" fillId="2" borderId="1" xfId="30" applyNumberFormat="1" applyFont="1" applyFill="1" applyBorder="1" applyAlignment="1" applyProtection="1">
      <alignment horizontal="centerContinuous"/>
      <protection/>
    </xf>
    <xf numFmtId="39" fontId="7" fillId="2" borderId="0" xfId="30" applyNumberFormat="1" applyFont="1" applyFill="1" applyBorder="1" applyProtection="1">
      <alignment/>
      <protection/>
    </xf>
    <xf numFmtId="164" fontId="7" fillId="2" borderId="1" xfId="30" applyFont="1" applyFill="1" applyBorder="1" applyAlignment="1" applyProtection="1">
      <alignment horizontal="left"/>
      <protection/>
    </xf>
    <xf numFmtId="164" fontId="7" fillId="3" borderId="1" xfId="30" applyFont="1" applyFill="1" applyBorder="1" applyAlignment="1" applyProtection="1">
      <alignment horizontal="left"/>
      <protection/>
    </xf>
    <xf numFmtId="0" fontId="25" fillId="2" borderId="4" xfId="0" applyFont="1" applyFill="1" applyBorder="1" applyAlignment="1">
      <alignment/>
    </xf>
    <xf numFmtId="0" fontId="12" fillId="2" borderId="4" xfId="0" applyFont="1" applyFill="1" applyBorder="1" applyAlignment="1">
      <alignment/>
    </xf>
    <xf numFmtId="0" fontId="12" fillId="2" borderId="0" xfId="0" applyFont="1" applyFill="1" applyBorder="1" applyAlignment="1">
      <alignment/>
    </xf>
    <xf numFmtId="0" fontId="12" fillId="2" borderId="0" xfId="0" applyFont="1" applyFill="1" applyBorder="1" applyAlignment="1" quotePrefix="1">
      <alignment horizontal="left"/>
    </xf>
    <xf numFmtId="0" fontId="12" fillId="2" borderId="1" xfId="0" applyFont="1" applyFill="1" applyBorder="1" applyAlignment="1">
      <alignment/>
    </xf>
    <xf numFmtId="0" fontId="12" fillId="2" borderId="1" xfId="0" applyFont="1" applyFill="1" applyBorder="1" applyAlignment="1" quotePrefix="1">
      <alignment horizontal="left"/>
    </xf>
    <xf numFmtId="0" fontId="12" fillId="3" borderId="0" xfId="0" applyFont="1" applyFill="1" applyBorder="1" applyAlignment="1">
      <alignment/>
    </xf>
    <xf numFmtId="3" fontId="12" fillId="3" borderId="0" xfId="0" applyNumberFormat="1" applyFont="1" applyFill="1" applyBorder="1" applyAlignment="1">
      <alignment/>
    </xf>
    <xf numFmtId="0" fontId="9" fillId="2" borderId="0" xfId="23" applyFont="1" applyFill="1">
      <alignment/>
      <protection/>
    </xf>
    <xf numFmtId="0" fontId="9" fillId="2" borderId="0" xfId="23" applyFont="1" applyFill="1" applyBorder="1" applyAlignment="1">
      <alignment horizontal="centerContinuous"/>
      <protection/>
    </xf>
    <xf numFmtId="0" fontId="0" fillId="2" borderId="0" xfId="0" applyFill="1" applyAlignment="1">
      <alignment horizontal="centerContinuous"/>
    </xf>
    <xf numFmtId="0" fontId="9" fillId="2" borderId="3" xfId="23" applyFont="1" applyFill="1" applyBorder="1" applyAlignment="1">
      <alignment horizontal="centerContinuous"/>
      <protection/>
    </xf>
    <xf numFmtId="0" fontId="0" fillId="2" borderId="3" xfId="0" applyFill="1" applyBorder="1" applyAlignment="1">
      <alignment horizontal="centerContinuous"/>
    </xf>
    <xf numFmtId="0" fontId="9" fillId="2" borderId="0" xfId="23" applyFont="1" applyFill="1" applyAlignment="1">
      <alignment horizontal="centerContinuous"/>
      <protection/>
    </xf>
    <xf numFmtId="0" fontId="9" fillId="2" borderId="4" xfId="23" applyFont="1" applyFill="1" applyBorder="1" applyAlignment="1">
      <alignment horizontal="center"/>
      <protection/>
    </xf>
    <xf numFmtId="0" fontId="9" fillId="2" borderId="4" xfId="23" applyFont="1" applyFill="1" applyBorder="1" applyAlignment="1">
      <alignment horizontal="centerContinuous"/>
      <protection/>
    </xf>
    <xf numFmtId="0" fontId="9" fillId="2" borderId="4" xfId="23" applyFont="1" applyFill="1" applyBorder="1" applyAlignment="1">
      <alignment horizontal="left"/>
      <protection/>
    </xf>
    <xf numFmtId="0" fontId="0" fillId="2" borderId="4" xfId="0" applyFill="1" applyBorder="1" applyAlignment="1">
      <alignment/>
    </xf>
    <xf numFmtId="0" fontId="9" fillId="2" borderId="2" xfId="23" applyFont="1" applyFill="1" applyBorder="1" applyAlignment="1">
      <alignment horizontal="left"/>
      <protection/>
    </xf>
    <xf numFmtId="0" fontId="9" fillId="2" borderId="2" xfId="23" applyFont="1" applyFill="1" applyBorder="1" applyAlignment="1">
      <alignment horizontal="center"/>
      <protection/>
    </xf>
    <xf numFmtId="0" fontId="9" fillId="3" borderId="0" xfId="23" applyFont="1" applyFill="1">
      <alignment/>
      <protection/>
    </xf>
    <xf numFmtId="171" fontId="9" fillId="3" borderId="0" xfId="23" applyNumberFormat="1" applyFont="1" applyFill="1" applyAlignment="1">
      <alignment horizontal="right"/>
      <protection/>
    </xf>
    <xf numFmtId="168" fontId="9" fillId="3" borderId="0" xfId="23" applyNumberFormat="1" applyFont="1" applyFill="1" applyProtection="1">
      <alignment/>
      <protection/>
    </xf>
    <xf numFmtId="0" fontId="7" fillId="3" borderId="0" xfId="23" applyFont="1" applyFill="1">
      <alignment/>
      <protection/>
    </xf>
    <xf numFmtId="0" fontId="5" fillId="2" borderId="4" xfId="0" applyFont="1" applyFill="1" applyBorder="1" applyAlignment="1">
      <alignment/>
    </xf>
    <xf numFmtId="0" fontId="5" fillId="2" borderId="0" xfId="0" applyFont="1" applyFill="1" applyAlignment="1" quotePrefix="1">
      <alignment horizontal="left"/>
    </xf>
    <xf numFmtId="0" fontId="5" fillId="2" borderId="1" xfId="0" applyFont="1" applyFill="1" applyBorder="1" applyAlignment="1" quotePrefix="1">
      <alignment horizontal="left"/>
    </xf>
    <xf numFmtId="0" fontId="5" fillId="2" borderId="1" xfId="0" applyFont="1" applyFill="1" applyBorder="1" applyAlignment="1">
      <alignment/>
    </xf>
    <xf numFmtId="0" fontId="5" fillId="2" borderId="0" xfId="0" applyFont="1" applyFill="1" applyAlignment="1">
      <alignment/>
    </xf>
    <xf numFmtId="1" fontId="7" fillId="2" borderId="1" xfId="24" applyNumberFormat="1" applyFont="1" applyFill="1" applyBorder="1" applyAlignment="1" applyProtection="1" quotePrefix="1">
      <alignment horizontal="left"/>
      <protection/>
    </xf>
    <xf numFmtId="164" fontId="13" fillId="0" borderId="0" xfId="27" applyFont="1" applyBorder="1" applyAlignment="1" applyProtection="1" quotePrefix="1">
      <alignment horizontal="left"/>
      <protection/>
    </xf>
    <xf numFmtId="164" fontId="13" fillId="0" borderId="0" xfId="27" applyFont="1" applyBorder="1" applyAlignment="1" applyProtection="1">
      <alignment horizontal="left"/>
      <protection/>
    </xf>
    <xf numFmtId="164" fontId="13" fillId="0" borderId="0" xfId="27" applyFont="1" applyBorder="1">
      <alignment/>
      <protection/>
    </xf>
    <xf numFmtId="164" fontId="13" fillId="0" borderId="0" xfId="27" applyFont="1" applyBorder="1" quotePrefix="1">
      <alignment/>
      <protection/>
    </xf>
    <xf numFmtId="164" fontId="13" fillId="0" borderId="0" xfId="28" applyFont="1" applyBorder="1" applyAlignment="1" applyProtection="1">
      <alignment horizontal="left"/>
      <protection/>
    </xf>
    <xf numFmtId="164" fontId="13" fillId="0" borderId="0" xfId="29" applyFont="1" applyBorder="1" applyAlignment="1" applyProtection="1">
      <alignment horizontal="left"/>
      <protection/>
    </xf>
    <xf numFmtId="164" fontId="13" fillId="0" borderId="0" xfId="29" applyFont="1" applyBorder="1" applyAlignment="1" applyProtection="1" quotePrefix="1">
      <alignment horizontal="left"/>
      <protection/>
    </xf>
    <xf numFmtId="164" fontId="13" fillId="0" borderId="0" xfId="29" applyFont="1" applyBorder="1" applyAlignment="1" applyProtection="1">
      <alignment horizontal="left" indent="1"/>
      <protection/>
    </xf>
    <xf numFmtId="164" fontId="13" fillId="0" borderId="0" xfId="29" applyFont="1" applyBorder="1" applyAlignment="1" quotePrefix="1">
      <alignment horizontal="left"/>
      <protection/>
    </xf>
    <xf numFmtId="164" fontId="26" fillId="0" borderId="0" xfId="32" applyFont="1" applyBorder="1" applyAlignment="1" applyProtection="1" quotePrefix="1">
      <alignment horizontal="left"/>
      <protection locked="0"/>
    </xf>
    <xf numFmtId="0" fontId="8" fillId="0" borderId="0" xfId="21" applyFont="1" applyAlignment="1" quotePrefix="1">
      <alignment horizontal="left"/>
      <protection/>
    </xf>
    <xf numFmtId="0" fontId="12" fillId="0" borderId="0" xfId="0" applyFont="1" applyBorder="1" applyAlignment="1" quotePrefix="1">
      <alignment horizontal="left"/>
    </xf>
    <xf numFmtId="0" fontId="12" fillId="0" borderId="0" xfId="0" applyFont="1" applyAlignment="1" quotePrefix="1">
      <alignment horizontal="left"/>
    </xf>
    <xf numFmtId="0" fontId="12" fillId="0" borderId="0" xfId="0" applyFont="1" applyAlignment="1">
      <alignment/>
    </xf>
    <xf numFmtId="37" fontId="9" fillId="0" borderId="4" xfId="32" applyNumberFormat="1" applyFont="1" applyBorder="1" applyProtection="1">
      <alignment/>
      <protection/>
    </xf>
    <xf numFmtId="176" fontId="7" fillId="0" borderId="0" xfId="24" applyNumberFormat="1" applyFont="1" applyAlignment="1" applyProtection="1" quotePrefix="1">
      <alignment horizontal="left"/>
      <protection/>
    </xf>
    <xf numFmtId="0" fontId="10" fillId="0" borderId="0" xfId="24" applyAlignment="1">
      <alignment horizontal="centerContinuous"/>
      <protection/>
    </xf>
    <xf numFmtId="0" fontId="7" fillId="0" borderId="0" xfId="24" applyFont="1" applyBorder="1" applyAlignment="1" quotePrefix="1">
      <alignment horizontal="left"/>
      <protection/>
    </xf>
    <xf numFmtId="0" fontId="7" fillId="2" borderId="3" xfId="24" applyFont="1" applyFill="1" applyBorder="1" applyAlignment="1">
      <alignment horizontal="centerContinuous"/>
      <protection/>
    </xf>
    <xf numFmtId="0" fontId="7" fillId="0" borderId="0" xfId="24" applyFont="1" applyBorder="1">
      <alignment/>
      <protection/>
    </xf>
    <xf numFmtId="168" fontId="7" fillId="3" borderId="0" xfId="24" applyNumberFormat="1" applyFont="1" applyFill="1" applyBorder="1" applyProtection="1">
      <alignment/>
      <protection/>
    </xf>
    <xf numFmtId="0" fontId="7" fillId="2" borderId="4" xfId="24" applyFont="1" applyFill="1" applyBorder="1">
      <alignment/>
      <protection/>
    </xf>
    <xf numFmtId="164" fontId="26" fillId="0" borderId="0" xfId="28" applyFont="1" applyBorder="1" applyAlignment="1" applyProtection="1" quotePrefix="1">
      <alignment horizontal="left"/>
      <protection locked="0"/>
    </xf>
    <xf numFmtId="164" fontId="5" fillId="2" borderId="0" xfId="32" applyFill="1" applyBorder="1" applyAlignment="1">
      <alignment horizontal="centerContinuous"/>
      <protection/>
    </xf>
    <xf numFmtId="4" fontId="5" fillId="0" borderId="0" xfId="0" applyNumberFormat="1" applyFont="1" applyAlignment="1">
      <alignment/>
    </xf>
    <xf numFmtId="164" fontId="7" fillId="2" borderId="1" xfId="32" applyFont="1" applyFill="1" applyBorder="1" applyAlignment="1" applyProtection="1">
      <alignment horizontal="center"/>
      <protection/>
    </xf>
    <xf numFmtId="0" fontId="8" fillId="0" borderId="0" xfId="21" applyFont="1" applyBorder="1" applyAlignment="1" quotePrefix="1">
      <alignment horizontal="left"/>
      <protection/>
    </xf>
    <xf numFmtId="165" fontId="7" fillId="0" borderId="0" xfId="21" applyNumberFormat="1" applyFont="1" applyBorder="1" applyProtection="1">
      <alignment/>
      <protection/>
    </xf>
    <xf numFmtId="164" fontId="7" fillId="0" borderId="0" xfId="28" applyFont="1" applyFill="1" applyBorder="1" applyProtection="1">
      <alignment/>
      <protection/>
    </xf>
    <xf numFmtId="166" fontId="7" fillId="0" borderId="0" xfId="28" applyNumberFormat="1" applyFont="1" applyFill="1" applyBorder="1" applyProtection="1">
      <alignment/>
      <protection/>
    </xf>
    <xf numFmtId="168" fontId="5" fillId="0" borderId="0" xfId="28" applyNumberFormat="1" applyFill="1" applyBorder="1" applyProtection="1">
      <alignment/>
      <protection/>
    </xf>
    <xf numFmtId="167" fontId="7" fillId="0" borderId="0" xfId="21" applyNumberFormat="1" applyFont="1" applyFill="1" applyBorder="1" applyProtection="1">
      <alignment/>
      <protection/>
    </xf>
    <xf numFmtId="167" fontId="6" fillId="0" borderId="0" xfId="31" applyNumberFormat="1" applyFont="1" applyFill="1" applyBorder="1" applyAlignment="1" quotePrefix="1">
      <alignment horizontal="left"/>
      <protection/>
    </xf>
    <xf numFmtId="167" fontId="6" fillId="0" borderId="0" xfId="31" applyNumberFormat="1" applyFont="1" applyFill="1" applyBorder="1" applyAlignment="1">
      <alignment/>
      <protection/>
    </xf>
    <xf numFmtId="167" fontId="7" fillId="0" borderId="0" xfId="21" applyNumberFormat="1" applyFont="1" applyFill="1" applyProtection="1">
      <alignment/>
      <protection/>
    </xf>
    <xf numFmtId="0" fontId="7" fillId="0" borderId="0" xfId="21" applyFont="1" applyFill="1" applyBorder="1">
      <alignment/>
      <protection/>
    </xf>
    <xf numFmtId="165" fontId="7" fillId="0" borderId="0" xfId="21" applyNumberFormat="1" applyFont="1" applyFill="1" applyBorder="1" applyAlignment="1" applyProtection="1">
      <alignment horizontal="center"/>
      <protection/>
    </xf>
    <xf numFmtId="164" fontId="7" fillId="0" borderId="0" xfId="26" applyFont="1" applyFill="1">
      <alignment/>
      <protection/>
    </xf>
    <xf numFmtId="181" fontId="12" fillId="0" borderId="0" xfId="25" applyNumberFormat="1" applyFont="1" applyFill="1" applyAlignment="1">
      <alignment/>
      <protection/>
    </xf>
    <xf numFmtId="178" fontId="12" fillId="0" borderId="0" xfId="25" applyNumberFormat="1" applyFont="1" applyFill="1" applyAlignment="1" quotePrefix="1">
      <alignment horizontal="left"/>
      <protection/>
    </xf>
    <xf numFmtId="164" fontId="12" fillId="0" borderId="0" xfId="25" applyFont="1" applyFill="1">
      <alignment/>
      <protection/>
    </xf>
    <xf numFmtId="178" fontId="12" fillId="0" borderId="0" xfId="25" applyNumberFormat="1" applyFont="1" applyFill="1">
      <alignment/>
      <protection/>
    </xf>
    <xf numFmtId="167" fontId="7" fillId="0" borderId="0" xfId="21" applyNumberFormat="1" applyFont="1" applyFill="1" applyBorder="1">
      <alignment/>
      <protection/>
    </xf>
    <xf numFmtId="164" fontId="7" fillId="0" borderId="0" xfId="26" applyFont="1" applyFill="1" applyBorder="1">
      <alignment/>
      <protection/>
    </xf>
    <xf numFmtId="164" fontId="7" fillId="0" borderId="0" xfId="26" applyFont="1" applyFill="1" applyBorder="1" applyAlignment="1" applyProtection="1">
      <alignment horizontal="center"/>
      <protection locked="0"/>
    </xf>
    <xf numFmtId="171" fontId="7" fillId="0" borderId="0" xfId="26" applyNumberFormat="1" applyFont="1" applyFill="1" applyBorder="1" applyProtection="1">
      <alignment/>
      <protection locked="0"/>
    </xf>
    <xf numFmtId="173" fontId="7" fillId="0" borderId="0" xfId="26" applyNumberFormat="1" applyFont="1" applyFill="1" applyBorder="1" applyProtection="1">
      <alignment/>
      <protection/>
    </xf>
    <xf numFmtId="164" fontId="12" fillId="0" borderId="0" xfId="26" applyFont="1" applyFill="1">
      <alignment/>
      <protection/>
    </xf>
    <xf numFmtId="164" fontId="5" fillId="0" borderId="0" xfId="26" applyFill="1">
      <alignment/>
      <protection/>
    </xf>
    <xf numFmtId="171" fontId="7" fillId="3" borderId="0" xfId="26" applyNumberFormat="1" applyFont="1" applyFill="1" applyBorder="1" applyProtection="1">
      <alignment/>
      <protection locked="0"/>
    </xf>
    <xf numFmtId="0" fontId="13" fillId="0" borderId="0" xfId="24" applyFont="1" applyAlignment="1" quotePrefix="1">
      <alignment horizontal="left"/>
      <protection/>
    </xf>
    <xf numFmtId="0" fontId="15" fillId="0" borderId="0" xfId="24" applyFont="1" applyAlignment="1">
      <alignment horizontal="centerContinuous"/>
      <protection/>
    </xf>
    <xf numFmtId="0" fontId="8" fillId="0" borderId="0" xfId="24" applyFont="1" applyBorder="1" applyAlignment="1" quotePrefix="1">
      <alignment horizontal="left"/>
      <protection/>
    </xf>
    <xf numFmtId="0" fontId="10" fillId="0" borderId="0" xfId="24" applyBorder="1">
      <alignment/>
      <protection/>
    </xf>
    <xf numFmtId="0" fontId="7" fillId="0" borderId="0" xfId="24" applyFont="1" applyFill="1" applyAlignment="1" quotePrefix="1">
      <alignment horizontal="left"/>
      <protection/>
    </xf>
    <xf numFmtId="177" fontId="7" fillId="0" borderId="0" xfId="24" applyNumberFormat="1" applyFont="1" applyFill="1" applyProtection="1">
      <alignment/>
      <protection/>
    </xf>
    <xf numFmtId="178" fontId="7" fillId="0" borderId="0" xfId="24" applyNumberFormat="1" applyFont="1" applyFill="1" applyProtection="1">
      <alignment/>
      <protection/>
    </xf>
    <xf numFmtId="0" fontId="10" fillId="0" borderId="0" xfId="24" applyFill="1">
      <alignment/>
      <protection/>
    </xf>
    <xf numFmtId="177" fontId="7" fillId="0" borderId="0" xfId="24" applyNumberFormat="1" applyFont="1" applyFill="1" applyProtection="1" quotePrefix="1">
      <alignment/>
      <protection/>
    </xf>
    <xf numFmtId="178" fontId="7" fillId="0" borderId="0" xfId="24" applyNumberFormat="1" applyFont="1" applyFill="1" applyProtection="1">
      <alignment/>
      <protection locked="0"/>
    </xf>
    <xf numFmtId="164" fontId="7" fillId="2" borderId="1" xfId="26" applyFont="1" applyFill="1" applyBorder="1" applyAlignment="1" applyProtection="1" quotePrefix="1">
      <alignment horizontal="center"/>
      <protection/>
    </xf>
    <xf numFmtId="164" fontId="7" fillId="0" borderId="0" xfId="27" applyFont="1" applyFill="1" applyBorder="1" applyAlignment="1" applyProtection="1">
      <alignment horizontal="center"/>
      <protection/>
    </xf>
    <xf numFmtId="169" fontId="7" fillId="0" borderId="0" xfId="27" applyNumberFormat="1" applyFont="1" applyFill="1" applyBorder="1" applyProtection="1" quotePrefix="1">
      <alignment/>
      <protection/>
    </xf>
    <xf numFmtId="169" fontId="7" fillId="0" borderId="0" xfId="27" applyNumberFormat="1" applyFont="1" applyFill="1" applyBorder="1" applyProtection="1">
      <alignment/>
      <protection/>
    </xf>
    <xf numFmtId="164" fontId="12" fillId="0" borderId="0" xfId="27" applyFont="1" applyFill="1" applyBorder="1">
      <alignment/>
      <protection/>
    </xf>
    <xf numFmtId="169" fontId="7" fillId="0" borderId="0" xfId="27" applyNumberFormat="1" applyFont="1" applyFill="1" applyBorder="1" applyAlignment="1" applyProtection="1" quotePrefix="1">
      <alignment horizontal="left"/>
      <protection/>
    </xf>
    <xf numFmtId="164" fontId="7" fillId="0" borderId="0" xfId="29" applyFont="1" applyFill="1" applyBorder="1" applyProtection="1">
      <alignment/>
      <protection/>
    </xf>
    <xf numFmtId="169" fontId="7" fillId="0" borderId="0" xfId="29" applyNumberFormat="1" applyFont="1" applyFill="1" applyBorder="1" applyAlignment="1" applyProtection="1" quotePrefix="1">
      <alignment horizontal="left"/>
      <protection/>
    </xf>
    <xf numFmtId="169" fontId="7" fillId="0" borderId="0" xfId="29" applyNumberFormat="1" applyFont="1" applyFill="1" applyBorder="1" applyProtection="1">
      <alignment/>
      <protection/>
    </xf>
    <xf numFmtId="164" fontId="0" fillId="0" borderId="0" xfId="29" applyFill="1">
      <alignment/>
      <protection/>
    </xf>
    <xf numFmtId="0" fontId="24" fillId="0" borderId="0" xfId="0" applyFont="1" applyAlignment="1">
      <alignment/>
    </xf>
    <xf numFmtId="0" fontId="24" fillId="0" borderId="0" xfId="0" applyFont="1" applyAlignment="1" quotePrefix="1">
      <alignment horizontal="left"/>
    </xf>
    <xf numFmtId="0" fontId="28" fillId="0" borderId="0" xfId="23" applyFont="1">
      <alignment/>
      <protection/>
    </xf>
    <xf numFmtId="0" fontId="28" fillId="0" borderId="0" xfId="23" applyFont="1" applyAlignment="1" quotePrefix="1">
      <alignment horizontal="centerContinuous"/>
      <protection/>
    </xf>
    <xf numFmtId="0" fontId="28" fillId="0" borderId="0" xfId="23" applyFont="1" applyAlignment="1">
      <alignment horizontal="centerContinuous"/>
      <protection/>
    </xf>
    <xf numFmtId="0" fontId="29" fillId="0" borderId="0" xfId="0" applyFont="1" applyAlignment="1">
      <alignment horizontal="centerContinuous"/>
    </xf>
    <xf numFmtId="0" fontId="28" fillId="0" borderId="0" xfId="0" applyFont="1" applyAlignment="1">
      <alignment horizontal="centerContinuous"/>
    </xf>
    <xf numFmtId="0" fontId="22" fillId="0" borderId="0" xfId="0" applyFont="1" applyBorder="1" applyAlignment="1" quotePrefix="1">
      <alignment horizontal="left"/>
    </xf>
    <xf numFmtId="164" fontId="15" fillId="0" borderId="0" xfId="30" applyFont="1" applyBorder="1">
      <alignment/>
      <protection/>
    </xf>
    <xf numFmtId="39" fontId="15" fillId="0" borderId="0" xfId="30" applyNumberFormat="1" applyFont="1" applyBorder="1" applyAlignment="1" applyProtection="1">
      <alignment horizontal="centerContinuous"/>
      <protection/>
    </xf>
    <xf numFmtId="39" fontId="15" fillId="0" borderId="0" xfId="30" applyNumberFormat="1" applyFont="1" applyBorder="1" applyProtection="1">
      <alignment/>
      <protection/>
    </xf>
    <xf numFmtId="164" fontId="24" fillId="0" borderId="0" xfId="30" applyFont="1" applyAlignment="1">
      <alignment horizontal="centerContinuous"/>
      <protection/>
    </xf>
    <xf numFmtId="164" fontId="24" fillId="0" borderId="0" xfId="30" applyFont="1">
      <alignment/>
      <protection/>
    </xf>
    <xf numFmtId="37" fontId="15" fillId="0" borderId="0" xfId="32" applyNumberFormat="1" applyFont="1" applyBorder="1" applyAlignment="1" applyProtection="1">
      <alignment horizontal="center"/>
      <protection/>
    </xf>
    <xf numFmtId="0" fontId="15" fillId="0" borderId="0" xfId="24" applyFont="1">
      <alignment/>
      <protection/>
    </xf>
    <xf numFmtId="0" fontId="15" fillId="0" borderId="0" xfId="24" applyFont="1" applyAlignment="1" quotePrefix="1">
      <alignment horizontal="centerContinuous"/>
      <protection/>
    </xf>
    <xf numFmtId="0" fontId="15" fillId="0" borderId="0" xfId="24" applyFont="1" applyAlignment="1">
      <alignment horizontal="centerContinuous"/>
      <protection/>
    </xf>
    <xf numFmtId="0" fontId="30" fillId="0" borderId="0" xfId="24" applyFont="1" applyAlignment="1">
      <alignment horizontal="centerContinuous"/>
      <protection/>
    </xf>
    <xf numFmtId="0" fontId="30" fillId="0" borderId="0" xfId="24" applyFont="1">
      <alignment/>
      <protection/>
    </xf>
    <xf numFmtId="0" fontId="7" fillId="0" borderId="0" xfId="21" applyFont="1" applyFill="1">
      <alignment/>
      <protection/>
    </xf>
    <xf numFmtId="165" fontId="7" fillId="0" borderId="0" xfId="21" applyNumberFormat="1" applyFont="1" applyFill="1" applyAlignment="1" applyProtection="1">
      <alignment horizontal="center"/>
      <protection/>
    </xf>
    <xf numFmtId="167" fontId="7" fillId="0" borderId="0" xfId="21" applyNumberFormat="1" applyFont="1" applyFill="1" applyBorder="1" applyAlignment="1" applyProtection="1">
      <alignment/>
      <protection/>
    </xf>
    <xf numFmtId="164" fontId="7" fillId="0" borderId="0" xfId="28" applyFont="1" applyFill="1" applyBorder="1">
      <alignment/>
      <protection/>
    </xf>
    <xf numFmtId="164" fontId="5" fillId="0" borderId="0" xfId="28" applyFill="1">
      <alignment/>
      <protection/>
    </xf>
    <xf numFmtId="0" fontId="14" fillId="0" borderId="0" xfId="0" applyFont="1" applyFill="1" applyBorder="1" applyAlignment="1">
      <alignment/>
    </xf>
    <xf numFmtId="166" fontId="7" fillId="0" borderId="0" xfId="28" applyNumberFormat="1" applyFont="1" applyFill="1">
      <alignment/>
      <protection/>
    </xf>
    <xf numFmtId="164" fontId="7" fillId="0" borderId="0" xfId="28" applyFont="1" applyFill="1" applyBorder="1" applyAlignment="1" applyProtection="1">
      <alignment horizontal="left"/>
      <protection/>
    </xf>
    <xf numFmtId="1" fontId="7" fillId="0" borderId="0" xfId="24" applyNumberFormat="1" applyFont="1" applyAlignment="1" applyProtection="1">
      <alignment horizontal="right"/>
      <protection/>
    </xf>
    <xf numFmtId="1" fontId="7" fillId="4" borderId="0" xfId="24" applyNumberFormat="1" applyFont="1" applyFill="1" applyAlignment="1" applyProtection="1">
      <alignment horizontal="right"/>
      <protection/>
    </xf>
    <xf numFmtId="1" fontId="7" fillId="0" borderId="0" xfId="24" applyNumberFormat="1" applyFont="1" applyProtection="1">
      <alignment/>
      <protection/>
    </xf>
    <xf numFmtId="173" fontId="7" fillId="3" borderId="1" xfId="32" applyNumberFormat="1" applyFont="1" applyFill="1" applyBorder="1" applyProtection="1">
      <alignment/>
      <protection/>
    </xf>
    <xf numFmtId="175" fontId="7" fillId="3" borderId="0" xfId="24" applyNumberFormat="1" applyFont="1" applyFill="1" applyProtection="1">
      <alignment/>
      <protection/>
    </xf>
    <xf numFmtId="164" fontId="7" fillId="0" borderId="0" xfId="32" applyFont="1" applyBorder="1" applyAlignment="1" quotePrefix="1">
      <alignment horizontal="centerContinuous"/>
      <protection/>
    </xf>
    <xf numFmtId="3" fontId="12" fillId="0" borderId="0" xfId="26" applyNumberFormat="1" applyFont="1">
      <alignment/>
      <protection/>
    </xf>
    <xf numFmtId="3" fontId="12" fillId="0" borderId="0" xfId="26" applyNumberFormat="1" applyFont="1" applyFill="1">
      <alignment/>
      <protection/>
    </xf>
    <xf numFmtId="3" fontId="12" fillId="3" borderId="0" xfId="26" applyNumberFormat="1" applyFont="1" applyFill="1">
      <alignment/>
      <protection/>
    </xf>
    <xf numFmtId="164" fontId="13" fillId="0" borderId="0" xfId="26" applyFont="1" applyBorder="1" applyAlignment="1" applyProtection="1">
      <alignment horizontal="left"/>
      <protection/>
    </xf>
    <xf numFmtId="164" fontId="13" fillId="0" borderId="0" xfId="26" applyFont="1" applyBorder="1" quotePrefix="1">
      <alignment/>
      <protection/>
    </xf>
    <xf numFmtId="166" fontId="15" fillId="0" borderId="0" xfId="28" applyNumberFormat="1" applyFont="1" applyBorder="1" applyAlignment="1" applyProtection="1">
      <alignment horizontal="centerContinuous"/>
      <protection/>
    </xf>
    <xf numFmtId="164" fontId="7" fillId="0" borderId="0" xfId="29" applyFont="1" applyFill="1" applyBorder="1">
      <alignment/>
      <protection/>
    </xf>
    <xf numFmtId="164" fontId="13" fillId="0" borderId="0" xfId="29" applyFont="1" applyFill="1" applyBorder="1" applyAlignment="1" applyProtection="1">
      <alignment horizontal="left"/>
      <protection/>
    </xf>
    <xf numFmtId="164" fontId="13" fillId="0" borderId="0" xfId="29" applyFont="1" applyFill="1" applyBorder="1" applyAlignment="1" applyProtection="1" quotePrefix="1">
      <alignment horizontal="left"/>
      <protection/>
    </xf>
    <xf numFmtId="164" fontId="5" fillId="0" borderId="0" xfId="32" applyAlignment="1">
      <alignment horizontal="centerContinuous"/>
      <protection/>
    </xf>
    <xf numFmtId="167" fontId="6" fillId="5" borderId="0" xfId="31" applyNumberFormat="1" applyFont="1" applyFill="1" applyBorder="1" applyAlignment="1">
      <alignment horizontal="left"/>
      <protection/>
    </xf>
    <xf numFmtId="0" fontId="7" fillId="3" borderId="0" xfId="21" applyFont="1" applyFill="1" applyBorder="1">
      <alignment/>
      <protection/>
    </xf>
    <xf numFmtId="0" fontId="7" fillId="0" borderId="0" xfId="30" applyNumberFormat="1" applyFont="1" applyBorder="1" applyAlignment="1" applyProtection="1">
      <alignment horizontal="right"/>
      <protection/>
    </xf>
    <xf numFmtId="0" fontId="7" fillId="3" borderId="1" xfId="30" applyNumberFormat="1" applyFont="1" applyFill="1" applyBorder="1" applyAlignment="1" applyProtection="1">
      <alignment horizontal="right"/>
      <protection/>
    </xf>
    <xf numFmtId="4" fontId="7" fillId="0" borderId="0" xfId="30" applyNumberFormat="1" applyFont="1" applyBorder="1" applyAlignment="1" applyProtection="1">
      <alignment horizontal="right"/>
      <protection/>
    </xf>
    <xf numFmtId="4" fontId="7" fillId="0" borderId="0" xfId="30" applyNumberFormat="1" applyFont="1" applyBorder="1" applyAlignment="1">
      <alignment horizontal="right"/>
      <protection/>
    </xf>
    <xf numFmtId="4" fontId="7" fillId="3" borderId="1" xfId="30" applyNumberFormat="1" applyFont="1" applyFill="1" applyBorder="1" applyAlignment="1" applyProtection="1">
      <alignment horizontal="right"/>
      <protection/>
    </xf>
    <xf numFmtId="3" fontId="7" fillId="0" borderId="0" xfId="30" applyNumberFormat="1" applyFont="1" applyBorder="1" applyAlignment="1" applyProtection="1">
      <alignment horizontal="right"/>
      <protection/>
    </xf>
    <xf numFmtId="3" fontId="5" fillId="0" borderId="0" xfId="30" applyNumberFormat="1" applyAlignment="1">
      <alignment horizontal="right"/>
      <protection/>
    </xf>
    <xf numFmtId="3" fontId="7" fillId="3" borderId="1" xfId="30" applyNumberFormat="1" applyFont="1" applyFill="1" applyBorder="1" applyAlignment="1" applyProtection="1">
      <alignment horizontal="right"/>
      <protection/>
    </xf>
    <xf numFmtId="0" fontId="7" fillId="2" borderId="1" xfId="30" applyNumberFormat="1" applyFont="1" applyFill="1" applyBorder="1" applyAlignment="1" applyProtection="1">
      <alignment horizontal="right"/>
      <protection/>
    </xf>
    <xf numFmtId="39" fontId="13" fillId="2" borderId="1" xfId="30" applyNumberFormat="1" applyFont="1" applyFill="1" applyBorder="1" applyAlignment="1" applyProtection="1">
      <alignment horizontal="centerContinuous"/>
      <protection/>
    </xf>
    <xf numFmtId="39" fontId="13" fillId="2" borderId="5" xfId="30" applyNumberFormat="1" applyFont="1" applyFill="1" applyBorder="1" applyAlignment="1" applyProtection="1">
      <alignment horizontal="centerContinuous"/>
      <protection/>
    </xf>
    <xf numFmtId="164" fontId="7" fillId="0" borderId="0" xfId="27" applyFont="1" applyFill="1" applyBorder="1">
      <alignment/>
      <protection/>
    </xf>
    <xf numFmtId="164" fontId="5" fillId="0" borderId="0" xfId="27" applyFill="1">
      <alignment/>
      <protection/>
    </xf>
    <xf numFmtId="166" fontId="15" fillId="0" borderId="0" xfId="27" applyNumberFormat="1" applyFont="1" applyFill="1" applyBorder="1" applyAlignment="1" applyProtection="1" quotePrefix="1">
      <alignment horizontal="centerContinuous"/>
      <protection/>
    </xf>
    <xf numFmtId="166" fontId="15" fillId="0" borderId="0" xfId="27" applyNumberFormat="1" applyFont="1" applyFill="1" applyBorder="1" applyAlignment="1" applyProtection="1" quotePrefix="1">
      <alignment horizontal="left"/>
      <protection/>
    </xf>
    <xf numFmtId="1" fontId="7" fillId="2" borderId="0" xfId="32" applyNumberFormat="1" applyFont="1" applyFill="1" applyBorder="1" applyAlignment="1" applyProtection="1">
      <alignment horizontal="centerContinuous"/>
      <protection/>
    </xf>
    <xf numFmtId="170" fontId="7" fillId="0" borderId="0" xfId="29" applyNumberFormat="1" applyFont="1" applyBorder="1" applyProtection="1" quotePrefix="1">
      <alignment/>
      <protection/>
    </xf>
    <xf numFmtId="169" fontId="7" fillId="0" borderId="0" xfId="24" applyNumberFormat="1" applyFont="1">
      <alignment/>
      <protection/>
    </xf>
    <xf numFmtId="169" fontId="7" fillId="0" borderId="0" xfId="24" applyNumberFormat="1" applyFont="1" applyProtection="1">
      <alignment/>
      <protection/>
    </xf>
    <xf numFmtId="169" fontId="7" fillId="0" borderId="0" xfId="24" applyNumberFormat="1" applyFont="1" applyAlignment="1" applyProtection="1" quotePrefix="1">
      <alignment horizontal="left"/>
      <protection/>
    </xf>
    <xf numFmtId="169" fontId="7" fillId="3" borderId="0" xfId="24" applyNumberFormat="1" applyFont="1" applyFill="1" applyProtection="1">
      <alignment/>
      <protection/>
    </xf>
    <xf numFmtId="169" fontId="7" fillId="3" borderId="2" xfId="24" applyNumberFormat="1" applyFont="1" applyFill="1" applyBorder="1" applyProtection="1">
      <alignment/>
      <protection/>
    </xf>
    <xf numFmtId="169" fontId="10" fillId="0" borderId="0" xfId="24" applyNumberFormat="1" applyProtection="1">
      <alignment/>
      <protection/>
    </xf>
    <xf numFmtId="173" fontId="7" fillId="0" borderId="0" xfId="24" applyNumberFormat="1" applyFont="1" applyProtection="1">
      <alignment/>
      <protection/>
    </xf>
    <xf numFmtId="173" fontId="10" fillId="0" borderId="0" xfId="24" applyNumberFormat="1">
      <alignment/>
      <protection/>
    </xf>
    <xf numFmtId="173" fontId="7" fillId="0" borderId="0" xfId="24" applyNumberFormat="1" applyFont="1" applyAlignment="1" applyProtection="1" quotePrefix="1">
      <alignment horizontal="left"/>
      <protection/>
    </xf>
    <xf numFmtId="173" fontId="7" fillId="0" borderId="0" xfId="24" applyNumberFormat="1" applyFont="1" applyProtection="1" quotePrefix="1">
      <alignment/>
      <protection/>
    </xf>
    <xf numFmtId="173" fontId="7" fillId="3" borderId="0" xfId="24" applyNumberFormat="1" applyFont="1" applyFill="1" applyProtection="1">
      <alignment/>
      <protection/>
    </xf>
    <xf numFmtId="173" fontId="7" fillId="0" borderId="0" xfId="24" applyNumberFormat="1" applyFont="1" applyAlignment="1">
      <alignment horizontal="left"/>
      <protection/>
    </xf>
    <xf numFmtId="173" fontId="7" fillId="4" borderId="0" xfId="24" applyNumberFormat="1" applyFont="1" applyFill="1" applyProtection="1">
      <alignment/>
      <protection/>
    </xf>
    <xf numFmtId="1" fontId="7" fillId="3" borderId="0" xfId="24" applyNumberFormat="1" applyFont="1" applyFill="1" applyAlignment="1" applyProtection="1">
      <alignment horizontal="right"/>
      <protection/>
    </xf>
    <xf numFmtId="173" fontId="7" fillId="0" borderId="0" xfId="24" applyNumberFormat="1" applyFont="1" applyFill="1" applyProtection="1">
      <alignment/>
      <protection/>
    </xf>
    <xf numFmtId="173" fontId="15" fillId="0" borderId="0" xfId="24" applyNumberFormat="1" applyFont="1" applyAlignment="1">
      <alignment horizontal="centerContinuous"/>
      <protection/>
    </xf>
    <xf numFmtId="173" fontId="10" fillId="0" borderId="0" xfId="24" applyNumberFormat="1" applyAlignment="1">
      <alignment horizontal="centerContinuous"/>
      <protection/>
    </xf>
    <xf numFmtId="173" fontId="7" fillId="0" borderId="0" xfId="24" applyNumberFormat="1" applyFont="1" applyAlignment="1">
      <alignment horizontal="centerContinuous"/>
      <protection/>
    </xf>
    <xf numFmtId="1" fontId="7" fillId="2" borderId="0" xfId="24" applyNumberFormat="1" applyFont="1" applyFill="1" applyProtection="1">
      <alignment/>
      <protection/>
    </xf>
    <xf numFmtId="1" fontId="7" fillId="3" borderId="0" xfId="24" applyNumberFormat="1" applyFont="1" applyFill="1" applyProtection="1">
      <alignment/>
      <protection/>
    </xf>
    <xf numFmtId="170" fontId="7" fillId="0" borderId="0" xfId="29" applyNumberFormat="1" applyFont="1" applyFill="1" applyBorder="1" applyProtection="1">
      <alignment/>
      <protection/>
    </xf>
    <xf numFmtId="164" fontId="13" fillId="0" borderId="0" xfId="29" applyFont="1" applyBorder="1" applyAlignment="1">
      <alignment horizontal="left"/>
      <protection/>
    </xf>
    <xf numFmtId="2" fontId="7" fillId="0" borderId="0" xfId="29" applyNumberFormat="1" applyFont="1" applyBorder="1" applyProtection="1" quotePrefix="1">
      <alignment/>
      <protection/>
    </xf>
    <xf numFmtId="2" fontId="7" fillId="0" borderId="0" xfId="29" applyNumberFormat="1" applyFont="1" applyBorder="1" applyProtection="1">
      <alignment/>
      <protection/>
    </xf>
    <xf numFmtId="2" fontId="7" fillId="0" borderId="0" xfId="29" applyNumberFormat="1" applyFont="1" applyFill="1" applyBorder="1" applyProtection="1">
      <alignment/>
      <protection/>
    </xf>
    <xf numFmtId="2" fontId="7" fillId="0" borderId="0" xfId="29" applyNumberFormat="1" applyFont="1" applyFill="1" applyBorder="1" applyAlignment="1" applyProtection="1" quotePrefix="1">
      <alignment horizontal="left"/>
      <protection/>
    </xf>
    <xf numFmtId="164" fontId="7" fillId="0" borderId="0" xfId="29" applyFont="1" applyBorder="1" applyAlignment="1" applyProtection="1">
      <alignment horizontal="left"/>
      <protection/>
    </xf>
    <xf numFmtId="164" fontId="7" fillId="0" borderId="0" xfId="29" applyFont="1" applyBorder="1" applyAlignment="1" applyProtection="1">
      <alignment horizontal="center"/>
      <protection/>
    </xf>
    <xf numFmtId="173" fontId="7" fillId="0" borderId="0" xfId="32" applyNumberFormat="1" applyFont="1" applyBorder="1" applyProtection="1" quotePrefix="1">
      <alignment/>
      <protection/>
    </xf>
    <xf numFmtId="216" fontId="12" fillId="0" borderId="0" xfId="0" applyNumberFormat="1" applyFont="1" applyBorder="1" applyAlignment="1">
      <alignment/>
    </xf>
    <xf numFmtId="3" fontId="12" fillId="2" borderId="0" xfId="0" applyNumberFormat="1" applyFont="1" applyFill="1" applyBorder="1" applyAlignment="1">
      <alignment/>
    </xf>
    <xf numFmtId="0" fontId="12" fillId="2" borderId="6" xfId="0" applyFont="1" applyFill="1" applyBorder="1" applyAlignment="1">
      <alignment/>
    </xf>
    <xf numFmtId="0" fontId="12" fillId="2" borderId="7" xfId="0" applyFont="1" applyFill="1" applyBorder="1" applyAlignment="1">
      <alignment/>
    </xf>
    <xf numFmtId="0" fontId="12" fillId="2" borderId="8" xfId="0" applyFont="1" applyFill="1" applyBorder="1" applyAlignment="1">
      <alignment/>
    </xf>
    <xf numFmtId="216" fontId="12" fillId="3" borderId="0" xfId="0" applyNumberFormat="1" applyFont="1" applyFill="1" applyBorder="1" applyAlignment="1">
      <alignment/>
    </xf>
    <xf numFmtId="3" fontId="12" fillId="6" borderId="0" xfId="0" applyNumberFormat="1" applyFont="1" applyFill="1" applyBorder="1" applyAlignment="1">
      <alignment/>
    </xf>
    <xf numFmtId="164" fontId="5" fillId="0" borderId="0" xfId="30" applyFont="1">
      <alignment/>
      <protection/>
    </xf>
    <xf numFmtId="164" fontId="12" fillId="2" borderId="4" xfId="32" applyFont="1" applyFill="1" applyBorder="1" applyAlignment="1" quotePrefix="1">
      <alignment horizontal="centerContinuous"/>
      <protection/>
    </xf>
    <xf numFmtId="4" fontId="15" fillId="0" borderId="0" xfId="30" applyNumberFormat="1" applyFont="1" applyBorder="1" applyAlignment="1" applyProtection="1">
      <alignment horizontal="right"/>
      <protection/>
    </xf>
    <xf numFmtId="4" fontId="15" fillId="0" borderId="0" xfId="30" applyNumberFormat="1" applyFont="1" applyBorder="1" applyAlignment="1">
      <alignment horizontal="right"/>
      <protection/>
    </xf>
    <xf numFmtId="4" fontId="15" fillId="3" borderId="1" xfId="30" applyNumberFormat="1" applyFont="1" applyFill="1" applyBorder="1" applyAlignment="1" applyProtection="1">
      <alignment horizontal="right"/>
      <protection/>
    </xf>
    <xf numFmtId="4" fontId="7" fillId="0" borderId="0" xfId="30" applyNumberFormat="1" applyFont="1" applyFill="1" applyBorder="1" applyAlignment="1" applyProtection="1">
      <alignment horizontal="right"/>
      <protection/>
    </xf>
    <xf numFmtId="4" fontId="15" fillId="0" borderId="0" xfId="30" applyNumberFormat="1" applyFont="1" applyFill="1" applyBorder="1" applyAlignment="1" applyProtection="1">
      <alignment horizontal="right"/>
      <protection/>
    </xf>
    <xf numFmtId="0" fontId="7" fillId="0" borderId="0" xfId="30" applyNumberFormat="1" applyFont="1" applyFill="1" applyBorder="1" applyAlignment="1" applyProtection="1">
      <alignment horizontal="right"/>
      <protection/>
    </xf>
    <xf numFmtId="3" fontId="7" fillId="0" borderId="0" xfId="30" applyNumberFormat="1" applyFont="1" applyFill="1" applyBorder="1" applyAlignment="1" applyProtection="1">
      <alignment horizontal="right"/>
      <protection/>
    </xf>
    <xf numFmtId="164" fontId="5" fillId="0" borderId="0" xfId="30" applyFill="1">
      <alignment/>
      <protection/>
    </xf>
    <xf numFmtId="164" fontId="8" fillId="0" borderId="0" xfId="30" applyFont="1" applyFill="1" applyBorder="1" applyAlignment="1" applyProtection="1" quotePrefix="1">
      <alignment horizontal="left"/>
      <protection/>
    </xf>
    <xf numFmtId="37" fontId="7" fillId="0" borderId="2" xfId="22" applyNumberFormat="1" applyFont="1" applyBorder="1" applyProtection="1">
      <alignment/>
      <protection/>
    </xf>
    <xf numFmtId="37" fontId="7" fillId="0" borderId="1" xfId="22" applyNumberFormat="1" applyFont="1" applyBorder="1" applyProtection="1">
      <alignment/>
      <protection/>
    </xf>
    <xf numFmtId="0" fontId="7" fillId="2" borderId="0" xfId="22" applyFont="1" applyFill="1">
      <alignment/>
      <protection/>
    </xf>
    <xf numFmtId="0" fontId="0" fillId="7" borderId="0" xfId="0" applyFill="1" applyBorder="1" applyAlignment="1">
      <alignment horizontal="center"/>
    </xf>
    <xf numFmtId="0" fontId="7" fillId="2" borderId="2" xfId="22" applyFont="1" applyFill="1" applyBorder="1" applyAlignment="1">
      <alignment horizontal="left"/>
      <protection/>
    </xf>
    <xf numFmtId="0" fontId="12" fillId="7" borderId="1" xfId="0" applyFont="1" applyFill="1" applyBorder="1" applyAlignment="1">
      <alignment horizontal="center"/>
    </xf>
    <xf numFmtId="0" fontId="7" fillId="0" borderId="0" xfId="22" applyFont="1">
      <alignment/>
      <protection/>
    </xf>
    <xf numFmtId="37" fontId="7" fillId="0" borderId="0" xfId="22" applyNumberFormat="1" applyFont="1" applyFill="1" applyBorder="1" applyAlignment="1" applyProtection="1">
      <alignment horizontal="center"/>
      <protection/>
    </xf>
    <xf numFmtId="0" fontId="12" fillId="0" borderId="0" xfId="0" applyFont="1" applyAlignment="1">
      <alignment horizontal="center"/>
    </xf>
    <xf numFmtId="37" fontId="7" fillId="0" borderId="0" xfId="22" applyNumberFormat="1" applyFont="1" applyFill="1" applyBorder="1" applyAlignment="1" applyProtection="1" quotePrefix="1">
      <alignment horizontal="center"/>
      <protection/>
    </xf>
    <xf numFmtId="0" fontId="7" fillId="0" borderId="0" xfId="22" applyFont="1" applyBorder="1" applyAlignment="1">
      <alignment horizontal="left"/>
      <protection/>
    </xf>
    <xf numFmtId="37" fontId="7" fillId="0" borderId="0" xfId="22" applyNumberFormat="1" applyFont="1" applyBorder="1" applyProtection="1">
      <alignment/>
      <protection/>
    </xf>
    <xf numFmtId="0" fontId="13" fillId="0" borderId="0" xfId="22" applyFont="1" applyAlignment="1" quotePrefix="1">
      <alignment horizontal="left"/>
      <protection/>
    </xf>
    <xf numFmtId="37" fontId="7" fillId="0" borderId="0" xfId="22" applyNumberFormat="1" applyFont="1" applyProtection="1">
      <alignment/>
      <protection/>
    </xf>
    <xf numFmtId="39" fontId="7" fillId="0" borderId="0" xfId="22" applyNumberFormat="1" applyFont="1" applyProtection="1">
      <alignment/>
      <protection/>
    </xf>
    <xf numFmtId="37" fontId="7" fillId="0" borderId="0" xfId="22" applyNumberFormat="1" applyFont="1" applyProtection="1" quotePrefix="1">
      <alignment/>
      <protection/>
    </xf>
    <xf numFmtId="0" fontId="8" fillId="0" borderId="4" xfId="0" applyFont="1" applyBorder="1" applyAlignment="1" applyProtection="1">
      <alignment horizontal="left"/>
      <protection locked="0"/>
    </xf>
    <xf numFmtId="0" fontId="7" fillId="0" borderId="4" xfId="22" applyFont="1" applyBorder="1">
      <alignment/>
      <protection/>
    </xf>
    <xf numFmtId="0" fontId="8" fillId="0" borderId="0" xfId="0" applyFont="1" applyBorder="1" applyAlignment="1" applyProtection="1">
      <alignment horizontal="left"/>
      <protection locked="0"/>
    </xf>
    <xf numFmtId="0" fontId="7" fillId="0" borderId="0" xfId="22" applyFont="1" applyBorder="1">
      <alignment/>
      <protection/>
    </xf>
    <xf numFmtId="0" fontId="8" fillId="0" borderId="0" xfId="0" applyFont="1" applyAlignment="1" applyProtection="1" quotePrefix="1">
      <alignment horizontal="left"/>
      <protection locked="0"/>
    </xf>
    <xf numFmtId="0" fontId="31" fillId="0" borderId="0" xfId="22">
      <alignment/>
      <protection/>
    </xf>
    <xf numFmtId="0" fontId="17" fillId="0" borderId="2" xfId="22" applyFont="1" applyBorder="1" applyAlignment="1" quotePrefix="1">
      <alignment horizontal="left"/>
      <protection/>
    </xf>
    <xf numFmtId="0" fontId="17" fillId="0" borderId="0" xfId="22" applyFont="1" applyBorder="1" applyAlignment="1" quotePrefix="1">
      <alignment horizontal="left"/>
      <protection/>
    </xf>
    <xf numFmtId="0" fontId="7" fillId="0" borderId="0" xfId="22" applyFont="1" applyBorder="1" applyAlignment="1" quotePrefix="1">
      <alignment horizontal="left"/>
      <protection/>
    </xf>
    <xf numFmtId="0" fontId="7" fillId="7" borderId="4" xfId="22" applyFont="1" applyFill="1" applyBorder="1" applyAlignment="1" quotePrefix="1">
      <alignment horizontal="center"/>
      <protection/>
    </xf>
    <xf numFmtId="0" fontId="12" fillId="7" borderId="4" xfId="0" applyFont="1" applyFill="1" applyBorder="1" applyAlignment="1">
      <alignment horizontal="center"/>
    </xf>
    <xf numFmtId="0" fontId="7" fillId="7" borderId="0" xfId="22" applyFont="1" applyFill="1" applyBorder="1" applyAlignment="1">
      <alignment horizontal="center"/>
      <protection/>
    </xf>
    <xf numFmtId="0" fontId="12" fillId="7" borderId="0" xfId="0" applyFont="1" applyFill="1" applyBorder="1" applyAlignment="1">
      <alignment horizontal="center"/>
    </xf>
    <xf numFmtId="0" fontId="7" fillId="7" borderId="1" xfId="22" applyFont="1" applyFill="1" applyBorder="1" applyAlignment="1">
      <alignment horizontal="center"/>
      <protection/>
    </xf>
    <xf numFmtId="0" fontId="7" fillId="7" borderId="1" xfId="22" applyFont="1" applyFill="1" applyBorder="1" applyAlignment="1" quotePrefix="1">
      <alignment horizontal="center"/>
      <protection/>
    </xf>
    <xf numFmtId="0" fontId="12" fillId="7" borderId="1" xfId="0" applyFont="1" applyFill="1" applyBorder="1" applyAlignment="1" quotePrefix="1">
      <alignment horizontal="center"/>
    </xf>
    <xf numFmtId="6" fontId="12" fillId="7" borderId="1" xfId="0" applyNumberFormat="1" applyFont="1" applyFill="1" applyBorder="1" applyAlignment="1" quotePrefix="1">
      <alignment horizontal="center"/>
    </xf>
    <xf numFmtId="6" fontId="12" fillId="7" borderId="1" xfId="0" applyNumberFormat="1" applyFont="1" applyFill="1" applyBorder="1" applyAlignment="1">
      <alignment horizontal="center"/>
    </xf>
    <xf numFmtId="0" fontId="13" fillId="0" borderId="0" xfId="22" applyFont="1" applyFill="1" applyBorder="1" applyAlignment="1">
      <alignment horizontal="left"/>
      <protection/>
    </xf>
    <xf numFmtId="0" fontId="7" fillId="0" borderId="0" xfId="22" applyFont="1" applyFill="1" applyBorder="1" applyAlignment="1">
      <alignment horizontal="center"/>
      <protection/>
    </xf>
    <xf numFmtId="0" fontId="12" fillId="0" borderId="0" xfId="0" applyFont="1" applyFill="1" applyBorder="1" applyAlignment="1">
      <alignment horizontal="center"/>
    </xf>
    <xf numFmtId="0" fontId="0" fillId="0" borderId="0" xfId="0" applyBorder="1" applyAlignment="1">
      <alignment/>
    </xf>
    <xf numFmtId="6" fontId="12" fillId="0" borderId="0" xfId="0" applyNumberFormat="1" applyFont="1" applyFill="1" applyBorder="1" applyAlignment="1">
      <alignment horizontal="center"/>
    </xf>
    <xf numFmtId="0" fontId="12" fillId="8" borderId="0" xfId="0" applyFont="1" applyFill="1" applyBorder="1" applyAlignment="1">
      <alignment horizontal="left" wrapText="1"/>
    </xf>
    <xf numFmtId="0" fontId="12" fillId="8" borderId="0" xfId="0" applyFont="1" applyFill="1" applyBorder="1" applyAlignment="1">
      <alignment horizontal="right" wrapText="1"/>
    </xf>
    <xf numFmtId="3" fontId="12" fillId="8" borderId="0" xfId="0" applyNumberFormat="1" applyFont="1" applyFill="1" applyBorder="1" applyAlignment="1">
      <alignment horizontal="right" wrapText="1"/>
    </xf>
    <xf numFmtId="2" fontId="12" fillId="8" borderId="0" xfId="0" applyNumberFormat="1" applyFont="1" applyFill="1" applyBorder="1" applyAlignment="1">
      <alignment horizontal="right" wrapText="1"/>
    </xf>
    <xf numFmtId="2" fontId="12" fillId="0" borderId="0" xfId="0" applyNumberFormat="1" applyFont="1" applyFill="1" applyBorder="1" applyAlignment="1">
      <alignment horizontal="center"/>
    </xf>
    <xf numFmtId="2" fontId="12" fillId="0" borderId="0" xfId="0" applyNumberFormat="1" applyFont="1" applyBorder="1" applyAlignment="1">
      <alignment/>
    </xf>
    <xf numFmtId="0" fontId="13" fillId="0" borderId="0" xfId="22" applyFont="1" applyBorder="1" applyAlignment="1">
      <alignment horizontal="left"/>
      <protection/>
    </xf>
    <xf numFmtId="2" fontId="0" fillId="0" borderId="0" xfId="0" applyNumberFormat="1" applyBorder="1" applyAlignment="1">
      <alignment/>
    </xf>
    <xf numFmtId="3" fontId="12" fillId="0" borderId="0" xfId="0" applyNumberFormat="1" applyFont="1" applyBorder="1" applyAlignment="1">
      <alignment horizontal="center"/>
    </xf>
    <xf numFmtId="0" fontId="16" fillId="0" borderId="0" xfId="0" applyFont="1" applyBorder="1" applyAlignment="1">
      <alignment horizontal="left"/>
    </xf>
    <xf numFmtId="37" fontId="7" fillId="0" borderId="0" xfId="22" applyNumberFormat="1" applyFont="1" applyBorder="1" applyAlignment="1" applyProtection="1">
      <alignment horizontal="center"/>
      <protection/>
    </xf>
    <xf numFmtId="185" fontId="12" fillId="0" borderId="0" xfId="0" applyNumberFormat="1" applyFont="1" applyBorder="1" applyAlignment="1">
      <alignment horizontal="center"/>
    </xf>
    <xf numFmtId="185" fontId="7" fillId="0" borderId="0" xfId="22" applyNumberFormat="1" applyFont="1" applyBorder="1" applyAlignment="1" applyProtection="1">
      <alignment horizontal="center"/>
      <protection/>
    </xf>
    <xf numFmtId="2" fontId="7" fillId="0" borderId="0" xfId="22" applyNumberFormat="1" applyFont="1" applyBorder="1" applyAlignment="1" applyProtection="1">
      <alignment horizontal="center"/>
      <protection/>
    </xf>
    <xf numFmtId="0" fontId="12" fillId="8" borderId="1" xfId="0" applyFont="1" applyFill="1" applyBorder="1" applyAlignment="1">
      <alignment horizontal="left" wrapText="1"/>
    </xf>
    <xf numFmtId="0" fontId="12" fillId="8" borderId="1" xfId="0" applyFont="1" applyFill="1" applyBorder="1" applyAlignment="1">
      <alignment horizontal="right" wrapText="1"/>
    </xf>
    <xf numFmtId="3" fontId="12" fillId="8" borderId="1" xfId="0" applyNumberFormat="1" applyFont="1" applyFill="1" applyBorder="1" applyAlignment="1">
      <alignment horizontal="right" wrapText="1"/>
    </xf>
    <xf numFmtId="2" fontId="12" fillId="8" borderId="1" xfId="0" applyNumberFormat="1" applyFont="1" applyFill="1" applyBorder="1" applyAlignment="1">
      <alignment horizontal="right" wrapText="1"/>
    </xf>
    <xf numFmtId="6" fontId="12" fillId="0" borderId="1" xfId="0" applyNumberFormat="1" applyFont="1" applyFill="1" applyBorder="1" applyAlignment="1">
      <alignment horizontal="center"/>
    </xf>
    <xf numFmtId="0" fontId="12" fillId="0" borderId="0" xfId="0" applyFont="1" applyFill="1" applyBorder="1" applyAlignment="1">
      <alignment/>
    </xf>
    <xf numFmtId="37" fontId="7" fillId="0" borderId="0" xfId="22" applyNumberFormat="1" applyFont="1" applyFill="1" applyBorder="1" applyProtection="1">
      <alignment/>
      <protection/>
    </xf>
    <xf numFmtId="0" fontId="7" fillId="0" borderId="0" xfId="22" applyFont="1" applyFill="1" applyBorder="1" applyAlignment="1">
      <alignment horizontal="left"/>
      <protection/>
    </xf>
    <xf numFmtId="0" fontId="13" fillId="0" borderId="0" xfId="22" applyFont="1" applyFill="1" applyBorder="1" applyAlignment="1">
      <alignment horizontal="left"/>
      <protection/>
    </xf>
    <xf numFmtId="0" fontId="0" fillId="0" borderId="0" xfId="0" applyFill="1" applyBorder="1" applyAlignment="1">
      <alignment/>
    </xf>
    <xf numFmtId="3" fontId="0" fillId="0" borderId="0" xfId="0" applyNumberFormat="1" applyFill="1" applyBorder="1" applyAlignment="1">
      <alignment horizontal="right" wrapText="1"/>
    </xf>
    <xf numFmtId="0" fontId="0" fillId="0" borderId="0" xfId="0" applyFill="1" applyBorder="1" applyAlignment="1">
      <alignment horizontal="left" wrapText="1"/>
    </xf>
    <xf numFmtId="0" fontId="12" fillId="0" borderId="0" xfId="0" applyFont="1" applyFill="1" applyBorder="1" applyAlignment="1">
      <alignment horizontal="left" wrapText="1"/>
    </xf>
    <xf numFmtId="0" fontId="12" fillId="0" borderId="0" xfId="0" applyFont="1" applyFill="1" applyBorder="1" applyAlignment="1">
      <alignment horizontal="center" wrapText="1"/>
    </xf>
    <xf numFmtId="0" fontId="12" fillId="0" borderId="0" xfId="0" applyFont="1" applyFill="1" applyBorder="1" applyAlignment="1">
      <alignment horizontal="right" wrapText="1"/>
    </xf>
    <xf numFmtId="3" fontId="12" fillId="0" borderId="0" xfId="0" applyNumberFormat="1" applyFont="1" applyFill="1" applyBorder="1" applyAlignment="1">
      <alignment horizontal="right" wrapText="1"/>
    </xf>
    <xf numFmtId="0" fontId="0" fillId="0" borderId="0" xfId="0" applyFill="1" applyBorder="1" applyAlignment="1">
      <alignment horizontal="right" wrapText="1"/>
    </xf>
    <xf numFmtId="0" fontId="12" fillId="0" borderId="0" xfId="0" applyFont="1" applyFill="1" applyAlignment="1">
      <alignment/>
    </xf>
    <xf numFmtId="0" fontId="32" fillId="0" borderId="0" xfId="0" applyFont="1" applyFill="1" applyAlignment="1">
      <alignment wrapText="1"/>
    </xf>
    <xf numFmtId="0" fontId="32" fillId="0" borderId="0" xfId="0" applyFont="1" applyFill="1" applyAlignment="1">
      <alignment/>
    </xf>
    <xf numFmtId="14" fontId="33" fillId="0" borderId="0" xfId="0" applyNumberFormat="1" applyFont="1" applyFill="1" applyAlignment="1">
      <alignment/>
    </xf>
    <xf numFmtId="0" fontId="33" fillId="0" borderId="0" xfId="0" applyFont="1" applyFill="1" applyAlignment="1">
      <alignment/>
    </xf>
    <xf numFmtId="0" fontId="23" fillId="0" borderId="0" xfId="22" applyFont="1" applyFill="1" applyBorder="1" applyAlignment="1">
      <alignment horizontal="left"/>
      <protection/>
    </xf>
    <xf numFmtId="0" fontId="15" fillId="0" borderId="0" xfId="22" applyFont="1" applyFill="1" applyBorder="1" applyAlignment="1">
      <alignment horizontal="center"/>
      <protection/>
    </xf>
    <xf numFmtId="0" fontId="22" fillId="0" borderId="0" xfId="0" applyFont="1" applyFill="1" applyBorder="1" applyAlignment="1" quotePrefix="1">
      <alignment horizontal="center"/>
    </xf>
    <xf numFmtId="0" fontId="15" fillId="0" borderId="0" xfId="22" applyFont="1" applyFill="1" applyBorder="1" applyAlignment="1" quotePrefix="1">
      <alignment horizontal="center"/>
      <protection/>
    </xf>
    <xf numFmtId="6" fontId="22" fillId="0" borderId="0" xfId="0" applyNumberFormat="1" applyFont="1" applyFill="1" applyBorder="1" applyAlignment="1">
      <alignment horizontal="center"/>
    </xf>
    <xf numFmtId="0" fontId="29" fillId="0" borderId="0" xfId="0" applyFont="1" applyBorder="1" applyAlignment="1">
      <alignment/>
    </xf>
    <xf numFmtId="0" fontId="29" fillId="0" borderId="0" xfId="0" applyFont="1" applyAlignment="1">
      <alignment/>
    </xf>
    <xf numFmtId="164" fontId="18" fillId="2" borderId="4" xfId="27" applyFont="1" applyFill="1" applyBorder="1" applyAlignment="1" applyProtection="1" quotePrefix="1">
      <alignment horizontal="left"/>
      <protection locked="0"/>
    </xf>
    <xf numFmtId="164" fontId="7" fillId="2" borderId="4" xfId="27" applyFont="1" applyFill="1" applyBorder="1">
      <alignment/>
      <protection/>
    </xf>
    <xf numFmtId="166" fontId="7" fillId="2" borderId="4" xfId="27" applyNumberFormat="1" applyFont="1" applyFill="1" applyBorder="1" applyProtection="1">
      <alignment/>
      <protection/>
    </xf>
    <xf numFmtId="0" fontId="7" fillId="2" borderId="4" xfId="21" applyFont="1" applyFill="1" applyBorder="1" applyAlignment="1" quotePrefix="1">
      <alignment horizontal="center"/>
      <protection/>
    </xf>
    <xf numFmtId="165" fontId="7" fillId="2" borderId="1" xfId="32" applyNumberFormat="1" applyFont="1" applyFill="1" applyBorder="1" applyAlignment="1" applyProtection="1" quotePrefix="1">
      <alignment horizontal="left"/>
      <protection/>
    </xf>
    <xf numFmtId="169" fontId="7" fillId="3" borderId="0" xfId="29" applyNumberFormat="1" applyFont="1" applyFill="1" applyBorder="1" applyProtection="1" quotePrefix="1">
      <alignment/>
      <protection/>
    </xf>
    <xf numFmtId="1" fontId="5" fillId="0" borderId="0" xfId="32" applyNumberFormat="1">
      <alignment/>
      <protection/>
    </xf>
    <xf numFmtId="0" fontId="7" fillId="7" borderId="5" xfId="22" applyFont="1" applyFill="1" applyBorder="1" applyAlignment="1">
      <alignment horizontal="center"/>
      <protection/>
    </xf>
    <xf numFmtId="0" fontId="12" fillId="7" borderId="5" xfId="0" applyFont="1" applyFill="1" applyBorder="1" applyAlignment="1">
      <alignment horizontal="center"/>
    </xf>
    <xf numFmtId="0" fontId="22" fillId="0" borderId="0" xfId="0" applyFont="1" applyFill="1" applyBorder="1" applyAlignment="1">
      <alignment horizontal="center"/>
    </xf>
    <xf numFmtId="0" fontId="7" fillId="7" borderId="1" xfId="22" applyFont="1" applyFill="1" applyBorder="1" applyAlignment="1">
      <alignment horizontal="center"/>
      <protection/>
    </xf>
    <xf numFmtId="0" fontId="0" fillId="0" borderId="1" xfId="0" applyBorder="1" applyAlignment="1">
      <alignment horizontal="center"/>
    </xf>
  </cellXfs>
  <cellStyles count="20">
    <cellStyle name="Normal" xfId="0"/>
    <cellStyle name="Comma" xfId="15"/>
    <cellStyle name="Comma [0]" xfId="16"/>
    <cellStyle name="Currency" xfId="17"/>
    <cellStyle name="Currency [0]" xfId="18"/>
    <cellStyle name="Followed Hyperlink" xfId="19"/>
    <cellStyle name="Hyperlink" xfId="20"/>
    <cellStyle name="Normal_A" xfId="21"/>
    <cellStyle name="Normal_A_4" xfId="22"/>
    <cellStyle name="Normal_A_FrCensusArea" xfId="23"/>
    <cellStyle name="Normal_A_NOV2000TAB" xfId="24"/>
    <cellStyle name="Normal_TAB05" xfId="25"/>
    <cellStyle name="Normal_TAB06" xfId="26"/>
    <cellStyle name="Normal_TAB07" xfId="27"/>
    <cellStyle name="Normal_TAB08" xfId="28"/>
    <cellStyle name="Normal_TAB09" xfId="29"/>
    <cellStyle name="Normal_TAB10" xfId="30"/>
    <cellStyle name="Normal_TAB11" xfId="31"/>
    <cellStyle name="Normal_TAB13" xfId="32"/>
    <cellStyle name="Percent"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581025</xdr:colOff>
      <xdr:row>60</xdr:row>
      <xdr:rowOff>0</xdr:rowOff>
    </xdr:from>
    <xdr:to>
      <xdr:col>1</xdr:col>
      <xdr:colOff>438150</xdr:colOff>
      <xdr:row>60</xdr:row>
      <xdr:rowOff>9525</xdr:rowOff>
    </xdr:to>
    <xdr:pic>
      <xdr:nvPicPr>
        <xdr:cNvPr id="1" name="Picture 1"/>
        <xdr:cNvPicPr preferRelativeResize="1">
          <a:picLocks noChangeAspect="1"/>
        </xdr:cNvPicPr>
      </xdr:nvPicPr>
      <xdr:blipFill>
        <a:blip r:embed="rId1"/>
        <a:stretch>
          <a:fillRect/>
        </a:stretch>
      </xdr:blipFill>
      <xdr:spPr>
        <a:xfrm>
          <a:off x="581025" y="8829675"/>
          <a:ext cx="571500" cy="9525"/>
        </a:xfrm>
        <a:prstGeom prst="rect">
          <a:avLst/>
        </a:prstGeom>
        <a:noFill/>
        <a:ln w="9525" cmpd="sng">
          <a:noFill/>
        </a:ln>
      </xdr:spPr>
    </xdr:pic>
    <xdr:clientData/>
  </xdr:twoCellAnchor>
  <xdr:twoCellAnchor editAs="oneCell">
    <xdr:from>
      <xdr:col>2</xdr:col>
      <xdr:colOff>0</xdr:colOff>
      <xdr:row>60</xdr:row>
      <xdr:rowOff>0</xdr:rowOff>
    </xdr:from>
    <xdr:to>
      <xdr:col>3</xdr:col>
      <xdr:colOff>38100</xdr:colOff>
      <xdr:row>60</xdr:row>
      <xdr:rowOff>9525</xdr:rowOff>
    </xdr:to>
    <xdr:pic>
      <xdr:nvPicPr>
        <xdr:cNvPr id="2" name="Picture 2"/>
        <xdr:cNvPicPr preferRelativeResize="1">
          <a:picLocks noChangeAspect="1"/>
        </xdr:cNvPicPr>
      </xdr:nvPicPr>
      <xdr:blipFill>
        <a:blip r:embed="rId1"/>
        <a:stretch>
          <a:fillRect/>
        </a:stretch>
      </xdr:blipFill>
      <xdr:spPr>
        <a:xfrm>
          <a:off x="1285875" y="8829675"/>
          <a:ext cx="571500" cy="9525"/>
        </a:xfrm>
        <a:prstGeom prst="rect">
          <a:avLst/>
        </a:prstGeom>
        <a:noFill/>
        <a:ln w="9525" cmpd="sng">
          <a:noFill/>
        </a:ln>
      </xdr:spPr>
    </xdr:pic>
    <xdr:clientData/>
  </xdr:twoCellAnchor>
  <xdr:twoCellAnchor editAs="oneCell">
    <xdr:from>
      <xdr:col>2</xdr:col>
      <xdr:colOff>0</xdr:colOff>
      <xdr:row>60</xdr:row>
      <xdr:rowOff>0</xdr:rowOff>
    </xdr:from>
    <xdr:to>
      <xdr:col>3</xdr:col>
      <xdr:colOff>38100</xdr:colOff>
      <xdr:row>60</xdr:row>
      <xdr:rowOff>9525</xdr:rowOff>
    </xdr:to>
    <xdr:pic>
      <xdr:nvPicPr>
        <xdr:cNvPr id="3" name="Picture 3"/>
        <xdr:cNvPicPr preferRelativeResize="1">
          <a:picLocks noChangeAspect="1"/>
        </xdr:cNvPicPr>
      </xdr:nvPicPr>
      <xdr:blipFill>
        <a:blip r:embed="rId1"/>
        <a:stretch>
          <a:fillRect/>
        </a:stretch>
      </xdr:blipFill>
      <xdr:spPr>
        <a:xfrm>
          <a:off x="1285875" y="8829675"/>
          <a:ext cx="571500"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SC\VEGEYS\S&amp;OTABS\APRIL\2001tables\APR2001TA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amp;OTABS\APRIL\APR98T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Mexca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con16\Preview\fdrive\S&amp;OTABS\NOVEMBER\2000tables\Nov2000ta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SC\VEGEYS\S&amp;OTABS\NOVEMBER\2000Tables\NOV2000TA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con16\Preview\August01\Tables\Trad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11"/>
      <sheetName val="TAB12"/>
      <sheetName val="TAB13"/>
      <sheetName val="TAB14"/>
      <sheetName val="TAB17"/>
      <sheetName val="TAB19"/>
      <sheetName val="TAB20"/>
      <sheetName val="TAB24"/>
      <sheetName val="TAB26"/>
      <sheetName val="TAB29"/>
      <sheetName val="TAB30"/>
      <sheetName val="TAB31"/>
      <sheetName val="TAB32"/>
      <sheetName val="TAB33"/>
      <sheetName val="TAB34"/>
      <sheetName val="TAB37"/>
      <sheetName val="TAB38"/>
      <sheetName val="TAB39"/>
      <sheetName val="TAB40"/>
      <sheetName val="TAB41"/>
      <sheetName val="Tab42"/>
      <sheetName val="TAB47"/>
      <sheetName val="TAB48"/>
      <sheetName val="TAB49"/>
      <sheetName val="TAB50"/>
      <sheetName val="TAB51"/>
      <sheetName val="TabA-1"/>
      <sheetName val="TabA-2"/>
      <sheetName val="TabB-1"/>
      <sheetName val="TabB-2"/>
      <sheetName val="TabB-3"/>
      <sheetName val="TabB-4"/>
      <sheetName val="TAB06"/>
      <sheetName val="TAB07"/>
      <sheetName val="TAB08"/>
      <sheetName val="TAB10"/>
      <sheetName val="TAB15"/>
      <sheetName val="TAB16"/>
      <sheetName val="tab18"/>
      <sheetName val="TAB21"/>
      <sheetName val="TAB22"/>
      <sheetName val="TAB23"/>
      <sheetName val="TAB25"/>
      <sheetName val="TAB27"/>
      <sheetName val="TAB28"/>
      <sheetName val="TAB35"/>
      <sheetName val="TAB36"/>
      <sheetName val="TAB43"/>
      <sheetName val="TAB44"/>
      <sheetName val="TAB45"/>
      <sheetName val="TAB46"/>
      <sheetName val="TAB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xCan1"/>
      <sheetName val="MexCan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06"/>
      <sheetName val="TAB07"/>
      <sheetName val="TAB08"/>
      <sheetName val="tab10"/>
      <sheetName val="Tab11"/>
      <sheetName val="Tab12"/>
      <sheetName val="Tab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5"/>
      <sheetName val="Tab46"/>
      <sheetName val="Tab47"/>
      <sheetName val="Tab48"/>
      <sheetName val="Tab49"/>
      <sheetName val="Tab50"/>
      <sheetName val="Tab51"/>
      <sheetName val="Tab52"/>
      <sheetName val="Tab53"/>
      <sheetName val="Tab54"/>
      <sheetName val="TabA-1"/>
      <sheetName val="TabA-2"/>
      <sheetName val="tab0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06"/>
      <sheetName val="TAB07"/>
      <sheetName val="tab09"/>
      <sheetName val="tab10"/>
      <sheetName val="Tab11"/>
      <sheetName val="Tab12"/>
      <sheetName val="Tab13"/>
      <sheetName val="Tab14"/>
      <sheetName val="Tab15"/>
      <sheetName val="Tab16"/>
      <sheetName val="Tab17"/>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6"/>
      <sheetName val="Tab37"/>
      <sheetName val="Tab38"/>
      <sheetName val="Tab39"/>
      <sheetName val="Tab40"/>
      <sheetName val="TAB41"/>
      <sheetName val="Tab42"/>
      <sheetName val="Tab43"/>
      <sheetName val="Tab44"/>
      <sheetName val="Tab45"/>
      <sheetName val="Tab46"/>
      <sheetName val="Tab47"/>
      <sheetName val="Tab48"/>
      <sheetName val="Tab49"/>
      <sheetName val="Tab50"/>
      <sheetName val="Tab51"/>
      <sheetName val="Tab52"/>
      <sheetName val="Tab53"/>
      <sheetName val="Tab54"/>
      <sheetName val="TabA-1"/>
      <sheetName val="TabA-2"/>
      <sheetName val="Tab34"/>
      <sheetName val="Tab35"/>
      <sheetName val="TAB08"/>
      <sheetName val="TAB1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rade1"/>
      <sheetName val="Trade2"/>
      <sheetName val="Trade3"/>
      <sheetName val="Trade4"/>
      <sheetName val="Trade5"/>
      <sheetName val="Trade6"/>
      <sheetName val="Trade7"/>
      <sheetName val="Trade8"/>
      <sheetName val="Trade9"/>
      <sheetName val="Trade10"/>
      <sheetName val="Trade11"/>
    </sheetNames>
    <sheetDataSet>
      <sheetData sheetId="10">
        <row r="4">
          <cell r="B4" t="str">
            <v>--1,000 lbs--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ers.usda.gov/Briefing/Organic/"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indexed="12"/>
    <pageSetUpPr fitToPage="1"/>
  </sheetPr>
  <dimension ref="A1:AE101"/>
  <sheetViews>
    <sheetView showGridLines="0" tabSelected="1" workbookViewId="0" topLeftCell="A1">
      <selection activeCell="A1" sqref="A1"/>
    </sheetView>
  </sheetViews>
  <sheetFormatPr defaultColWidth="9.7109375" defaultRowHeight="12.75"/>
  <cols>
    <col min="1" max="1" width="13.8515625" style="36" customWidth="1"/>
    <col min="2" max="8" width="8.00390625" style="36" customWidth="1"/>
    <col min="9" max="9" width="3.00390625" style="36" customWidth="1"/>
    <col min="10" max="10" width="13.57421875" style="36" customWidth="1"/>
    <col min="11" max="16" width="7.7109375" style="36" customWidth="1"/>
    <col min="17" max="17" width="7.00390625" style="36" customWidth="1"/>
    <col min="18" max="18" width="1.1484375" style="36" customWidth="1"/>
    <col min="19" max="16384" width="9.7109375" style="36" customWidth="1"/>
  </cols>
  <sheetData>
    <row r="1" spans="1:18" ht="18.75" customHeight="1">
      <c r="A1" s="185" t="s">
        <v>410</v>
      </c>
      <c r="B1" s="35"/>
      <c r="C1" s="35"/>
      <c r="D1" s="35"/>
      <c r="E1" s="35"/>
      <c r="F1" s="35"/>
      <c r="G1" s="35"/>
      <c r="H1" s="35"/>
      <c r="I1" s="423"/>
      <c r="J1" s="35"/>
      <c r="K1" s="35"/>
      <c r="L1" s="35"/>
      <c r="M1" s="35"/>
      <c r="N1" s="35"/>
      <c r="O1" s="35"/>
      <c r="P1" s="35"/>
      <c r="Q1" s="35"/>
      <c r="R1" s="35"/>
    </row>
    <row r="2" spans="1:18" ht="12.75" customHeight="1">
      <c r="A2" s="268"/>
      <c r="B2" s="269" t="s">
        <v>56</v>
      </c>
      <c r="C2" s="271"/>
      <c r="D2" s="270"/>
      <c r="E2" s="270"/>
      <c r="F2" s="270"/>
      <c r="G2" s="270"/>
      <c r="H2" s="270"/>
      <c r="I2" s="425"/>
      <c r="J2" s="268"/>
      <c r="K2" s="269" t="s">
        <v>57</v>
      </c>
      <c r="L2" s="270"/>
      <c r="M2" s="270"/>
      <c r="N2" s="270"/>
      <c r="O2" s="270"/>
      <c r="P2" s="270"/>
      <c r="Q2" s="270"/>
      <c r="R2" s="270"/>
    </row>
    <row r="3" spans="1:18" ht="12.75" customHeight="1">
      <c r="A3" s="272" t="s">
        <v>58</v>
      </c>
      <c r="B3" s="273">
        <v>2002</v>
      </c>
      <c r="C3" s="273">
        <v>2003</v>
      </c>
      <c r="D3" s="273">
        <v>2004</v>
      </c>
      <c r="E3" s="273">
        <v>2005</v>
      </c>
      <c r="F3" s="273">
        <v>2006</v>
      </c>
      <c r="G3" s="273">
        <v>2007</v>
      </c>
      <c r="H3" s="273">
        <v>2008</v>
      </c>
      <c r="I3" s="268"/>
      <c r="J3" s="272" t="s">
        <v>59</v>
      </c>
      <c r="K3" s="273">
        <v>2002</v>
      </c>
      <c r="L3" s="273">
        <v>2003</v>
      </c>
      <c r="M3" s="273">
        <v>2004</v>
      </c>
      <c r="N3" s="273">
        <v>2005</v>
      </c>
      <c r="O3" s="273">
        <v>2006</v>
      </c>
      <c r="P3" s="273">
        <v>2007</v>
      </c>
      <c r="Q3" s="273">
        <v>2008</v>
      </c>
      <c r="R3" s="273"/>
    </row>
    <row r="4" spans="1:17" s="492" customFormat="1" ht="12.75" customHeight="1">
      <c r="A4" s="488"/>
      <c r="B4" s="489" t="s">
        <v>3</v>
      </c>
      <c r="C4" s="490"/>
      <c r="D4" s="490"/>
      <c r="E4" s="490"/>
      <c r="F4" s="490"/>
      <c r="G4" s="490"/>
      <c r="H4" s="490"/>
      <c r="I4" s="488"/>
      <c r="J4" s="488"/>
      <c r="K4" s="489" t="s">
        <v>3</v>
      </c>
      <c r="L4" s="490"/>
      <c r="M4" s="490"/>
      <c r="N4" s="490"/>
      <c r="O4" s="491"/>
      <c r="P4" s="491"/>
      <c r="Q4" s="491"/>
    </row>
    <row r="5" spans="1:14" ht="4.5" customHeight="1">
      <c r="A5" s="37"/>
      <c r="B5" s="40" t="s">
        <v>21</v>
      </c>
      <c r="C5" s="37"/>
      <c r="D5" s="37"/>
      <c r="E5" s="37"/>
      <c r="F5" s="37"/>
      <c r="G5" s="37"/>
      <c r="H5" s="37"/>
      <c r="I5" s="37"/>
      <c r="J5" s="37"/>
      <c r="K5" s="40" t="s">
        <v>21</v>
      </c>
      <c r="L5" s="37"/>
      <c r="M5" s="37"/>
      <c r="N5" s="37"/>
    </row>
    <row r="6" spans="1:17" ht="10.5" customHeight="1">
      <c r="A6" s="40" t="s">
        <v>60</v>
      </c>
      <c r="B6" s="536">
        <v>12</v>
      </c>
      <c r="C6" s="536">
        <v>11.6</v>
      </c>
      <c r="D6" s="536">
        <v>12</v>
      </c>
      <c r="E6" s="536">
        <v>12.5</v>
      </c>
      <c r="F6" s="536">
        <v>13.2</v>
      </c>
      <c r="G6" s="536">
        <v>13.9</v>
      </c>
      <c r="H6" s="536">
        <v>14</v>
      </c>
      <c r="I6" s="37"/>
      <c r="J6" s="40" t="s">
        <v>60</v>
      </c>
      <c r="K6" s="536">
        <v>23</v>
      </c>
      <c r="L6" s="536">
        <v>20.9</v>
      </c>
      <c r="M6" s="536">
        <v>22.4</v>
      </c>
      <c r="N6" s="536">
        <v>22.2</v>
      </c>
      <c r="O6" s="536">
        <v>22.2</v>
      </c>
      <c r="P6" s="536">
        <v>20.7</v>
      </c>
      <c r="Q6" s="536">
        <v>20.2</v>
      </c>
    </row>
    <row r="7" spans="1:17" ht="10.5" customHeight="1">
      <c r="A7" s="42" t="s">
        <v>61</v>
      </c>
      <c r="B7" s="536">
        <v>25.5</v>
      </c>
      <c r="C7" s="536">
        <v>25.5</v>
      </c>
      <c r="D7" s="536">
        <v>26.5</v>
      </c>
      <c r="E7" s="536">
        <v>27</v>
      </c>
      <c r="F7" s="536">
        <v>28.5</v>
      </c>
      <c r="G7" s="536">
        <v>30</v>
      </c>
      <c r="H7" s="536">
        <v>28.5</v>
      </c>
      <c r="I7" s="37"/>
      <c r="J7" s="42" t="s">
        <v>62</v>
      </c>
      <c r="K7" s="536">
        <v>33.5</v>
      </c>
      <c r="L7" s="536">
        <v>33.5</v>
      </c>
      <c r="M7" s="536">
        <v>33.5</v>
      </c>
      <c r="N7" s="536">
        <v>33</v>
      </c>
      <c r="O7" s="536">
        <v>34.5</v>
      </c>
      <c r="P7" s="536">
        <v>35</v>
      </c>
      <c r="Q7" s="536">
        <v>36</v>
      </c>
    </row>
    <row r="8" spans="1:17" ht="10.5" customHeight="1">
      <c r="A8" s="40" t="s">
        <v>63</v>
      </c>
      <c r="B8" s="537">
        <v>11.6</v>
      </c>
      <c r="C8" s="537">
        <v>11.4</v>
      </c>
      <c r="D8" s="537">
        <v>12.5</v>
      </c>
      <c r="E8" s="537">
        <v>12.6</v>
      </c>
      <c r="F8" s="537">
        <v>10.6</v>
      </c>
      <c r="G8" s="537">
        <v>9.5</v>
      </c>
      <c r="H8" s="536">
        <v>12.9</v>
      </c>
      <c r="I8" s="37"/>
      <c r="J8" s="40" t="s">
        <v>63</v>
      </c>
      <c r="K8" s="536">
        <v>8</v>
      </c>
      <c r="L8" s="536">
        <v>7.9</v>
      </c>
      <c r="M8" s="536">
        <v>8.2</v>
      </c>
      <c r="N8" s="536">
        <v>7.7</v>
      </c>
      <c r="O8" s="536">
        <v>7</v>
      </c>
      <c r="P8" s="536">
        <v>6.9</v>
      </c>
      <c r="Q8" s="536">
        <v>7.9</v>
      </c>
    </row>
    <row r="9" spans="1:17" ht="10.5" customHeight="1">
      <c r="A9" s="40" t="s">
        <v>6</v>
      </c>
      <c r="B9" s="538" t="s">
        <v>176</v>
      </c>
      <c r="C9" s="538" t="s">
        <v>176</v>
      </c>
      <c r="D9" s="538" t="s">
        <v>176</v>
      </c>
      <c r="E9" s="538" t="s">
        <v>176</v>
      </c>
      <c r="F9" s="538" t="s">
        <v>176</v>
      </c>
      <c r="G9" s="538" t="s">
        <v>176</v>
      </c>
      <c r="H9" s="538" t="s">
        <v>176</v>
      </c>
      <c r="I9" s="37"/>
      <c r="J9" s="40" t="s">
        <v>6</v>
      </c>
      <c r="K9" s="536">
        <v>28.5</v>
      </c>
      <c r="L9" s="536">
        <v>29.1</v>
      </c>
      <c r="M9" s="536">
        <v>32.1</v>
      </c>
      <c r="N9" s="536">
        <v>31.7</v>
      </c>
      <c r="O9" s="536">
        <v>31.6</v>
      </c>
      <c r="P9" s="536">
        <v>31.4</v>
      </c>
      <c r="Q9" s="536">
        <v>30.1</v>
      </c>
    </row>
    <row r="10" spans="1:17" ht="10.5" customHeight="1">
      <c r="A10" s="40" t="s">
        <v>64</v>
      </c>
      <c r="B10" s="536">
        <v>20.3</v>
      </c>
      <c r="C10" s="536">
        <v>20.5</v>
      </c>
      <c r="D10" s="536">
        <v>21.1</v>
      </c>
      <c r="E10" s="536">
        <v>19.5</v>
      </c>
      <c r="F10" s="536">
        <v>21.2</v>
      </c>
      <c r="G10" s="536">
        <v>19.1</v>
      </c>
      <c r="H10" s="536">
        <v>18.9</v>
      </c>
      <c r="I10" s="37"/>
      <c r="J10" s="40" t="s">
        <v>64</v>
      </c>
      <c r="K10" s="536">
        <v>19.4</v>
      </c>
      <c r="L10" s="536">
        <v>19.9</v>
      </c>
      <c r="M10" s="536">
        <v>19.3</v>
      </c>
      <c r="N10" s="536">
        <v>19.1</v>
      </c>
      <c r="O10" s="536">
        <v>18.6</v>
      </c>
      <c r="P10" s="536">
        <v>16.4</v>
      </c>
      <c r="Q10" s="536">
        <v>15.9</v>
      </c>
    </row>
    <row r="11" spans="1:17" ht="10.5" customHeight="1">
      <c r="A11" s="42" t="s">
        <v>65</v>
      </c>
      <c r="B11" s="536">
        <v>7.5</v>
      </c>
      <c r="C11" s="536">
        <v>7.5</v>
      </c>
      <c r="D11" s="536">
        <v>7.5</v>
      </c>
      <c r="E11" s="536">
        <v>8.5</v>
      </c>
      <c r="F11" s="536">
        <v>8.5</v>
      </c>
      <c r="G11" s="536">
        <v>8.2</v>
      </c>
      <c r="H11" s="536">
        <v>8</v>
      </c>
      <c r="I11" s="37"/>
      <c r="J11" s="42" t="s">
        <v>66</v>
      </c>
      <c r="K11" s="536">
        <v>8.5</v>
      </c>
      <c r="L11" s="536">
        <v>8.5</v>
      </c>
      <c r="M11" s="536">
        <v>8.5</v>
      </c>
      <c r="N11" s="536">
        <v>9.8</v>
      </c>
      <c r="O11" s="536">
        <v>8.5</v>
      </c>
      <c r="P11" s="536">
        <v>8.2</v>
      </c>
      <c r="Q11" s="536">
        <v>7.8</v>
      </c>
    </row>
    <row r="12" spans="1:17" ht="10.5" customHeight="1">
      <c r="A12" s="42" t="s">
        <v>67</v>
      </c>
      <c r="B12" s="536">
        <v>7.5</v>
      </c>
      <c r="C12" s="536">
        <v>7.5</v>
      </c>
      <c r="D12" s="536">
        <v>7.7</v>
      </c>
      <c r="E12" s="536">
        <v>7.5</v>
      </c>
      <c r="F12" s="536">
        <v>7.6</v>
      </c>
      <c r="G12" s="536">
        <v>7.6</v>
      </c>
      <c r="H12" s="536">
        <v>7.3</v>
      </c>
      <c r="I12" s="37"/>
      <c r="J12" s="42" t="s">
        <v>68</v>
      </c>
      <c r="K12" s="536">
        <v>5.2</v>
      </c>
      <c r="L12" s="536">
        <v>5.2</v>
      </c>
      <c r="M12" s="536">
        <v>5.3</v>
      </c>
      <c r="N12" s="536">
        <v>5.1</v>
      </c>
      <c r="O12" s="536">
        <v>5.6</v>
      </c>
      <c r="P12" s="536">
        <v>5.7</v>
      </c>
      <c r="Q12" s="536">
        <v>6</v>
      </c>
    </row>
    <row r="13" spans="1:17" ht="10.5" customHeight="1">
      <c r="A13" s="40" t="s">
        <v>69</v>
      </c>
      <c r="B13" s="536">
        <v>8.4</v>
      </c>
      <c r="C13" s="536">
        <v>7.9</v>
      </c>
      <c r="D13" s="536">
        <v>8.4</v>
      </c>
      <c r="E13" s="536">
        <v>7.8</v>
      </c>
      <c r="F13" s="536">
        <v>3.6</v>
      </c>
      <c r="G13" s="536">
        <v>7</v>
      </c>
      <c r="H13" s="536">
        <v>6.4</v>
      </c>
      <c r="I13" s="37"/>
      <c r="J13" s="40" t="s">
        <v>69</v>
      </c>
      <c r="K13" s="536">
        <v>38.8</v>
      </c>
      <c r="L13" s="536">
        <v>38.3</v>
      </c>
      <c r="M13" s="536">
        <v>36.2</v>
      </c>
      <c r="N13" s="536">
        <v>32.5</v>
      </c>
      <c r="O13" s="536">
        <v>33</v>
      </c>
      <c r="P13" s="536">
        <v>32.5</v>
      </c>
      <c r="Q13" s="536">
        <v>34.7</v>
      </c>
    </row>
    <row r="14" spans="1:17" ht="10.5" customHeight="1">
      <c r="A14" s="40" t="s">
        <v>70</v>
      </c>
      <c r="B14" s="538" t="s">
        <v>176</v>
      </c>
      <c r="C14" s="538" t="s">
        <v>176</v>
      </c>
      <c r="D14" s="538" t="s">
        <v>176</v>
      </c>
      <c r="E14" s="538" t="s">
        <v>176</v>
      </c>
      <c r="F14" s="538" t="s">
        <v>176</v>
      </c>
      <c r="G14" s="538" t="s">
        <v>176</v>
      </c>
      <c r="H14" s="538" t="s">
        <v>176</v>
      </c>
      <c r="I14" s="37"/>
      <c r="J14" s="40" t="s">
        <v>70</v>
      </c>
      <c r="K14" s="536">
        <v>7.1</v>
      </c>
      <c r="L14" s="536">
        <v>8</v>
      </c>
      <c r="M14" s="536">
        <v>7.4</v>
      </c>
      <c r="N14" s="536">
        <v>7.2</v>
      </c>
      <c r="O14" s="536">
        <v>7.2</v>
      </c>
      <c r="P14" s="536">
        <v>7.2</v>
      </c>
      <c r="Q14" s="536">
        <v>7.2</v>
      </c>
    </row>
    <row r="15" spans="1:17" ht="10.5" customHeight="1">
      <c r="A15" s="40" t="s">
        <v>71</v>
      </c>
      <c r="B15" s="538" t="s">
        <v>176</v>
      </c>
      <c r="C15" s="538" t="s">
        <v>176</v>
      </c>
      <c r="D15" s="538" t="s">
        <v>176</v>
      </c>
      <c r="E15" s="538" t="s">
        <v>176</v>
      </c>
      <c r="F15" s="538" t="s">
        <v>176</v>
      </c>
      <c r="G15" s="538" t="s">
        <v>176</v>
      </c>
      <c r="H15" s="538" t="s">
        <v>176</v>
      </c>
      <c r="I15" s="37"/>
      <c r="J15" s="40" t="s">
        <v>72</v>
      </c>
      <c r="K15" s="536">
        <v>5.7</v>
      </c>
      <c r="L15" s="536">
        <v>5.2</v>
      </c>
      <c r="M15" s="536">
        <v>4.7</v>
      </c>
      <c r="N15" s="536">
        <v>4.1</v>
      </c>
      <c r="O15" s="536">
        <v>3.9</v>
      </c>
      <c r="P15" s="536">
        <v>3.85</v>
      </c>
      <c r="Q15" s="536">
        <v>3.85</v>
      </c>
    </row>
    <row r="16" spans="1:17" ht="10.5" customHeight="1">
      <c r="A16" s="42" t="s">
        <v>73</v>
      </c>
      <c r="B16" s="537">
        <v>64.5</v>
      </c>
      <c r="C16" s="537">
        <v>63</v>
      </c>
      <c r="D16" s="537">
        <v>61.5</v>
      </c>
      <c r="E16" s="537">
        <v>67.6</v>
      </c>
      <c r="F16" s="537">
        <v>67.6</v>
      </c>
      <c r="G16" s="537">
        <v>67.4</v>
      </c>
      <c r="H16" s="536">
        <v>62</v>
      </c>
      <c r="I16" s="37"/>
      <c r="J16" s="42" t="s">
        <v>73</v>
      </c>
      <c r="K16" s="536">
        <v>36.7</v>
      </c>
      <c r="L16" s="536">
        <v>37.2</v>
      </c>
      <c r="M16" s="536">
        <v>43.85</v>
      </c>
      <c r="N16" s="536">
        <v>34.6</v>
      </c>
      <c r="O16" s="536">
        <v>34.3</v>
      </c>
      <c r="P16" s="536">
        <v>37.2</v>
      </c>
      <c r="Q16" s="536">
        <v>36</v>
      </c>
    </row>
    <row r="17" spans="1:17" ht="10.5" customHeight="1">
      <c r="A17" s="40" t="s">
        <v>74</v>
      </c>
      <c r="B17" s="538" t="s">
        <v>176</v>
      </c>
      <c r="C17" s="538" t="s">
        <v>176</v>
      </c>
      <c r="D17" s="538" t="s">
        <v>176</v>
      </c>
      <c r="E17" s="538" t="s">
        <v>176</v>
      </c>
      <c r="F17" s="538" t="s">
        <v>176</v>
      </c>
      <c r="G17" s="538" t="s">
        <v>176</v>
      </c>
      <c r="H17" s="538" t="s">
        <v>176</v>
      </c>
      <c r="I17" s="37"/>
      <c r="J17" s="40" t="s">
        <v>75</v>
      </c>
      <c r="K17" s="536">
        <v>33.7</v>
      </c>
      <c r="L17" s="536">
        <v>32.5</v>
      </c>
      <c r="M17" s="536">
        <v>35.7</v>
      </c>
      <c r="N17" s="536">
        <v>36</v>
      </c>
      <c r="O17" s="536">
        <v>34.6</v>
      </c>
      <c r="P17" s="536">
        <v>31</v>
      </c>
      <c r="Q17" s="536">
        <f>31.6/33.8*P17</f>
        <v>28.982248520710062</v>
      </c>
    </row>
    <row r="18" spans="1:17" ht="10.5" customHeight="1">
      <c r="A18" s="40" t="s">
        <v>76</v>
      </c>
      <c r="B18" s="536">
        <v>5.6</v>
      </c>
      <c r="C18" s="536">
        <v>5.8</v>
      </c>
      <c r="D18" s="536">
        <v>6.1</v>
      </c>
      <c r="E18" s="536">
        <v>6.3</v>
      </c>
      <c r="F18" s="536">
        <v>6.1</v>
      </c>
      <c r="G18" s="536">
        <v>6.1</v>
      </c>
      <c r="H18" s="536">
        <v>5.8</v>
      </c>
      <c r="I18" s="37"/>
      <c r="J18" s="40" t="s">
        <v>76</v>
      </c>
      <c r="K18" s="536">
        <v>7.6</v>
      </c>
      <c r="L18" s="536">
        <v>7.5</v>
      </c>
      <c r="M18" s="536">
        <v>7.6</v>
      </c>
      <c r="N18" s="536">
        <v>8</v>
      </c>
      <c r="O18" s="536">
        <v>7.6</v>
      </c>
      <c r="P18" s="536">
        <v>7.4</v>
      </c>
      <c r="Q18" s="536">
        <v>7.1</v>
      </c>
    </row>
    <row r="19" spans="1:17" ht="10.5" customHeight="1">
      <c r="A19" s="40" t="s">
        <v>77</v>
      </c>
      <c r="B19" s="536">
        <v>2.2</v>
      </c>
      <c r="C19" s="536">
        <v>1.7</v>
      </c>
      <c r="D19" s="536">
        <v>2</v>
      </c>
      <c r="E19" s="536">
        <v>2.1</v>
      </c>
      <c r="F19" s="536">
        <v>2.2</v>
      </c>
      <c r="G19" s="536">
        <v>0.8</v>
      </c>
      <c r="H19" s="536">
        <v>0.8</v>
      </c>
      <c r="I19" s="37"/>
      <c r="J19" s="40" t="s">
        <v>77</v>
      </c>
      <c r="K19" s="538" t="s">
        <v>352</v>
      </c>
      <c r="L19" s="538" t="s">
        <v>352</v>
      </c>
      <c r="M19" s="538" t="s">
        <v>352</v>
      </c>
      <c r="N19" s="538" t="s">
        <v>352</v>
      </c>
      <c r="O19" s="538" t="s">
        <v>352</v>
      </c>
      <c r="P19" s="538" t="s">
        <v>352</v>
      </c>
      <c r="Q19" s="538" t="s">
        <v>352</v>
      </c>
    </row>
    <row r="20" spans="1:17" ht="10.5" customHeight="1">
      <c r="A20" s="40" t="s">
        <v>78</v>
      </c>
      <c r="B20" s="536">
        <v>12.5</v>
      </c>
      <c r="C20" s="536">
        <v>12.6</v>
      </c>
      <c r="D20" s="536">
        <v>13</v>
      </c>
      <c r="E20" s="536">
        <v>12.5</v>
      </c>
      <c r="F20" s="536">
        <v>10</v>
      </c>
      <c r="G20" s="536">
        <v>10</v>
      </c>
      <c r="H20" s="536">
        <v>9.1</v>
      </c>
      <c r="I20" s="37"/>
      <c r="J20" s="40" t="s">
        <v>78</v>
      </c>
      <c r="K20" s="536">
        <v>28.1</v>
      </c>
      <c r="L20" s="536">
        <v>27</v>
      </c>
      <c r="M20" s="536">
        <v>29</v>
      </c>
      <c r="N20" s="536">
        <v>27.5</v>
      </c>
      <c r="O20" s="536">
        <v>28.5</v>
      </c>
      <c r="P20" s="536">
        <v>27.9</v>
      </c>
      <c r="Q20" s="536">
        <v>24.5</v>
      </c>
    </row>
    <row r="21" spans="1:17" ht="10.5" customHeight="1">
      <c r="A21" s="40" t="s">
        <v>19</v>
      </c>
      <c r="B21" s="538" t="s">
        <v>176</v>
      </c>
      <c r="C21" s="538" t="s">
        <v>176</v>
      </c>
      <c r="D21" s="538" t="s">
        <v>176</v>
      </c>
      <c r="E21" s="538" t="s">
        <v>176</v>
      </c>
      <c r="F21" s="538" t="s">
        <v>176</v>
      </c>
      <c r="G21" s="538" t="s">
        <v>176</v>
      </c>
      <c r="H21" s="538" t="s">
        <v>176</v>
      </c>
      <c r="I21" s="37"/>
      <c r="J21" s="40" t="s">
        <v>79</v>
      </c>
      <c r="K21" s="536">
        <v>47.8</v>
      </c>
      <c r="L21" s="536">
        <v>43</v>
      </c>
      <c r="M21" s="536">
        <v>43</v>
      </c>
      <c r="N21" s="536">
        <v>40.4</v>
      </c>
      <c r="O21" s="536">
        <v>38.7</v>
      </c>
      <c r="P21" s="536">
        <v>38.8</v>
      </c>
      <c r="Q21" s="536">
        <v>38.5</v>
      </c>
    </row>
    <row r="22" spans="1:19" ht="12.75" customHeight="1">
      <c r="A22" s="274" t="s">
        <v>80</v>
      </c>
      <c r="B22" s="539">
        <f aca="true" t="shared" si="0" ref="B22:H22">SUM(B6:B20)</f>
        <v>177.6</v>
      </c>
      <c r="C22" s="539">
        <f t="shared" si="0"/>
        <v>175</v>
      </c>
      <c r="D22" s="539">
        <f t="shared" si="0"/>
        <v>178.29999999999998</v>
      </c>
      <c r="E22" s="539">
        <f t="shared" si="0"/>
        <v>183.9</v>
      </c>
      <c r="F22" s="539">
        <f t="shared" si="0"/>
        <v>179.09999999999997</v>
      </c>
      <c r="G22" s="539">
        <f t="shared" si="0"/>
        <v>179.6</v>
      </c>
      <c r="H22" s="539">
        <f t="shared" si="0"/>
        <v>173.70000000000002</v>
      </c>
      <c r="I22" s="276"/>
      <c r="J22" s="274" t="s">
        <v>80</v>
      </c>
      <c r="K22" s="539">
        <f aca="true" t="shared" si="1" ref="K22:Q22">SUM(K6:K21)</f>
        <v>331.59999999999997</v>
      </c>
      <c r="L22" s="539">
        <f t="shared" si="1"/>
        <v>323.7</v>
      </c>
      <c r="M22" s="539">
        <f t="shared" si="1"/>
        <v>336.75</v>
      </c>
      <c r="N22" s="539">
        <f t="shared" si="1"/>
        <v>318.9</v>
      </c>
      <c r="O22" s="539">
        <f t="shared" si="1"/>
        <v>315.79999999999995</v>
      </c>
      <c r="P22" s="539">
        <f t="shared" si="1"/>
        <v>310.15000000000003</v>
      </c>
      <c r="Q22" s="539">
        <f t="shared" si="1"/>
        <v>304.7322485207101</v>
      </c>
      <c r="S22" s="206"/>
    </row>
    <row r="23" spans="1:18" ht="12" customHeight="1">
      <c r="A23" s="34"/>
      <c r="B23" s="34"/>
      <c r="C23" s="34"/>
      <c r="D23" s="34"/>
      <c r="E23" s="34"/>
      <c r="F23" s="34"/>
      <c r="G23" s="34"/>
      <c r="H23" s="34"/>
      <c r="I23" s="421"/>
      <c r="J23" s="34"/>
      <c r="K23" s="34"/>
      <c r="L23" s="34"/>
      <c r="M23" s="34"/>
      <c r="N23" s="207"/>
      <c r="O23" s="34"/>
      <c r="P23" s="34"/>
      <c r="Q23" s="34"/>
      <c r="R23" s="35"/>
    </row>
    <row r="24" spans="1:18" ht="12.75" customHeight="1">
      <c r="A24" s="268"/>
      <c r="B24" s="269" t="s">
        <v>81</v>
      </c>
      <c r="C24" s="270"/>
      <c r="D24" s="270"/>
      <c r="E24" s="270"/>
      <c r="F24" s="270"/>
      <c r="G24" s="270"/>
      <c r="H24" s="270"/>
      <c r="I24" s="312"/>
      <c r="J24" s="422"/>
      <c r="K24" s="269" t="s">
        <v>82</v>
      </c>
      <c r="L24" s="270"/>
      <c r="M24" s="270"/>
      <c r="N24" s="270"/>
      <c r="O24" s="270"/>
      <c r="P24" s="270"/>
      <c r="Q24" s="270"/>
      <c r="R24" s="270"/>
    </row>
    <row r="25" spans="1:18" ht="12.75" customHeight="1">
      <c r="A25" s="272" t="s">
        <v>58</v>
      </c>
      <c r="B25" s="273">
        <v>2002</v>
      </c>
      <c r="C25" s="273">
        <v>2003</v>
      </c>
      <c r="D25" s="273">
        <v>2004</v>
      </c>
      <c r="E25" s="273">
        <v>2005</v>
      </c>
      <c r="F25" s="273">
        <v>2006</v>
      </c>
      <c r="G25" s="273">
        <v>2007</v>
      </c>
      <c r="H25" s="273">
        <v>2008</v>
      </c>
      <c r="I25" s="268"/>
      <c r="J25" s="272" t="s">
        <v>59</v>
      </c>
      <c r="K25" s="273">
        <v>2002</v>
      </c>
      <c r="L25" s="273">
        <v>2003</v>
      </c>
      <c r="M25" s="273">
        <v>2004</v>
      </c>
      <c r="N25" s="273">
        <v>2005</v>
      </c>
      <c r="O25" s="273">
        <v>2006</v>
      </c>
      <c r="P25" s="273">
        <v>2007</v>
      </c>
      <c r="Q25" s="273">
        <v>2008</v>
      </c>
      <c r="R25" s="273"/>
    </row>
    <row r="26" spans="1:17" s="492" customFormat="1" ht="12.75" customHeight="1">
      <c r="A26" s="488"/>
      <c r="B26" s="489" t="s">
        <v>3</v>
      </c>
      <c r="C26" s="490"/>
      <c r="D26" s="490"/>
      <c r="E26" s="490"/>
      <c r="F26" s="490"/>
      <c r="G26" s="490"/>
      <c r="H26" s="490"/>
      <c r="I26" s="488"/>
      <c r="J26" s="488"/>
      <c r="K26" s="489" t="s">
        <v>3</v>
      </c>
      <c r="L26" s="490"/>
      <c r="M26" s="490"/>
      <c r="N26" s="490"/>
      <c r="O26" s="491"/>
      <c r="P26" s="491"/>
      <c r="Q26" s="491"/>
    </row>
    <row r="27" spans="1:14" ht="4.5" customHeight="1">
      <c r="A27" s="37"/>
      <c r="B27" s="37"/>
      <c r="C27" s="37"/>
      <c r="D27" s="37"/>
      <c r="E27" s="37"/>
      <c r="F27" s="37"/>
      <c r="G27" s="37"/>
      <c r="H27" s="37"/>
      <c r="I27" s="37"/>
      <c r="J27" s="37"/>
      <c r="K27" s="37"/>
      <c r="L27" s="37"/>
      <c r="M27" s="37"/>
      <c r="N27" s="37"/>
    </row>
    <row r="28" spans="1:31" ht="10.5" customHeight="1">
      <c r="A28" s="40" t="s">
        <v>60</v>
      </c>
      <c r="B28" s="536">
        <v>20.2</v>
      </c>
      <c r="C28" s="536">
        <v>19.2</v>
      </c>
      <c r="D28" s="536">
        <v>17.2</v>
      </c>
      <c r="E28" s="536">
        <v>18.8</v>
      </c>
      <c r="F28" s="536">
        <v>20.9</v>
      </c>
      <c r="G28" s="536">
        <v>20.4</v>
      </c>
      <c r="H28" s="536">
        <v>16.1</v>
      </c>
      <c r="I28" s="44"/>
      <c r="J28" s="45" t="s">
        <v>60</v>
      </c>
      <c r="K28" s="536">
        <v>17.7</v>
      </c>
      <c r="L28" s="536">
        <v>17</v>
      </c>
      <c r="M28" s="536">
        <v>18</v>
      </c>
      <c r="N28" s="536">
        <v>18.2</v>
      </c>
      <c r="O28" s="536">
        <v>13.1</v>
      </c>
      <c r="P28" s="536">
        <v>18.5</v>
      </c>
      <c r="Q28" s="536">
        <v>16.2</v>
      </c>
      <c r="S28" s="46"/>
      <c r="T28" s="46"/>
      <c r="U28" s="46"/>
      <c r="V28" s="46"/>
      <c r="W28" s="46"/>
      <c r="X28" s="46"/>
      <c r="Y28" s="46"/>
      <c r="Z28" s="46"/>
      <c r="AA28" s="46"/>
      <c r="AB28" s="46"/>
      <c r="AC28" s="46"/>
      <c r="AD28" s="46"/>
      <c r="AE28" s="46"/>
    </row>
    <row r="29" spans="1:31" ht="10.5" customHeight="1">
      <c r="A29" s="42" t="s">
        <v>61</v>
      </c>
      <c r="B29" s="536">
        <v>32.5</v>
      </c>
      <c r="C29" s="536">
        <v>33</v>
      </c>
      <c r="D29" s="536">
        <v>32.5</v>
      </c>
      <c r="E29" s="536">
        <v>33</v>
      </c>
      <c r="F29" s="536">
        <v>34</v>
      </c>
      <c r="G29" s="536">
        <v>33</v>
      </c>
      <c r="H29" s="536">
        <v>32</v>
      </c>
      <c r="I29" s="44"/>
      <c r="J29" s="47" t="s">
        <v>62</v>
      </c>
      <c r="K29" s="536">
        <v>27</v>
      </c>
      <c r="L29" s="536">
        <v>28</v>
      </c>
      <c r="M29" s="536">
        <v>29.5</v>
      </c>
      <c r="N29" s="536">
        <v>30</v>
      </c>
      <c r="O29" s="536">
        <v>30</v>
      </c>
      <c r="P29" s="536">
        <v>28</v>
      </c>
      <c r="Q29" s="536">
        <v>28</v>
      </c>
      <c r="S29" s="46"/>
      <c r="T29" s="46"/>
      <c r="U29" s="46"/>
      <c r="V29" s="46"/>
      <c r="W29" s="46"/>
      <c r="X29" s="46"/>
      <c r="Y29" s="46"/>
      <c r="Z29" s="46"/>
      <c r="AA29" s="46"/>
      <c r="AB29" s="46"/>
      <c r="AC29" s="46"/>
      <c r="AD29" s="46"/>
      <c r="AE29" s="46"/>
    </row>
    <row r="30" spans="1:31" ht="10.5" customHeight="1">
      <c r="A30" s="40" t="s">
        <v>63</v>
      </c>
      <c r="B30" s="536">
        <v>14.2</v>
      </c>
      <c r="C30" s="536">
        <v>12.3</v>
      </c>
      <c r="D30" s="536">
        <v>12.9</v>
      </c>
      <c r="E30" s="536">
        <v>12.7</v>
      </c>
      <c r="F30" s="536">
        <v>13.3</v>
      </c>
      <c r="G30" s="536">
        <v>15</v>
      </c>
      <c r="H30" s="536">
        <v>13.1</v>
      </c>
      <c r="I30" s="44"/>
      <c r="J30" s="45" t="s">
        <v>63</v>
      </c>
      <c r="K30" s="536">
        <v>6.9</v>
      </c>
      <c r="L30" s="536">
        <v>6.5</v>
      </c>
      <c r="M30" s="536">
        <v>6</v>
      </c>
      <c r="N30" s="536">
        <v>6.5</v>
      </c>
      <c r="O30" s="536">
        <v>6.6</v>
      </c>
      <c r="P30" s="536">
        <v>6.3</v>
      </c>
      <c r="Q30" s="536">
        <v>5.77</v>
      </c>
      <c r="S30" s="46"/>
      <c r="T30" s="46"/>
      <c r="U30" s="46"/>
      <c r="V30" s="46"/>
      <c r="W30" s="46"/>
      <c r="X30" s="46"/>
      <c r="Y30" s="46"/>
      <c r="Z30" s="46"/>
      <c r="AA30" s="46"/>
      <c r="AB30" s="46"/>
      <c r="AC30" s="46"/>
      <c r="AD30" s="46"/>
      <c r="AE30" s="46"/>
    </row>
    <row r="31" spans="1:17" ht="10.5" customHeight="1">
      <c r="A31" s="40" t="s">
        <v>6</v>
      </c>
      <c r="B31" s="536">
        <v>46.6</v>
      </c>
      <c r="C31" s="536">
        <v>42.4</v>
      </c>
      <c r="D31" s="536">
        <v>40.3</v>
      </c>
      <c r="E31" s="536">
        <v>39.5</v>
      </c>
      <c r="F31" s="536">
        <v>35.9</v>
      </c>
      <c r="G31" s="536">
        <v>36.5</v>
      </c>
      <c r="H31" s="536">
        <v>34</v>
      </c>
      <c r="I31" s="44"/>
      <c r="J31" s="45" t="s">
        <v>6</v>
      </c>
      <c r="K31" s="536">
        <v>8.2</v>
      </c>
      <c r="L31" s="536">
        <v>8.4</v>
      </c>
      <c r="M31" s="536">
        <v>8.5</v>
      </c>
      <c r="N31" s="536">
        <v>12.3</v>
      </c>
      <c r="O31" s="536">
        <v>12.4</v>
      </c>
      <c r="P31" s="536">
        <v>12.1</v>
      </c>
      <c r="Q31" s="536">
        <v>12.1</v>
      </c>
    </row>
    <row r="32" spans="1:31" ht="10.5" customHeight="1">
      <c r="A32" s="40" t="s">
        <v>64</v>
      </c>
      <c r="B32" s="536">
        <v>20</v>
      </c>
      <c r="C32" s="536">
        <v>19.2</v>
      </c>
      <c r="D32" s="536">
        <v>18.9</v>
      </c>
      <c r="E32" s="536">
        <v>17.5</v>
      </c>
      <c r="F32" s="536">
        <v>18.5</v>
      </c>
      <c r="G32" s="536">
        <v>20.7</v>
      </c>
      <c r="H32" s="536">
        <v>21.6</v>
      </c>
      <c r="I32" s="44"/>
      <c r="J32" s="45" t="s">
        <v>64</v>
      </c>
      <c r="K32" s="536">
        <v>15.7</v>
      </c>
      <c r="L32" s="536">
        <v>14.7</v>
      </c>
      <c r="M32" s="536">
        <v>13.5</v>
      </c>
      <c r="N32" s="536">
        <v>16.2</v>
      </c>
      <c r="O32" s="536">
        <v>15.2</v>
      </c>
      <c r="P32" s="536">
        <v>19.1</v>
      </c>
      <c r="Q32" s="536">
        <v>19.3</v>
      </c>
      <c r="S32" s="46"/>
      <c r="T32" s="46"/>
      <c r="U32" s="46"/>
      <c r="V32" s="46"/>
      <c r="W32" s="46"/>
      <c r="X32" s="46"/>
      <c r="Y32" s="46"/>
      <c r="Z32" s="46"/>
      <c r="AA32" s="46"/>
      <c r="AB32" s="46"/>
      <c r="AC32" s="46"/>
      <c r="AD32" s="46"/>
      <c r="AE32" s="46"/>
    </row>
    <row r="33" spans="1:31" ht="10.5" customHeight="1">
      <c r="A33" s="42" t="s">
        <v>65</v>
      </c>
      <c r="B33" s="536">
        <v>9.5</v>
      </c>
      <c r="C33" s="536">
        <v>9</v>
      </c>
      <c r="D33" s="536">
        <v>8</v>
      </c>
      <c r="E33" s="536">
        <v>9</v>
      </c>
      <c r="F33" s="536">
        <v>9</v>
      </c>
      <c r="G33" s="536">
        <v>8.8</v>
      </c>
      <c r="H33" s="536">
        <v>8.6</v>
      </c>
      <c r="I33" s="44"/>
      <c r="J33" s="47" t="s">
        <v>66</v>
      </c>
      <c r="K33" s="536">
        <v>10</v>
      </c>
      <c r="L33" s="536">
        <v>9</v>
      </c>
      <c r="M33" s="536">
        <v>8</v>
      </c>
      <c r="N33" s="536">
        <v>9</v>
      </c>
      <c r="O33" s="536">
        <v>8.5</v>
      </c>
      <c r="P33" s="536">
        <v>8.3</v>
      </c>
      <c r="Q33" s="536">
        <v>7.9</v>
      </c>
      <c r="S33" s="46"/>
      <c r="T33" s="46"/>
      <c r="U33" s="46"/>
      <c r="V33" s="46"/>
      <c r="W33" s="46"/>
      <c r="X33" s="46"/>
      <c r="Y33" s="46"/>
      <c r="Z33" s="46"/>
      <c r="AA33" s="46"/>
      <c r="AB33" s="46"/>
      <c r="AC33" s="46"/>
      <c r="AD33" s="46"/>
      <c r="AE33" s="46"/>
    </row>
    <row r="34" spans="1:31" ht="10.5" customHeight="1">
      <c r="A34" s="42" t="s">
        <v>67</v>
      </c>
      <c r="B34" s="536">
        <v>5.6</v>
      </c>
      <c r="C34" s="536">
        <v>5.7</v>
      </c>
      <c r="D34" s="536">
        <v>5.8</v>
      </c>
      <c r="E34" s="536">
        <v>5.9</v>
      </c>
      <c r="F34" s="536">
        <v>6</v>
      </c>
      <c r="G34" s="536">
        <v>6.1</v>
      </c>
      <c r="H34" s="536">
        <v>6.4</v>
      </c>
      <c r="I34" s="44"/>
      <c r="J34" s="47" t="s">
        <v>68</v>
      </c>
      <c r="K34" s="536">
        <v>6.7</v>
      </c>
      <c r="L34" s="536">
        <v>6.9</v>
      </c>
      <c r="M34" s="536">
        <v>6.9</v>
      </c>
      <c r="N34" s="536">
        <v>6.7</v>
      </c>
      <c r="O34" s="536">
        <v>6.8</v>
      </c>
      <c r="P34" s="536">
        <v>7.1</v>
      </c>
      <c r="Q34" s="536">
        <v>7</v>
      </c>
      <c r="S34" s="46"/>
      <c r="T34" s="46"/>
      <c r="U34" s="46"/>
      <c r="V34" s="46"/>
      <c r="W34" s="46"/>
      <c r="X34" s="46"/>
      <c r="Y34" s="46"/>
      <c r="Z34" s="46"/>
      <c r="AA34" s="46"/>
      <c r="AB34" s="46"/>
      <c r="AC34" s="46"/>
      <c r="AD34" s="46"/>
      <c r="AE34" s="46"/>
    </row>
    <row r="35" spans="1:31" ht="10.5" customHeight="1">
      <c r="A35" s="40" t="s">
        <v>69</v>
      </c>
      <c r="B35" s="536">
        <v>111.9</v>
      </c>
      <c r="C35" s="536">
        <v>119.3</v>
      </c>
      <c r="D35" s="536">
        <v>109.1</v>
      </c>
      <c r="E35" s="536">
        <v>106.8</v>
      </c>
      <c r="F35" s="536">
        <v>104.5</v>
      </c>
      <c r="G35" s="536">
        <v>104.2</v>
      </c>
      <c r="H35" s="536">
        <v>101.1</v>
      </c>
      <c r="I35" s="44"/>
      <c r="J35" s="45" t="s">
        <v>69</v>
      </c>
      <c r="K35" s="536">
        <v>9.3</v>
      </c>
      <c r="L35" s="536">
        <v>9.9</v>
      </c>
      <c r="M35" s="536">
        <v>9.1</v>
      </c>
      <c r="N35" s="536">
        <v>9</v>
      </c>
      <c r="O35" s="536">
        <v>5.2</v>
      </c>
      <c r="P35" s="536">
        <v>8.3</v>
      </c>
      <c r="Q35" s="536">
        <v>8.8</v>
      </c>
      <c r="S35" s="46"/>
      <c r="T35" s="46"/>
      <c r="U35" s="46"/>
      <c r="V35" s="46"/>
      <c r="W35" s="46"/>
      <c r="X35" s="46"/>
      <c r="Y35" s="46"/>
      <c r="Z35" s="46"/>
      <c r="AA35" s="46"/>
      <c r="AB35" s="46"/>
      <c r="AC35" s="46"/>
      <c r="AD35" s="46"/>
      <c r="AE35" s="46"/>
    </row>
    <row r="36" spans="1:31" ht="10.5" customHeight="1">
      <c r="A36" s="40" t="s">
        <v>70</v>
      </c>
      <c r="B36" s="536">
        <v>4</v>
      </c>
      <c r="C36" s="536">
        <v>4.4</v>
      </c>
      <c r="D36" s="536">
        <v>4.6</v>
      </c>
      <c r="E36" s="536">
        <v>5.1</v>
      </c>
      <c r="F36" s="536">
        <v>4.3</v>
      </c>
      <c r="G36" s="536">
        <v>4.6</v>
      </c>
      <c r="H36" s="536">
        <v>4.6</v>
      </c>
      <c r="I36" s="44"/>
      <c r="J36" s="45" t="s">
        <v>70</v>
      </c>
      <c r="K36" s="536">
        <v>8.1</v>
      </c>
      <c r="L36" s="536">
        <v>7.9</v>
      </c>
      <c r="M36" s="536">
        <v>7.7</v>
      </c>
      <c r="N36" s="536">
        <v>6.8</v>
      </c>
      <c r="O36" s="536">
        <v>6.3</v>
      </c>
      <c r="P36" s="536">
        <v>5.6</v>
      </c>
      <c r="Q36" s="536">
        <v>5.7</v>
      </c>
      <c r="S36" s="46"/>
      <c r="T36" s="46"/>
      <c r="U36" s="46"/>
      <c r="V36" s="46"/>
      <c r="W36" s="46"/>
      <c r="X36" s="46"/>
      <c r="Y36" s="46"/>
      <c r="Z36" s="46"/>
      <c r="AA36" s="46"/>
      <c r="AB36" s="46"/>
      <c r="AC36" s="46"/>
      <c r="AD36" s="46"/>
      <c r="AE36" s="46"/>
    </row>
    <row r="37" spans="1:17" ht="10.5" customHeight="1">
      <c r="A37" s="40" t="s">
        <v>71</v>
      </c>
      <c r="B37" s="536">
        <v>14.5</v>
      </c>
      <c r="C37" s="536">
        <v>14.1</v>
      </c>
      <c r="D37" s="536">
        <v>14</v>
      </c>
      <c r="E37" s="536">
        <v>15.4</v>
      </c>
      <c r="F37" s="536">
        <v>14.7</v>
      </c>
      <c r="G37" s="536">
        <v>13.8</v>
      </c>
      <c r="H37" s="536">
        <v>13</v>
      </c>
      <c r="I37" s="44"/>
      <c r="J37" s="45" t="s">
        <v>72</v>
      </c>
      <c r="K37" s="536">
        <v>4.2</v>
      </c>
      <c r="L37" s="536">
        <v>3.9</v>
      </c>
      <c r="M37" s="536">
        <v>3.2</v>
      </c>
      <c r="N37" s="536">
        <v>3.1</v>
      </c>
      <c r="O37" s="536">
        <v>3.6</v>
      </c>
      <c r="P37" s="536">
        <v>3.3</v>
      </c>
      <c r="Q37" s="536">
        <v>3.5</v>
      </c>
    </row>
    <row r="38" spans="1:17" ht="10.5" customHeight="1">
      <c r="A38" s="42" t="s">
        <v>73</v>
      </c>
      <c r="B38" s="536">
        <v>52.2</v>
      </c>
      <c r="C38" s="536">
        <v>50.8</v>
      </c>
      <c r="D38" s="536">
        <v>46.2</v>
      </c>
      <c r="E38" s="536">
        <v>44.9</v>
      </c>
      <c r="F38" s="536">
        <v>46.6</v>
      </c>
      <c r="G38" s="536">
        <v>45.5</v>
      </c>
      <c r="H38" s="536">
        <v>40</v>
      </c>
      <c r="I38" s="44"/>
      <c r="J38" s="47" t="s">
        <v>73</v>
      </c>
      <c r="K38" s="536">
        <v>31.1</v>
      </c>
      <c r="L38" s="536">
        <v>31.5</v>
      </c>
      <c r="M38" s="536">
        <v>29.45</v>
      </c>
      <c r="N38" s="536">
        <v>30.3</v>
      </c>
      <c r="O38" s="536">
        <v>31.1</v>
      </c>
      <c r="P38" s="536">
        <v>33.2</v>
      </c>
      <c r="Q38" s="536">
        <v>30</v>
      </c>
    </row>
    <row r="39" spans="1:31" ht="10.5" customHeight="1">
      <c r="A39" s="40" t="s">
        <v>83</v>
      </c>
      <c r="B39" s="537"/>
      <c r="C39" s="537"/>
      <c r="D39" s="537"/>
      <c r="E39" s="537"/>
      <c r="F39" s="537"/>
      <c r="G39" s="537"/>
      <c r="H39" s="537"/>
      <c r="I39" s="44"/>
      <c r="J39" s="45" t="s">
        <v>84</v>
      </c>
      <c r="K39" s="536"/>
      <c r="L39" s="536"/>
      <c r="M39" s="541"/>
      <c r="N39" s="541"/>
      <c r="O39" s="536"/>
      <c r="P39" s="536"/>
      <c r="Q39" s="536"/>
      <c r="S39" s="46"/>
      <c r="T39" s="46"/>
      <c r="U39" s="46"/>
      <c r="V39" s="46"/>
      <c r="W39" s="46"/>
      <c r="X39" s="46"/>
      <c r="Y39" s="46"/>
      <c r="Z39" s="46"/>
      <c r="AA39" s="46"/>
      <c r="AB39" s="46"/>
      <c r="AC39" s="46"/>
      <c r="AD39" s="46"/>
      <c r="AE39" s="46"/>
    </row>
    <row r="40" spans="1:17" ht="10.5" customHeight="1">
      <c r="A40" s="40" t="s">
        <v>85</v>
      </c>
      <c r="B40" s="536">
        <v>21.8</v>
      </c>
      <c r="C40" s="536">
        <v>22.2</v>
      </c>
      <c r="D40" s="536">
        <v>23.2</v>
      </c>
      <c r="E40" s="536">
        <v>20.4</v>
      </c>
      <c r="F40" s="536">
        <v>19.9</v>
      </c>
      <c r="G40" s="536">
        <v>20.7</v>
      </c>
      <c r="H40" s="536">
        <v>19.6</v>
      </c>
      <c r="I40" s="44"/>
      <c r="J40" s="47" t="s">
        <v>86</v>
      </c>
      <c r="K40" s="537">
        <v>107.22</v>
      </c>
      <c r="L40" s="536">
        <v>111.39</v>
      </c>
      <c r="M40" s="536">
        <v>110.25</v>
      </c>
      <c r="N40" s="536">
        <v>108.82</v>
      </c>
      <c r="O40" s="536">
        <v>110.48</v>
      </c>
      <c r="P40" s="536">
        <v>107.58</v>
      </c>
      <c r="Q40" s="536">
        <v>99.62</v>
      </c>
    </row>
    <row r="41" spans="1:17" ht="10.5" customHeight="1">
      <c r="A41" s="40" t="s">
        <v>76</v>
      </c>
      <c r="B41" s="536">
        <v>3.7</v>
      </c>
      <c r="C41" s="536">
        <v>3.6</v>
      </c>
      <c r="D41" s="536">
        <v>3.5</v>
      </c>
      <c r="E41" s="536">
        <v>3.2</v>
      </c>
      <c r="F41" s="536">
        <v>3.2</v>
      </c>
      <c r="G41" s="536">
        <v>3.1</v>
      </c>
      <c r="H41" s="536">
        <v>3.1</v>
      </c>
      <c r="I41" s="44"/>
      <c r="J41" s="45" t="s">
        <v>76</v>
      </c>
      <c r="K41" s="536">
        <v>5.3</v>
      </c>
      <c r="L41" s="536">
        <v>5.1</v>
      </c>
      <c r="M41" s="536">
        <v>5.1</v>
      </c>
      <c r="N41" s="536">
        <v>5.4</v>
      </c>
      <c r="O41" s="536">
        <v>3</v>
      </c>
      <c r="P41" s="536">
        <v>4.4</v>
      </c>
      <c r="Q41" s="536">
        <v>3.7</v>
      </c>
    </row>
    <row r="42" spans="1:31" ht="10.5" customHeight="1">
      <c r="A42" s="40" t="s">
        <v>78</v>
      </c>
      <c r="B42" s="536">
        <v>40.1</v>
      </c>
      <c r="C42" s="536">
        <v>35</v>
      </c>
      <c r="D42" s="536">
        <v>39.2</v>
      </c>
      <c r="E42" s="536">
        <v>39.4</v>
      </c>
      <c r="F42" s="536">
        <v>38.1</v>
      </c>
      <c r="G42" s="536">
        <v>37.9</v>
      </c>
      <c r="H42" s="536">
        <v>35.8</v>
      </c>
      <c r="I42" s="44"/>
      <c r="J42" s="45" t="s">
        <v>78</v>
      </c>
      <c r="K42" s="536">
        <v>23</v>
      </c>
      <c r="L42" s="536">
        <v>22.3</v>
      </c>
      <c r="M42" s="536">
        <v>23</v>
      </c>
      <c r="N42" s="536">
        <v>22</v>
      </c>
      <c r="O42" s="536">
        <v>21</v>
      </c>
      <c r="P42" s="536">
        <v>18.4</v>
      </c>
      <c r="Q42" s="536">
        <v>19</v>
      </c>
      <c r="S42" s="46"/>
      <c r="T42" s="46"/>
      <c r="U42" s="46"/>
      <c r="V42" s="46"/>
      <c r="W42" s="46"/>
      <c r="X42" s="46"/>
      <c r="Y42" s="46"/>
      <c r="Z42" s="46"/>
      <c r="AA42" s="46"/>
      <c r="AB42" s="46"/>
      <c r="AC42" s="46"/>
      <c r="AD42" s="46"/>
      <c r="AE42" s="46"/>
    </row>
    <row r="43" spans="1:31" ht="10.5" customHeight="1">
      <c r="A43" s="40" t="s">
        <v>79</v>
      </c>
      <c r="B43" s="536">
        <v>62.6</v>
      </c>
      <c r="C43" s="536">
        <v>62.7</v>
      </c>
      <c r="D43" s="536">
        <v>55.7</v>
      </c>
      <c r="E43" s="536">
        <v>56.8</v>
      </c>
      <c r="F43" s="536">
        <v>61.7</v>
      </c>
      <c r="G43" s="536">
        <v>68.8</v>
      </c>
      <c r="H43" s="536">
        <v>62.9</v>
      </c>
      <c r="I43" s="44"/>
      <c r="J43" s="45" t="s">
        <v>79</v>
      </c>
      <c r="K43" s="536">
        <v>1</v>
      </c>
      <c r="L43" s="538" t="s">
        <v>249</v>
      </c>
      <c r="M43" s="538" t="s">
        <v>249</v>
      </c>
      <c r="N43" s="538" t="s">
        <v>249</v>
      </c>
      <c r="O43" s="538" t="s">
        <v>249</v>
      </c>
      <c r="P43" s="538" t="s">
        <v>249</v>
      </c>
      <c r="Q43" s="538" t="s">
        <v>249</v>
      </c>
      <c r="S43" s="46"/>
      <c r="T43" s="46"/>
      <c r="U43" s="46"/>
      <c r="V43" s="46"/>
      <c r="W43" s="46"/>
      <c r="X43" s="46"/>
      <c r="Y43" s="46"/>
      <c r="Z43" s="46"/>
      <c r="AA43" s="46"/>
      <c r="AB43" s="46"/>
      <c r="AC43" s="46"/>
      <c r="AD43" s="46"/>
      <c r="AE43" s="46"/>
    </row>
    <row r="44" spans="1:22" ht="12.75" customHeight="1">
      <c r="A44" s="277" t="s">
        <v>80</v>
      </c>
      <c r="B44" s="540">
        <f aca="true" t="shared" si="2" ref="B44:H44">SUM(B28:B43)</f>
        <v>459.40000000000003</v>
      </c>
      <c r="C44" s="540">
        <f t="shared" si="2"/>
        <v>452.90000000000003</v>
      </c>
      <c r="D44" s="540">
        <f t="shared" si="2"/>
        <v>431.09999999999997</v>
      </c>
      <c r="E44" s="540">
        <f t="shared" si="2"/>
        <v>428.3999999999999</v>
      </c>
      <c r="F44" s="540">
        <f t="shared" si="2"/>
        <v>430.6</v>
      </c>
      <c r="G44" s="540">
        <f t="shared" si="2"/>
        <v>439.09999999999997</v>
      </c>
      <c r="H44" s="540">
        <f t="shared" si="2"/>
        <v>411.90000000000003</v>
      </c>
      <c r="I44" s="424"/>
      <c r="J44" s="279" t="s">
        <v>80</v>
      </c>
      <c r="K44" s="540">
        <f aca="true" t="shared" si="3" ref="K44:Q44">SUM(K28:K43)</f>
        <v>281.42</v>
      </c>
      <c r="L44" s="540">
        <f t="shared" si="3"/>
        <v>282.49000000000007</v>
      </c>
      <c r="M44" s="540">
        <f t="shared" si="3"/>
        <v>278.2</v>
      </c>
      <c r="N44" s="540">
        <f t="shared" si="3"/>
        <v>284.31999999999994</v>
      </c>
      <c r="O44" s="540">
        <f t="shared" si="3"/>
        <v>273.28</v>
      </c>
      <c r="P44" s="540">
        <f t="shared" si="3"/>
        <v>280.17999999999995</v>
      </c>
      <c r="Q44" s="540">
        <f t="shared" si="3"/>
        <v>266.59000000000003</v>
      </c>
      <c r="S44" s="151"/>
      <c r="T44" s="151"/>
      <c r="U44" s="151"/>
      <c r="V44" s="151"/>
    </row>
    <row r="45" spans="1:31" ht="12.75" customHeight="1">
      <c r="A45" s="48" t="s">
        <v>442</v>
      </c>
      <c r="B45" s="44"/>
      <c r="C45" s="44"/>
      <c r="D45" s="44"/>
      <c r="E45" s="44"/>
      <c r="F45" s="44"/>
      <c r="G45" s="44"/>
      <c r="H45" s="44"/>
      <c r="I45" s="44"/>
      <c r="J45" s="44"/>
      <c r="K45" s="44"/>
      <c r="L45" s="44"/>
      <c r="M45" s="44"/>
      <c r="N45" s="44"/>
      <c r="O45" s="46"/>
      <c r="P45" s="44"/>
      <c r="Q45" s="46"/>
      <c r="R45" s="258"/>
      <c r="S45" s="46"/>
      <c r="T45" s="46"/>
      <c r="U45" s="46"/>
      <c r="V45" s="46"/>
      <c r="W45" s="46"/>
      <c r="X45" s="46"/>
      <c r="Y45" s="46"/>
      <c r="Z45" s="46"/>
      <c r="AA45" s="46"/>
      <c r="AB45" s="46"/>
      <c r="AC45" s="46"/>
      <c r="AD45" s="46"/>
      <c r="AE45" s="46"/>
    </row>
    <row r="46" spans="1:31" ht="10.5" customHeight="1">
      <c r="A46" s="49" t="s">
        <v>88</v>
      </c>
      <c r="B46" s="44"/>
      <c r="C46" s="44"/>
      <c r="D46" s="44"/>
      <c r="E46" s="44"/>
      <c r="F46" s="44"/>
      <c r="G46" s="44"/>
      <c r="H46" s="44"/>
      <c r="I46" s="44"/>
      <c r="J46" s="44"/>
      <c r="K46" s="44"/>
      <c r="L46" s="44"/>
      <c r="M46" s="44"/>
      <c r="N46" s="44"/>
      <c r="O46" s="46"/>
      <c r="P46" s="46"/>
      <c r="Q46" s="46"/>
      <c r="R46" s="46"/>
      <c r="S46" s="46"/>
      <c r="T46" s="46"/>
      <c r="U46" s="46"/>
      <c r="V46" s="46"/>
      <c r="W46" s="46"/>
      <c r="X46" s="46"/>
      <c r="Y46" s="46"/>
      <c r="Z46" s="46"/>
      <c r="AA46" s="46"/>
      <c r="AB46" s="46"/>
      <c r="AC46" s="46"/>
      <c r="AD46" s="46"/>
      <c r="AE46" s="46"/>
    </row>
    <row r="47" spans="1:31" ht="12.75" customHeight="1">
      <c r="A47" s="266" t="s">
        <v>365</v>
      </c>
      <c r="B47" s="50"/>
      <c r="C47" s="50"/>
      <c r="D47" s="50"/>
      <c r="E47" s="50"/>
      <c r="F47" s="50"/>
      <c r="G47" s="50"/>
      <c r="H47" s="50"/>
      <c r="I47" s="50"/>
      <c r="J47" s="50"/>
      <c r="K47" s="51"/>
      <c r="L47" s="50"/>
      <c r="M47" s="50"/>
      <c r="N47" s="50"/>
      <c r="O47" s="52"/>
      <c r="P47" s="46"/>
      <c r="Q47" s="46"/>
      <c r="R47" s="46"/>
      <c r="S47" s="46"/>
      <c r="T47" s="46"/>
      <c r="U47" s="46"/>
      <c r="V47" s="46"/>
      <c r="W47" s="46"/>
      <c r="X47" s="46"/>
      <c r="Y47" s="46"/>
      <c r="Z47" s="46"/>
      <c r="AA47" s="46"/>
      <c r="AB47" s="46"/>
      <c r="AC47" s="46"/>
      <c r="AD47" s="46"/>
      <c r="AE47" s="46"/>
    </row>
    <row r="48" spans="2:31" ht="12">
      <c r="B48" s="46"/>
      <c r="C48" s="46"/>
      <c r="D48" s="46"/>
      <c r="E48" s="46"/>
      <c r="F48" s="46"/>
      <c r="G48" s="46"/>
      <c r="H48" s="46"/>
      <c r="I48" s="46"/>
      <c r="J48" s="46"/>
      <c r="N48" s="53"/>
      <c r="W48" s="46"/>
      <c r="X48" s="46"/>
      <c r="Y48" s="46"/>
      <c r="Z48" s="46"/>
      <c r="AA48" s="46"/>
      <c r="AB48" s="46"/>
      <c r="AC48" s="46"/>
      <c r="AD48" s="46"/>
      <c r="AE48" s="46"/>
    </row>
    <row r="49" spans="2:31" ht="12">
      <c r="B49" s="46"/>
      <c r="C49" s="46"/>
      <c r="D49" s="46"/>
      <c r="E49" s="46"/>
      <c r="F49" s="46"/>
      <c r="G49" s="46"/>
      <c r="H49" s="46"/>
      <c r="I49" s="46"/>
      <c r="J49" s="46"/>
      <c r="N49" s="53"/>
      <c r="O49" s="46"/>
      <c r="P49" s="46"/>
      <c r="Q49" s="46"/>
      <c r="R49" s="46"/>
      <c r="S49" s="46"/>
      <c r="T49" s="46"/>
      <c r="U49" s="46"/>
      <c r="V49" s="46"/>
      <c r="W49" s="46"/>
      <c r="X49" s="46"/>
      <c r="Y49" s="46"/>
      <c r="Z49" s="46"/>
      <c r="AA49" s="46"/>
      <c r="AB49" s="46"/>
      <c r="AC49" s="46"/>
      <c r="AD49" s="46"/>
      <c r="AE49" s="46"/>
    </row>
    <row r="50" spans="2:31" ht="12">
      <c r="B50" s="46"/>
      <c r="C50" s="46"/>
      <c r="D50" s="46"/>
      <c r="E50" s="46"/>
      <c r="F50" s="46"/>
      <c r="G50" s="46"/>
      <c r="H50" s="46"/>
      <c r="I50" s="46"/>
      <c r="J50" s="46"/>
      <c r="K50" s="46"/>
      <c r="L50" s="46"/>
      <c r="M50" s="46"/>
      <c r="N50" s="53"/>
      <c r="O50" s="46"/>
      <c r="P50" s="46"/>
      <c r="Q50" s="46"/>
      <c r="R50" s="46"/>
      <c r="S50" s="46"/>
      <c r="T50" s="46"/>
      <c r="U50" s="46"/>
      <c r="V50" s="46"/>
      <c r="W50" s="46"/>
      <c r="X50" s="46"/>
      <c r="Y50" s="46"/>
      <c r="Z50" s="46"/>
      <c r="AA50" s="46"/>
      <c r="AB50" s="46"/>
      <c r="AC50" s="46"/>
      <c r="AD50" s="46"/>
      <c r="AE50" s="46"/>
    </row>
    <row r="51" spans="2:31" ht="12">
      <c r="B51" s="46"/>
      <c r="C51" s="46"/>
      <c r="D51" s="46"/>
      <c r="E51" s="46"/>
      <c r="F51" s="46"/>
      <c r="G51" s="46"/>
      <c r="H51" s="46"/>
      <c r="I51" s="46"/>
      <c r="J51" s="46"/>
      <c r="K51" s="46"/>
      <c r="L51" s="46"/>
      <c r="M51" s="46"/>
      <c r="N51" s="53"/>
      <c r="O51" s="46"/>
      <c r="P51" s="46"/>
      <c r="Q51" s="46"/>
      <c r="R51" s="46"/>
      <c r="S51" s="46"/>
      <c r="T51" s="46"/>
      <c r="U51" s="46"/>
      <c r="V51" s="46"/>
      <c r="W51" s="46"/>
      <c r="X51" s="46"/>
      <c r="Y51" s="46"/>
      <c r="Z51" s="46"/>
      <c r="AA51" s="46"/>
      <c r="AB51" s="46"/>
      <c r="AC51" s="46"/>
      <c r="AD51" s="46"/>
      <c r="AE51" s="46"/>
    </row>
    <row r="52" spans="2:31" ht="12">
      <c r="B52" s="46"/>
      <c r="C52" s="46"/>
      <c r="D52" s="46"/>
      <c r="E52" s="46"/>
      <c r="F52" s="46"/>
      <c r="G52" s="46"/>
      <c r="H52" s="46"/>
      <c r="I52" s="46"/>
      <c r="J52" s="46"/>
      <c r="K52" s="46"/>
      <c r="L52" s="46"/>
      <c r="M52" s="46"/>
      <c r="N52" s="53"/>
      <c r="O52" s="46"/>
      <c r="P52" s="46"/>
      <c r="Q52" s="46"/>
      <c r="R52" s="46"/>
      <c r="S52" s="46"/>
      <c r="T52" s="46"/>
      <c r="U52" s="46"/>
      <c r="V52" s="46"/>
      <c r="W52" s="46"/>
      <c r="X52" s="46"/>
      <c r="Y52" s="46"/>
      <c r="Z52" s="46"/>
      <c r="AA52" s="46"/>
      <c r="AB52" s="46"/>
      <c r="AC52" s="46"/>
      <c r="AD52" s="46"/>
      <c r="AE52" s="46"/>
    </row>
    <row r="53" spans="2:31" ht="12">
      <c r="B53" s="46"/>
      <c r="C53" s="46"/>
      <c r="D53" s="46"/>
      <c r="E53" s="46"/>
      <c r="F53" s="46"/>
      <c r="G53" s="46"/>
      <c r="H53" s="46"/>
      <c r="I53" s="46"/>
      <c r="J53" s="46"/>
      <c r="K53" s="46"/>
      <c r="L53" s="46"/>
      <c r="M53" s="46"/>
      <c r="N53" s="53"/>
      <c r="O53" s="46"/>
      <c r="P53" s="46"/>
      <c r="Q53" s="46"/>
      <c r="R53" s="46"/>
      <c r="S53" s="46"/>
      <c r="T53" s="46"/>
      <c r="U53" s="46"/>
      <c r="V53" s="46"/>
      <c r="W53" s="46"/>
      <c r="X53" s="46"/>
      <c r="Y53" s="46"/>
      <c r="Z53" s="46"/>
      <c r="AA53" s="46"/>
      <c r="AB53" s="46"/>
      <c r="AC53" s="46"/>
      <c r="AD53" s="46"/>
      <c r="AE53" s="46"/>
    </row>
    <row r="54" spans="1:31" ht="12">
      <c r="A54" s="152" t="s">
        <v>366</v>
      </c>
      <c r="B54" s="46"/>
      <c r="C54" s="46"/>
      <c r="D54" s="46"/>
      <c r="E54" s="46"/>
      <c r="F54" s="46"/>
      <c r="G54" s="46"/>
      <c r="H54" s="46"/>
      <c r="I54" s="46"/>
      <c r="J54" s="46"/>
      <c r="K54" s="46"/>
      <c r="L54" s="46"/>
      <c r="M54" s="46"/>
      <c r="N54" s="53"/>
      <c r="O54" s="46"/>
      <c r="P54" s="46"/>
      <c r="Q54" s="46"/>
      <c r="R54" s="46"/>
      <c r="S54" s="46"/>
      <c r="T54" s="46"/>
      <c r="U54" s="46"/>
      <c r="V54" s="46"/>
      <c r="W54" s="46"/>
      <c r="X54" s="46"/>
      <c r="Y54" s="46"/>
      <c r="Z54" s="46"/>
      <c r="AA54" s="46"/>
      <c r="AB54" s="46"/>
      <c r="AC54" s="46"/>
      <c r="AD54" s="46"/>
      <c r="AE54" s="46"/>
    </row>
    <row r="55" spans="1:31" ht="12">
      <c r="A55" s="185" t="s">
        <v>367</v>
      </c>
      <c r="B55" s="35"/>
      <c r="C55" s="35"/>
      <c r="D55" s="35"/>
      <c r="E55" s="35"/>
      <c r="F55" s="46"/>
      <c r="G55" s="46"/>
      <c r="H55" s="46"/>
      <c r="I55" s="46"/>
      <c r="J55" s="46"/>
      <c r="K55" s="46"/>
      <c r="L55" s="46"/>
      <c r="M55" s="46"/>
      <c r="N55" s="53"/>
      <c r="O55" s="46"/>
      <c r="P55" s="46"/>
      <c r="Q55" s="46"/>
      <c r="R55" s="46"/>
      <c r="S55" s="46"/>
      <c r="T55" s="46"/>
      <c r="U55" s="46"/>
      <c r="V55" s="46"/>
      <c r="W55" s="46"/>
      <c r="X55" s="46"/>
      <c r="Y55" s="46"/>
      <c r="Z55" s="46"/>
      <c r="AA55" s="46"/>
      <c r="AB55" s="46"/>
      <c r="AC55" s="46"/>
      <c r="AD55" s="46"/>
      <c r="AE55" s="46"/>
    </row>
    <row r="56" spans="1:31" ht="12">
      <c r="A56" s="268"/>
      <c r="B56" s="269" t="s">
        <v>56</v>
      </c>
      <c r="C56" s="269"/>
      <c r="D56" s="269" t="s">
        <v>57</v>
      </c>
      <c r="E56" s="269"/>
      <c r="F56" s="46"/>
      <c r="G56" s="46"/>
      <c r="H56" s="46"/>
      <c r="I56" s="46"/>
      <c r="J56" s="46"/>
      <c r="K56" s="46"/>
      <c r="L56" s="46"/>
      <c r="M56" s="46"/>
      <c r="N56" s="53"/>
      <c r="O56" s="46"/>
      <c r="P56" s="46"/>
      <c r="Q56" s="46"/>
      <c r="R56" s="46"/>
      <c r="S56" s="46"/>
      <c r="T56" s="46"/>
      <c r="U56" s="46"/>
      <c r="V56" s="46"/>
      <c r="W56" s="46"/>
      <c r="X56" s="46"/>
      <c r="Y56" s="46"/>
      <c r="Z56" s="46"/>
      <c r="AA56" s="46"/>
      <c r="AB56" s="46"/>
      <c r="AC56" s="46"/>
      <c r="AD56" s="46"/>
      <c r="AE56" s="46"/>
    </row>
    <row r="57" spans="1:31" ht="12">
      <c r="A57" s="272" t="s">
        <v>58</v>
      </c>
      <c r="B57" s="273">
        <v>2000</v>
      </c>
      <c r="C57" s="273">
        <v>2001</v>
      </c>
      <c r="D57" s="273">
        <v>2000</v>
      </c>
      <c r="E57" s="273">
        <v>2001</v>
      </c>
      <c r="F57" s="46"/>
      <c r="G57" s="46"/>
      <c r="H57" s="46"/>
      <c r="I57" s="46"/>
      <c r="J57" s="46"/>
      <c r="K57" s="46"/>
      <c r="L57" s="46"/>
      <c r="M57" s="46"/>
      <c r="N57" s="53"/>
      <c r="O57" s="46"/>
      <c r="P57" s="46"/>
      <c r="Q57" s="46"/>
      <c r="R57" s="46"/>
      <c r="S57" s="46"/>
      <c r="T57" s="46"/>
      <c r="U57" s="46"/>
      <c r="V57" s="46"/>
      <c r="W57" s="46"/>
      <c r="X57" s="46"/>
      <c r="Y57" s="46"/>
      <c r="Z57" s="46"/>
      <c r="AA57" s="46"/>
      <c r="AB57" s="46"/>
      <c r="AC57" s="46"/>
      <c r="AD57" s="46"/>
      <c r="AE57" s="46"/>
    </row>
    <row r="58" spans="1:31" ht="12">
      <c r="A58" s="37"/>
      <c r="B58" s="38" t="s">
        <v>3</v>
      </c>
      <c r="C58" s="39"/>
      <c r="D58" s="38"/>
      <c r="E58" s="39"/>
      <c r="J58" s="46"/>
      <c r="K58" s="46"/>
      <c r="L58" s="46"/>
      <c r="M58" s="46"/>
      <c r="N58" s="53"/>
      <c r="O58" s="46"/>
      <c r="P58" s="46"/>
      <c r="Q58" s="46"/>
      <c r="R58" s="46"/>
      <c r="S58" s="46"/>
      <c r="T58" s="46"/>
      <c r="U58" s="46"/>
      <c r="V58" s="46"/>
      <c r="W58" s="46"/>
      <c r="X58" s="46"/>
      <c r="Y58" s="46"/>
      <c r="Z58" s="46"/>
      <c r="AA58" s="46"/>
      <c r="AB58" s="46"/>
      <c r="AC58" s="46"/>
      <c r="AD58" s="46"/>
      <c r="AE58" s="46"/>
    </row>
    <row r="59" spans="1:14" ht="12">
      <c r="A59" s="37"/>
      <c r="B59" s="37"/>
      <c r="C59" s="40" t="s">
        <v>21</v>
      </c>
      <c r="D59" s="37"/>
      <c r="E59" s="40" t="s">
        <v>21</v>
      </c>
      <c r="N59" s="53"/>
    </row>
    <row r="60" spans="1:14" ht="12">
      <c r="A60" s="40" t="s">
        <v>60</v>
      </c>
      <c r="B60" s="41">
        <v>9.5</v>
      </c>
      <c r="C60" s="41">
        <v>11</v>
      </c>
      <c r="D60" s="41">
        <v>24.5</v>
      </c>
      <c r="E60" s="41">
        <v>23.5</v>
      </c>
      <c r="N60" s="53"/>
    </row>
    <row r="61" spans="1:14" ht="12">
      <c r="A61" s="42" t="s">
        <v>61</v>
      </c>
      <c r="B61" s="41">
        <v>33</v>
      </c>
      <c r="C61" s="41">
        <v>29.5</v>
      </c>
      <c r="D61" s="41">
        <v>34</v>
      </c>
      <c r="E61" s="41">
        <v>33</v>
      </c>
      <c r="N61" s="53"/>
    </row>
    <row r="62" spans="1:14" ht="12">
      <c r="A62" s="40" t="s">
        <v>63</v>
      </c>
      <c r="B62" s="43">
        <v>10.8</v>
      </c>
      <c r="C62" s="43">
        <v>11.9</v>
      </c>
      <c r="D62" s="41">
        <v>9.3</v>
      </c>
      <c r="E62" s="41">
        <v>8.2</v>
      </c>
      <c r="N62" s="53"/>
    </row>
    <row r="63" spans="1:14" ht="12">
      <c r="A63" s="40" t="s">
        <v>6</v>
      </c>
      <c r="B63" s="419" t="s">
        <v>249</v>
      </c>
      <c r="C63" s="419" t="s">
        <v>249</v>
      </c>
      <c r="D63" s="41">
        <v>33.1</v>
      </c>
      <c r="E63" s="41">
        <v>31</v>
      </c>
      <c r="N63" s="53"/>
    </row>
    <row r="64" spans="1:14" ht="12">
      <c r="A64" s="40" t="s">
        <v>64</v>
      </c>
      <c r="B64" s="41">
        <v>26.5</v>
      </c>
      <c r="C64" s="41">
        <v>25</v>
      </c>
      <c r="D64" s="41">
        <v>19.7</v>
      </c>
      <c r="E64" s="41">
        <v>20.7</v>
      </c>
      <c r="N64" s="53"/>
    </row>
    <row r="65" spans="1:14" ht="12">
      <c r="A65" s="42" t="s">
        <v>65</v>
      </c>
      <c r="B65" s="41">
        <v>10.5</v>
      </c>
      <c r="C65" s="41">
        <v>9.5</v>
      </c>
      <c r="D65" s="41">
        <v>8.5</v>
      </c>
      <c r="E65" s="41">
        <v>9</v>
      </c>
      <c r="N65" s="53"/>
    </row>
    <row r="66" spans="1:14" ht="12">
      <c r="A66" s="42" t="s">
        <v>67</v>
      </c>
      <c r="B66" s="41">
        <v>7.5</v>
      </c>
      <c r="C66" s="41">
        <v>7.7</v>
      </c>
      <c r="D66" s="41">
        <v>4.8</v>
      </c>
      <c r="E66" s="41">
        <v>5.3</v>
      </c>
      <c r="N66" s="53"/>
    </row>
    <row r="67" spans="1:14" ht="12">
      <c r="A67" s="40" t="s">
        <v>69</v>
      </c>
      <c r="B67" s="41">
        <v>7.4</v>
      </c>
      <c r="C67" s="41">
        <v>7.4</v>
      </c>
      <c r="D67" s="41">
        <v>36.8</v>
      </c>
      <c r="E67" s="41">
        <v>36.1</v>
      </c>
      <c r="N67" s="53"/>
    </row>
    <row r="68" spans="1:14" ht="12">
      <c r="A68" s="40" t="s">
        <v>70</v>
      </c>
      <c r="B68" s="419" t="s">
        <v>249</v>
      </c>
      <c r="C68" s="419" t="s">
        <v>249</v>
      </c>
      <c r="D68" s="41">
        <v>5.6</v>
      </c>
      <c r="E68" s="41">
        <v>5.2</v>
      </c>
      <c r="N68" s="53"/>
    </row>
    <row r="69" spans="1:14" ht="12">
      <c r="A69" s="40" t="s">
        <v>71</v>
      </c>
      <c r="B69" s="419" t="s">
        <v>249</v>
      </c>
      <c r="C69" s="419" t="s">
        <v>249</v>
      </c>
      <c r="D69" s="41">
        <v>7.4</v>
      </c>
      <c r="E69" s="41">
        <v>5.8</v>
      </c>
      <c r="N69" s="53"/>
    </row>
    <row r="70" spans="1:14" ht="12">
      <c r="A70" s="42" t="s">
        <v>73</v>
      </c>
      <c r="B70" s="43">
        <v>67.3</v>
      </c>
      <c r="C70" s="43">
        <v>66.8</v>
      </c>
      <c r="D70" s="41">
        <v>36.7</v>
      </c>
      <c r="E70" s="41">
        <v>37.7</v>
      </c>
      <c r="N70" s="53"/>
    </row>
    <row r="71" spans="1:14" ht="12">
      <c r="A71" s="40" t="s">
        <v>74</v>
      </c>
      <c r="B71" s="419" t="s">
        <v>249</v>
      </c>
      <c r="C71" s="419" t="s">
        <v>249</v>
      </c>
      <c r="D71" s="41">
        <v>35.2</v>
      </c>
      <c r="E71" s="41">
        <v>35.9</v>
      </c>
      <c r="N71" s="53"/>
    </row>
    <row r="72" spans="1:14" ht="12">
      <c r="A72" s="40" t="s">
        <v>76</v>
      </c>
      <c r="B72" s="41">
        <v>4.8</v>
      </c>
      <c r="C72" s="41">
        <v>4.4</v>
      </c>
      <c r="D72" s="41">
        <v>7.1</v>
      </c>
      <c r="E72" s="41">
        <v>7.2</v>
      </c>
      <c r="N72" s="53"/>
    </row>
    <row r="73" spans="1:14" ht="12">
      <c r="A73" s="40" t="s">
        <v>77</v>
      </c>
      <c r="B73" s="41">
        <v>2.6</v>
      </c>
      <c r="C73" s="41">
        <v>2.5</v>
      </c>
      <c r="D73" s="419" t="s">
        <v>249</v>
      </c>
      <c r="E73" s="419" t="s">
        <v>249</v>
      </c>
      <c r="N73" s="53"/>
    </row>
    <row r="74" spans="1:14" ht="12">
      <c r="A74" s="40" t="s">
        <v>78</v>
      </c>
      <c r="B74" s="41">
        <v>13.9</v>
      </c>
      <c r="C74" s="41">
        <v>14</v>
      </c>
      <c r="D74" s="41">
        <v>22.6</v>
      </c>
      <c r="E74" s="41">
        <v>26.7</v>
      </c>
      <c r="N74" s="53"/>
    </row>
    <row r="75" spans="1:5" ht="12">
      <c r="A75" s="40" t="s">
        <v>19</v>
      </c>
      <c r="B75" s="419" t="s">
        <v>249</v>
      </c>
      <c r="C75" s="419" t="s">
        <v>249</v>
      </c>
      <c r="D75" s="41">
        <v>58.1</v>
      </c>
      <c r="E75" s="41">
        <v>53.9</v>
      </c>
    </row>
    <row r="76" spans="1:5" ht="12">
      <c r="A76" s="274" t="s">
        <v>80</v>
      </c>
      <c r="B76" s="275">
        <f>SUM(B60:B74)</f>
        <v>193.8</v>
      </c>
      <c r="C76" s="275">
        <f>SUM(C60:C74)</f>
        <v>189.70000000000002</v>
      </c>
      <c r="D76" s="275">
        <f>SUM(D60:D75)</f>
        <v>343.4000000000001</v>
      </c>
      <c r="E76" s="275">
        <f>SUM(E60:E75)</f>
        <v>339.2</v>
      </c>
    </row>
    <row r="77" spans="1:5" ht="12">
      <c r="A77" s="34"/>
      <c r="B77" s="34"/>
      <c r="C77" s="34"/>
      <c r="D77" s="34"/>
      <c r="E77" s="34"/>
    </row>
    <row r="78" spans="1:5" ht="12">
      <c r="A78" s="268"/>
      <c r="B78" s="269" t="s">
        <v>81</v>
      </c>
      <c r="C78" s="269"/>
      <c r="D78" s="269" t="s">
        <v>82</v>
      </c>
      <c r="E78" s="269"/>
    </row>
    <row r="79" spans="1:5" ht="12">
      <c r="A79" s="272" t="s">
        <v>58</v>
      </c>
      <c r="B79" s="273">
        <v>2000</v>
      </c>
      <c r="C79" s="273">
        <v>2001</v>
      </c>
      <c r="D79" s="273">
        <v>2000</v>
      </c>
      <c r="E79" s="273">
        <v>2001</v>
      </c>
    </row>
    <row r="80" spans="1:5" ht="12">
      <c r="A80" s="37"/>
      <c r="B80" s="38" t="s">
        <v>3</v>
      </c>
      <c r="C80" s="39"/>
      <c r="D80" s="38" t="s">
        <v>3</v>
      </c>
      <c r="E80" s="39"/>
    </row>
    <row r="81" spans="1:5" ht="12">
      <c r="A81" s="37"/>
      <c r="B81" s="37"/>
      <c r="C81" s="37"/>
      <c r="D81" s="37"/>
      <c r="E81" s="37"/>
    </row>
    <row r="82" spans="1:5" ht="12">
      <c r="A82" s="40" t="s">
        <v>60</v>
      </c>
      <c r="B82" s="41">
        <v>15</v>
      </c>
      <c r="C82" s="41">
        <v>20.4</v>
      </c>
      <c r="D82" s="41">
        <v>18.4</v>
      </c>
      <c r="E82" s="41">
        <v>17.3</v>
      </c>
    </row>
    <row r="83" spans="1:5" ht="12">
      <c r="A83" s="42" t="s">
        <v>61</v>
      </c>
      <c r="B83" s="43">
        <v>35</v>
      </c>
      <c r="C83" s="43">
        <v>32</v>
      </c>
      <c r="D83" s="41">
        <v>31</v>
      </c>
      <c r="E83" s="41">
        <v>27.5</v>
      </c>
    </row>
    <row r="84" spans="1:5" ht="12">
      <c r="A84" s="40" t="s">
        <v>63</v>
      </c>
      <c r="B84" s="41">
        <v>14.9</v>
      </c>
      <c r="C84" s="41">
        <v>16</v>
      </c>
      <c r="D84" s="41">
        <v>6.2</v>
      </c>
      <c r="E84" s="41">
        <v>5.9</v>
      </c>
    </row>
    <row r="85" spans="1:5" ht="12">
      <c r="A85" s="40" t="s">
        <v>6</v>
      </c>
      <c r="B85" s="41">
        <v>47.7</v>
      </c>
      <c r="C85" s="41">
        <v>47.7</v>
      </c>
      <c r="D85" s="41">
        <v>8.9</v>
      </c>
      <c r="E85" s="41">
        <v>8.4</v>
      </c>
    </row>
    <row r="86" spans="1:5" ht="12">
      <c r="A86" s="40" t="s">
        <v>64</v>
      </c>
      <c r="B86" s="41">
        <v>25.5</v>
      </c>
      <c r="C86" s="41">
        <v>23.8</v>
      </c>
      <c r="D86" s="41">
        <v>17.9</v>
      </c>
      <c r="E86" s="41">
        <v>19.5</v>
      </c>
    </row>
    <row r="87" spans="1:5" ht="12">
      <c r="A87" s="42" t="s">
        <v>65</v>
      </c>
      <c r="B87" s="41">
        <v>9.5</v>
      </c>
      <c r="C87" s="41">
        <v>10</v>
      </c>
      <c r="D87" s="41">
        <v>10</v>
      </c>
      <c r="E87" s="41">
        <v>10</v>
      </c>
    </row>
    <row r="88" spans="1:5" ht="12">
      <c r="A88" s="42" t="s">
        <v>67</v>
      </c>
      <c r="B88" s="43">
        <v>5.3</v>
      </c>
      <c r="C88" s="43">
        <v>5.5</v>
      </c>
      <c r="D88" s="43">
        <v>6.4</v>
      </c>
      <c r="E88" s="41">
        <v>7</v>
      </c>
    </row>
    <row r="89" spans="1:5" ht="12">
      <c r="A89" s="40" t="s">
        <v>69</v>
      </c>
      <c r="B89" s="41">
        <v>110.7</v>
      </c>
      <c r="C89" s="41">
        <v>112.7</v>
      </c>
      <c r="D89" s="43">
        <v>8.2</v>
      </c>
      <c r="E89" s="41">
        <v>8.7</v>
      </c>
    </row>
    <row r="90" spans="1:5" ht="12">
      <c r="A90" s="40" t="s">
        <v>70</v>
      </c>
      <c r="B90" s="43">
        <v>4.7</v>
      </c>
      <c r="C90" s="43">
        <v>4.8</v>
      </c>
      <c r="D90" s="41">
        <v>8</v>
      </c>
      <c r="E90" s="41">
        <v>7.2</v>
      </c>
    </row>
    <row r="91" spans="1:5" ht="12">
      <c r="A91" s="40" t="s">
        <v>71</v>
      </c>
      <c r="B91" s="43">
        <v>15.3</v>
      </c>
      <c r="C91" s="43">
        <v>14.1</v>
      </c>
      <c r="D91" s="41">
        <v>3.3</v>
      </c>
      <c r="E91" s="41">
        <v>4.3</v>
      </c>
    </row>
    <row r="92" spans="1:5" ht="12">
      <c r="A92" s="42" t="s">
        <v>73</v>
      </c>
      <c r="B92" s="43">
        <v>50</v>
      </c>
      <c r="C92" s="43">
        <v>49</v>
      </c>
      <c r="D92" s="41">
        <v>30.9</v>
      </c>
      <c r="E92" s="41">
        <v>30.8</v>
      </c>
    </row>
    <row r="93" spans="1:5" ht="12">
      <c r="A93" s="40" t="s">
        <v>83</v>
      </c>
      <c r="B93" s="43"/>
      <c r="C93" s="43"/>
      <c r="D93" s="41"/>
      <c r="E93" s="41"/>
    </row>
    <row r="94" spans="1:5" ht="12">
      <c r="A94" s="40" t="s">
        <v>85</v>
      </c>
      <c r="B94" s="43">
        <v>21.5</v>
      </c>
      <c r="C94" s="43">
        <v>21</v>
      </c>
      <c r="D94" s="43">
        <v>110.37</v>
      </c>
      <c r="E94" s="43">
        <v>108.09</v>
      </c>
    </row>
    <row r="95" spans="1:5" ht="12">
      <c r="A95" s="40" t="s">
        <v>76</v>
      </c>
      <c r="B95" s="43">
        <v>3.6</v>
      </c>
      <c r="C95" s="43">
        <v>3.7</v>
      </c>
      <c r="D95" s="41">
        <v>7.8</v>
      </c>
      <c r="E95" s="41">
        <v>5.2</v>
      </c>
    </row>
    <row r="96" spans="1:5" ht="12">
      <c r="A96" s="40" t="s">
        <v>78</v>
      </c>
      <c r="B96" s="43">
        <v>40.4</v>
      </c>
      <c r="C96" s="43">
        <v>37.5</v>
      </c>
      <c r="D96" s="41">
        <v>22.8</v>
      </c>
      <c r="E96" s="41">
        <v>23.7</v>
      </c>
    </row>
    <row r="97" spans="1:5" ht="12">
      <c r="A97" s="40" t="s">
        <v>79</v>
      </c>
      <c r="B97" s="43">
        <v>61.6</v>
      </c>
      <c r="C97" s="43">
        <v>64.2</v>
      </c>
      <c r="D97" s="41">
        <v>1</v>
      </c>
      <c r="E97" s="41">
        <v>1</v>
      </c>
    </row>
    <row r="98" spans="1:5" ht="12">
      <c r="A98" s="277" t="s">
        <v>80</v>
      </c>
      <c r="B98" s="278">
        <f>SUM(B82:B97)</f>
        <v>460.70000000000005</v>
      </c>
      <c r="C98" s="278">
        <f>SUM(C82:C97)</f>
        <v>462.40000000000003</v>
      </c>
      <c r="D98" s="278">
        <f>SUM(D82:D97)</f>
        <v>291.1700000000001</v>
      </c>
      <c r="E98" s="278">
        <f>SUM(E82:E97)</f>
        <v>284.59</v>
      </c>
    </row>
    <row r="99" spans="1:4" ht="12">
      <c r="A99" s="48" t="s">
        <v>87</v>
      </c>
      <c r="B99" s="44"/>
      <c r="D99" s="44"/>
    </row>
    <row r="100" spans="1:2" ht="12">
      <c r="A100" s="49" t="s">
        <v>88</v>
      </c>
      <c r="B100" s="44"/>
    </row>
    <row r="101" spans="1:2" ht="12">
      <c r="A101" s="266" t="s">
        <v>365</v>
      </c>
      <c r="B101" s="50"/>
    </row>
  </sheetData>
  <printOptions horizontalCentered="1"/>
  <pageMargins left="0.167" right="0.167" top="0.52" bottom="0.75" header="0" footer="0.28"/>
  <pageSetup fitToHeight="1" fitToWidth="1" horizontalDpi="600" verticalDpi="600" orientation="landscape" scale="97" r:id="rId1"/>
  <headerFooter alignWithMargins="0">
    <oddFooter>&amp;C&amp;"Arial,Italic"&amp;9Vegetables and Melons Outlook&amp;"Arial,Regular"/VGS-330/December 16, 2008
Economic Research Service, USDA</oddFooter>
  </headerFooter>
</worksheet>
</file>

<file path=xl/worksheets/sheet10.xml><?xml version="1.0" encoding="utf-8"?>
<worksheet xmlns="http://schemas.openxmlformats.org/spreadsheetml/2006/main" xmlns:r="http://schemas.openxmlformats.org/officeDocument/2006/relationships">
  <sheetPr transitionEvaluation="1" transitionEntry="1">
    <tabColor indexed="10"/>
    <pageSetUpPr fitToPage="1"/>
  </sheetPr>
  <dimension ref="A1:Q98"/>
  <sheetViews>
    <sheetView showGridLines="0" workbookViewId="0" topLeftCell="A1">
      <selection activeCell="A1" sqref="A1"/>
    </sheetView>
  </sheetViews>
  <sheetFormatPr defaultColWidth="9.7109375" defaultRowHeight="12.75"/>
  <cols>
    <col min="1" max="1" width="9.57421875" style="108" customWidth="1"/>
    <col min="2" max="2" width="5.57421875" style="108" customWidth="1"/>
    <col min="3" max="15" width="6.00390625" style="108" customWidth="1"/>
    <col min="16" max="16" width="1.7109375" style="108" customWidth="1"/>
    <col min="17" max="17" width="9.57421875" style="108" customWidth="1"/>
    <col min="18" max="18" width="11.140625" style="108" customWidth="1"/>
    <col min="19" max="19" width="11.00390625" style="108" customWidth="1"/>
    <col min="20" max="16384" width="9.7109375" style="108" customWidth="1"/>
  </cols>
  <sheetData>
    <row r="1" spans="1:17" ht="18" customHeight="1">
      <c r="A1" s="186" t="s">
        <v>413</v>
      </c>
      <c r="B1" s="105"/>
      <c r="C1" s="106"/>
      <c r="D1" s="106"/>
      <c r="E1" s="106"/>
      <c r="F1" s="106"/>
      <c r="G1" s="106"/>
      <c r="H1" s="106"/>
      <c r="I1" s="106"/>
      <c r="J1" s="106"/>
      <c r="K1" s="106"/>
      <c r="L1" s="106"/>
      <c r="M1" s="106"/>
      <c r="N1" s="106"/>
      <c r="O1" s="105"/>
      <c r="P1" s="107"/>
      <c r="Q1" s="167" t="s">
        <v>159</v>
      </c>
    </row>
    <row r="2" spans="1:17" ht="12">
      <c r="A2" s="343" t="s">
        <v>122</v>
      </c>
      <c r="B2" s="344" t="s">
        <v>119</v>
      </c>
      <c r="C2" s="341" t="s">
        <v>97</v>
      </c>
      <c r="D2" s="341" t="s">
        <v>98</v>
      </c>
      <c r="E2" s="341" t="s">
        <v>99</v>
      </c>
      <c r="F2" s="341" t="s">
        <v>100</v>
      </c>
      <c r="G2" s="341" t="s">
        <v>101</v>
      </c>
      <c r="H2" s="341" t="s">
        <v>102</v>
      </c>
      <c r="I2" s="341" t="s">
        <v>103</v>
      </c>
      <c r="J2" s="341" t="s">
        <v>104</v>
      </c>
      <c r="K2" s="341" t="s">
        <v>105</v>
      </c>
      <c r="L2" s="341" t="s">
        <v>106</v>
      </c>
      <c r="M2" s="341" t="s">
        <v>107</v>
      </c>
      <c r="N2" s="341" t="s">
        <v>108</v>
      </c>
      <c r="O2" s="340" t="s">
        <v>123</v>
      </c>
      <c r="P2" s="345"/>
      <c r="Q2" s="328" t="s">
        <v>574</v>
      </c>
    </row>
    <row r="3" spans="1:17" ht="11.25" customHeight="1">
      <c r="A3" s="109"/>
      <c r="B3" s="109"/>
      <c r="C3" s="194" t="s">
        <v>124</v>
      </c>
      <c r="D3" s="110"/>
      <c r="E3" s="110"/>
      <c r="F3" s="110"/>
      <c r="G3" s="110"/>
      <c r="H3" s="111"/>
      <c r="I3" s="110"/>
      <c r="J3" s="110"/>
      <c r="K3" s="110"/>
      <c r="L3" s="110"/>
      <c r="M3" s="110"/>
      <c r="N3" s="110"/>
      <c r="O3" s="112"/>
      <c r="P3" s="107"/>
      <c r="Q3" s="193" t="s">
        <v>30</v>
      </c>
    </row>
    <row r="4" spans="1:17" ht="3" customHeight="1">
      <c r="A4" s="109"/>
      <c r="B4" s="109"/>
      <c r="C4" s="113"/>
      <c r="D4" s="113"/>
      <c r="E4" s="113"/>
      <c r="F4" s="113"/>
      <c r="G4" s="113"/>
      <c r="H4" s="113"/>
      <c r="I4" s="113"/>
      <c r="J4" s="113"/>
      <c r="K4" s="113"/>
      <c r="L4" s="113"/>
      <c r="M4" s="113"/>
      <c r="N4" s="113"/>
      <c r="O4" s="109"/>
      <c r="P4" s="107"/>
      <c r="Q4" s="59"/>
    </row>
    <row r="5" spans="1:17" ht="9.75" customHeight="1">
      <c r="A5" s="114" t="s">
        <v>125</v>
      </c>
      <c r="B5" s="115">
        <v>1996</v>
      </c>
      <c r="C5" s="116">
        <v>133.9</v>
      </c>
      <c r="D5" s="116">
        <v>119.4</v>
      </c>
      <c r="E5" s="116">
        <v>202.5</v>
      </c>
      <c r="F5" s="116">
        <v>155.6</v>
      </c>
      <c r="G5" s="116">
        <v>108.2</v>
      </c>
      <c r="H5" s="116">
        <v>96.6</v>
      </c>
      <c r="I5" s="116">
        <v>108.8</v>
      </c>
      <c r="J5" s="116">
        <v>97.2</v>
      </c>
      <c r="K5" s="116">
        <v>91.3</v>
      </c>
      <c r="L5" s="116">
        <v>106</v>
      </c>
      <c r="M5" s="116">
        <v>131.5</v>
      </c>
      <c r="N5" s="116">
        <v>99.3</v>
      </c>
      <c r="O5" s="116">
        <f aca="true" t="shared" si="0" ref="O5:O16">AVERAGEA(C5:N5)</f>
        <v>120.85833333333333</v>
      </c>
      <c r="P5" s="107"/>
      <c r="Q5" s="71" t="s">
        <v>151</v>
      </c>
    </row>
    <row r="6" spans="1:17" ht="9.75" customHeight="1">
      <c r="A6" s="109"/>
      <c r="B6" s="115">
        <v>1997</v>
      </c>
      <c r="C6" s="116">
        <v>105.2</v>
      </c>
      <c r="D6" s="116">
        <v>126.2</v>
      </c>
      <c r="E6" s="116">
        <v>150.4</v>
      </c>
      <c r="F6" s="116">
        <v>109.6</v>
      </c>
      <c r="G6" s="116">
        <v>103.2</v>
      </c>
      <c r="H6" s="116">
        <v>112.2</v>
      </c>
      <c r="I6" s="116">
        <v>115.7</v>
      </c>
      <c r="J6" s="116">
        <v>125.2</v>
      </c>
      <c r="K6" s="116">
        <v>121.8</v>
      </c>
      <c r="L6" s="116">
        <v>143.1</v>
      </c>
      <c r="M6" s="116">
        <v>124.7</v>
      </c>
      <c r="N6" s="116">
        <v>118.5</v>
      </c>
      <c r="O6" s="116">
        <f t="shared" si="0"/>
        <v>121.31666666666668</v>
      </c>
      <c r="P6" s="107"/>
      <c r="Q6" s="168">
        <f aca="true" t="shared" si="1" ref="Q6:Q17">((+M6/M5)-1)*100</f>
        <v>-5.17110266159696</v>
      </c>
    </row>
    <row r="7" spans="1:17" ht="9.75" customHeight="1">
      <c r="A7" s="109"/>
      <c r="B7" s="115">
        <v>1998</v>
      </c>
      <c r="C7" s="116">
        <v>133.1</v>
      </c>
      <c r="D7" s="116">
        <v>136.6</v>
      </c>
      <c r="E7" s="116">
        <v>148.2</v>
      </c>
      <c r="F7" s="116">
        <v>162.9</v>
      </c>
      <c r="G7" s="116">
        <v>123.2</v>
      </c>
      <c r="H7" s="116">
        <v>106.5</v>
      </c>
      <c r="I7" s="116">
        <v>153.7</v>
      </c>
      <c r="J7" s="116">
        <v>114.9</v>
      </c>
      <c r="K7" s="116">
        <v>135</v>
      </c>
      <c r="L7" s="116">
        <v>161.9</v>
      </c>
      <c r="M7" s="116">
        <v>131.2</v>
      </c>
      <c r="N7" s="116">
        <v>148.1</v>
      </c>
      <c r="O7" s="116">
        <f t="shared" si="0"/>
        <v>137.9416666666667</v>
      </c>
      <c r="P7" s="107"/>
      <c r="Q7" s="168">
        <f t="shared" si="1"/>
        <v>5.212510024057737</v>
      </c>
    </row>
    <row r="8" spans="1:17" ht="9.75" customHeight="1">
      <c r="A8" s="109"/>
      <c r="B8" s="115">
        <v>1999</v>
      </c>
      <c r="C8" s="116">
        <v>131.9</v>
      </c>
      <c r="D8" s="116">
        <v>93.1</v>
      </c>
      <c r="E8" s="116">
        <v>117.4</v>
      </c>
      <c r="F8" s="116">
        <v>144.4</v>
      </c>
      <c r="G8" s="116">
        <v>111.3</v>
      </c>
      <c r="H8" s="116">
        <v>125.8</v>
      </c>
      <c r="I8" s="116">
        <v>103.4</v>
      </c>
      <c r="J8" s="116">
        <v>113.7</v>
      </c>
      <c r="K8" s="116">
        <v>117.5</v>
      </c>
      <c r="L8" s="116">
        <v>101.6</v>
      </c>
      <c r="M8" s="116">
        <v>100.9</v>
      </c>
      <c r="N8" s="116">
        <v>151.6</v>
      </c>
      <c r="O8" s="116">
        <f t="shared" si="0"/>
        <v>117.71666666666665</v>
      </c>
      <c r="P8" s="107"/>
      <c r="Q8" s="168">
        <f t="shared" si="1"/>
        <v>-23.09451219512194</v>
      </c>
    </row>
    <row r="9" spans="1:17" ht="9.75" customHeight="1">
      <c r="A9" s="109"/>
      <c r="B9" s="115">
        <v>2000</v>
      </c>
      <c r="C9" s="116">
        <v>111.3</v>
      </c>
      <c r="D9" s="116">
        <v>100.5</v>
      </c>
      <c r="E9" s="116">
        <v>122.3</v>
      </c>
      <c r="F9" s="116">
        <v>126.8</v>
      </c>
      <c r="G9" s="116">
        <v>152</v>
      </c>
      <c r="H9" s="116">
        <v>128.1</v>
      </c>
      <c r="I9" s="116">
        <v>127.2</v>
      </c>
      <c r="J9" s="116">
        <v>136.7</v>
      </c>
      <c r="K9" s="116">
        <v>155.9</v>
      </c>
      <c r="L9" s="116">
        <v>165</v>
      </c>
      <c r="M9" s="116">
        <v>173.9</v>
      </c>
      <c r="N9" s="116">
        <v>120.3</v>
      </c>
      <c r="O9" s="116">
        <f t="shared" si="0"/>
        <v>135.00000000000003</v>
      </c>
      <c r="P9" s="107"/>
      <c r="Q9" s="168">
        <f t="shared" si="1"/>
        <v>72.34886025768085</v>
      </c>
    </row>
    <row r="10" spans="1:17" ht="9.75" customHeight="1">
      <c r="A10" s="109"/>
      <c r="B10" s="115">
        <v>2001</v>
      </c>
      <c r="C10" s="116">
        <v>147</v>
      </c>
      <c r="D10" s="116">
        <v>168.6</v>
      </c>
      <c r="E10" s="116">
        <v>178.7</v>
      </c>
      <c r="F10" s="116">
        <v>145.6</v>
      </c>
      <c r="G10" s="116">
        <v>144.9</v>
      </c>
      <c r="H10" s="116">
        <v>129.4</v>
      </c>
      <c r="I10" s="116">
        <v>109.7</v>
      </c>
      <c r="J10" s="116">
        <v>127.2</v>
      </c>
      <c r="K10" s="116">
        <v>132.3</v>
      </c>
      <c r="L10" s="116">
        <v>112.3</v>
      </c>
      <c r="M10" s="116">
        <v>105.9</v>
      </c>
      <c r="N10" s="116">
        <v>121</v>
      </c>
      <c r="O10" s="116">
        <f t="shared" si="0"/>
        <v>135.21666666666667</v>
      </c>
      <c r="P10" s="107"/>
      <c r="Q10" s="168">
        <f t="shared" si="1"/>
        <v>-39.102932719954</v>
      </c>
    </row>
    <row r="11" spans="1:17" ht="9.75" customHeight="1">
      <c r="A11" s="109"/>
      <c r="B11" s="115">
        <v>2002</v>
      </c>
      <c r="C11" s="116">
        <v>146.1</v>
      </c>
      <c r="D11" s="116">
        <v>188.7</v>
      </c>
      <c r="E11" s="116">
        <v>242.5</v>
      </c>
      <c r="F11" s="116">
        <v>101.7</v>
      </c>
      <c r="G11" s="116">
        <v>107.2</v>
      </c>
      <c r="H11" s="116">
        <v>123.2</v>
      </c>
      <c r="I11" s="116">
        <v>127.1</v>
      </c>
      <c r="J11" s="116">
        <v>125.4</v>
      </c>
      <c r="K11" s="116">
        <v>116.7</v>
      </c>
      <c r="L11" s="116">
        <v>126.9</v>
      </c>
      <c r="M11" s="116">
        <v>127.4</v>
      </c>
      <c r="N11" s="116">
        <v>119</v>
      </c>
      <c r="O11" s="116">
        <f t="shared" si="0"/>
        <v>137.65833333333336</v>
      </c>
      <c r="P11" s="107"/>
      <c r="Q11" s="168">
        <f t="shared" si="1"/>
        <v>20.302171860245522</v>
      </c>
    </row>
    <row r="12" spans="1:17" ht="9.75" customHeight="1">
      <c r="A12" s="109"/>
      <c r="B12" s="115">
        <v>2003</v>
      </c>
      <c r="C12" s="116">
        <v>147.8</v>
      </c>
      <c r="D12" s="116">
        <v>127.5</v>
      </c>
      <c r="E12" s="116">
        <v>153</v>
      </c>
      <c r="F12" s="116">
        <v>167.7</v>
      </c>
      <c r="G12" s="116">
        <v>165</v>
      </c>
      <c r="H12" s="116">
        <v>138.8</v>
      </c>
      <c r="I12" s="116">
        <v>133.3</v>
      </c>
      <c r="J12" s="116">
        <v>136.6</v>
      </c>
      <c r="K12" s="116">
        <v>164.7</v>
      </c>
      <c r="L12" s="116">
        <v>156.9</v>
      </c>
      <c r="M12" s="116">
        <v>148.4</v>
      </c>
      <c r="N12" s="116">
        <v>184.7</v>
      </c>
      <c r="O12" s="116">
        <f t="shared" si="0"/>
        <v>152.03333333333333</v>
      </c>
      <c r="P12" s="107"/>
      <c r="Q12" s="168">
        <f t="shared" si="1"/>
        <v>16.483516483516492</v>
      </c>
    </row>
    <row r="13" spans="1:17" ht="9.75" customHeight="1">
      <c r="A13" s="109"/>
      <c r="B13" s="115">
        <v>2004</v>
      </c>
      <c r="C13" s="201">
        <v>143.8</v>
      </c>
      <c r="D13" s="116">
        <v>125.9</v>
      </c>
      <c r="E13" s="116">
        <v>140.3</v>
      </c>
      <c r="F13" s="116">
        <v>133.1</v>
      </c>
      <c r="G13" s="116">
        <v>132.9</v>
      </c>
      <c r="H13" s="116">
        <v>101</v>
      </c>
      <c r="I13" s="116">
        <v>102.8</v>
      </c>
      <c r="J13" s="116">
        <v>128.3</v>
      </c>
      <c r="K13" s="116">
        <v>141.9</v>
      </c>
      <c r="L13" s="116">
        <v>200</v>
      </c>
      <c r="M13" s="116">
        <v>211.1</v>
      </c>
      <c r="N13" s="116">
        <v>143.7</v>
      </c>
      <c r="O13" s="116">
        <f t="shared" si="0"/>
        <v>142.06666666666666</v>
      </c>
      <c r="P13" s="107"/>
      <c r="Q13" s="168">
        <f t="shared" si="1"/>
        <v>42.25067385444743</v>
      </c>
    </row>
    <row r="14" spans="1:17" ht="9.75" customHeight="1">
      <c r="A14" s="109"/>
      <c r="B14" s="115">
        <v>2005</v>
      </c>
      <c r="C14" s="201">
        <v>122</v>
      </c>
      <c r="D14" s="116">
        <v>152.8</v>
      </c>
      <c r="E14" s="116">
        <v>168.5</v>
      </c>
      <c r="F14" s="116">
        <v>174.7</v>
      </c>
      <c r="G14" s="116">
        <v>144.2</v>
      </c>
      <c r="H14" s="116">
        <v>160</v>
      </c>
      <c r="I14" s="116">
        <v>126.8</v>
      </c>
      <c r="J14" s="116">
        <v>132.3</v>
      </c>
      <c r="K14" s="116">
        <v>153.3</v>
      </c>
      <c r="L14" s="116">
        <v>144</v>
      </c>
      <c r="M14" s="116">
        <v>163.1</v>
      </c>
      <c r="N14" s="116">
        <v>200.8</v>
      </c>
      <c r="O14" s="116">
        <f t="shared" si="0"/>
        <v>153.54166666666666</v>
      </c>
      <c r="P14" s="107"/>
      <c r="Q14" s="168">
        <f t="shared" si="1"/>
        <v>-22.73803884414969</v>
      </c>
    </row>
    <row r="15" spans="1:17" ht="9.75" customHeight="1">
      <c r="A15" s="109"/>
      <c r="B15" s="465">
        <v>2006</v>
      </c>
      <c r="C15" s="466">
        <v>207.6</v>
      </c>
      <c r="D15" s="467">
        <v>138.8</v>
      </c>
      <c r="E15" s="467">
        <v>137.6</v>
      </c>
      <c r="F15" s="467">
        <v>174.4</v>
      </c>
      <c r="G15" s="467">
        <v>147.9</v>
      </c>
      <c r="H15" s="467">
        <v>128.7</v>
      </c>
      <c r="I15" s="467">
        <v>134.1</v>
      </c>
      <c r="J15" s="467">
        <v>179.5</v>
      </c>
      <c r="K15" s="467">
        <v>193.1</v>
      </c>
      <c r="L15" s="467">
        <v>167.7</v>
      </c>
      <c r="M15" s="467">
        <v>138.3</v>
      </c>
      <c r="N15" s="467">
        <v>178.4</v>
      </c>
      <c r="O15" s="467">
        <f t="shared" si="0"/>
        <v>160.50833333333333</v>
      </c>
      <c r="P15" s="468"/>
      <c r="Q15" s="168">
        <f t="shared" si="1"/>
        <v>-15.205395462906178</v>
      </c>
    </row>
    <row r="16" spans="1:17" ht="9.75" customHeight="1">
      <c r="A16" s="109"/>
      <c r="B16" s="346">
        <v>2007</v>
      </c>
      <c r="C16" s="347">
        <v>175.3</v>
      </c>
      <c r="D16" s="348">
        <v>190.3</v>
      </c>
      <c r="E16" s="348">
        <v>222.4</v>
      </c>
      <c r="F16" s="348">
        <v>222.5</v>
      </c>
      <c r="G16" s="348">
        <v>142.1</v>
      </c>
      <c r="H16" s="348">
        <v>145.4</v>
      </c>
      <c r="I16" s="348">
        <v>146</v>
      </c>
      <c r="J16" s="348">
        <v>137.8</v>
      </c>
      <c r="K16" s="348">
        <v>162.7</v>
      </c>
      <c r="L16" s="348">
        <v>218.3</v>
      </c>
      <c r="M16" s="348">
        <v>177.4</v>
      </c>
      <c r="N16" s="348">
        <v>204.5</v>
      </c>
      <c r="O16" s="348">
        <f t="shared" si="0"/>
        <v>178.725</v>
      </c>
      <c r="P16" s="349"/>
      <c r="Q16" s="168">
        <f t="shared" si="1"/>
        <v>28.27187274041938</v>
      </c>
    </row>
    <row r="17" spans="1:17" ht="9.75" customHeight="1">
      <c r="A17" s="109"/>
      <c r="B17" s="346">
        <v>2008</v>
      </c>
      <c r="C17" s="347">
        <v>200.2</v>
      </c>
      <c r="D17" s="348">
        <v>158.3</v>
      </c>
      <c r="E17" s="348">
        <v>194.1</v>
      </c>
      <c r="F17" s="348">
        <v>179.3</v>
      </c>
      <c r="G17" s="348">
        <v>170.7</v>
      </c>
      <c r="H17" s="348">
        <v>191.7</v>
      </c>
      <c r="I17" s="348">
        <v>168.3</v>
      </c>
      <c r="J17" s="348">
        <v>146.1</v>
      </c>
      <c r="K17" s="348">
        <v>158.7</v>
      </c>
      <c r="L17" s="348">
        <v>185.1</v>
      </c>
      <c r="M17" s="348">
        <v>200.3</v>
      </c>
      <c r="N17" s="348"/>
      <c r="O17" s="348"/>
      <c r="P17" s="349"/>
      <c r="Q17" s="168">
        <f t="shared" si="1"/>
        <v>12.908680947012407</v>
      </c>
    </row>
    <row r="18" spans="1:17" ht="3" customHeight="1">
      <c r="A18" s="109"/>
      <c r="B18" s="117"/>
      <c r="C18" s="116"/>
      <c r="D18" s="116"/>
      <c r="E18" s="116"/>
      <c r="F18" s="116"/>
      <c r="G18" s="116"/>
      <c r="H18" s="116"/>
      <c r="I18" s="116"/>
      <c r="J18" s="116"/>
      <c r="K18" s="116"/>
      <c r="L18" s="116"/>
      <c r="M18" s="116"/>
      <c r="N18" s="116"/>
      <c r="O18" s="116"/>
      <c r="P18" s="107"/>
      <c r="Q18" s="168"/>
    </row>
    <row r="19" spans="1:17" ht="11.25" customHeight="1">
      <c r="A19" s="118" t="s">
        <v>296</v>
      </c>
      <c r="B19" s="115">
        <v>1996</v>
      </c>
      <c r="C19" s="241" t="s">
        <v>297</v>
      </c>
      <c r="D19" s="241" t="s">
        <v>297</v>
      </c>
      <c r="E19" s="241" t="s">
        <v>297</v>
      </c>
      <c r="F19" s="241" t="s">
        <v>297</v>
      </c>
      <c r="G19" s="116">
        <v>91.5</v>
      </c>
      <c r="H19" s="116">
        <v>84.4</v>
      </c>
      <c r="I19" s="116">
        <v>45.4</v>
      </c>
      <c r="J19" s="116">
        <v>57</v>
      </c>
      <c r="K19" s="116">
        <v>37.3</v>
      </c>
      <c r="L19" s="116">
        <v>99.5</v>
      </c>
      <c r="M19" s="116">
        <v>68.6</v>
      </c>
      <c r="N19" s="241" t="s">
        <v>297</v>
      </c>
      <c r="O19" s="116">
        <f>AVERAGE(G19:M19)</f>
        <v>69.10000000000001</v>
      </c>
      <c r="P19" s="107"/>
      <c r="Q19" s="71" t="s">
        <v>151</v>
      </c>
    </row>
    <row r="20" spans="1:17" ht="9.75" customHeight="1">
      <c r="A20" s="109"/>
      <c r="B20" s="115">
        <v>1997</v>
      </c>
      <c r="C20" s="241" t="s">
        <v>297</v>
      </c>
      <c r="D20" s="241" t="s">
        <v>297</v>
      </c>
      <c r="E20" s="241" t="s">
        <v>297</v>
      </c>
      <c r="F20" s="241" t="s">
        <v>297</v>
      </c>
      <c r="G20" s="116">
        <v>83.2</v>
      </c>
      <c r="H20" s="116">
        <v>68.5</v>
      </c>
      <c r="I20" s="116">
        <v>51.1</v>
      </c>
      <c r="J20" s="116">
        <v>49.3</v>
      </c>
      <c r="K20" s="116">
        <v>37.7</v>
      </c>
      <c r="L20" s="116">
        <v>142.5</v>
      </c>
      <c r="M20" s="116">
        <v>95.5</v>
      </c>
      <c r="N20" s="241" t="s">
        <v>297</v>
      </c>
      <c r="O20" s="116">
        <f>AVERAGE(G20:M20)</f>
        <v>75.39999999999999</v>
      </c>
      <c r="P20" s="107"/>
      <c r="Q20" s="168">
        <f aca="true" t="shared" si="2" ref="Q20:Q27">((+M20/M19)-1)*100</f>
        <v>39.212827988338205</v>
      </c>
    </row>
    <row r="21" spans="1:17" ht="9.75" customHeight="1">
      <c r="A21" s="109"/>
      <c r="B21" s="115">
        <v>1998</v>
      </c>
      <c r="C21" s="241" t="s">
        <v>297</v>
      </c>
      <c r="D21" s="241" t="s">
        <v>297</v>
      </c>
      <c r="E21" s="241" t="s">
        <v>297</v>
      </c>
      <c r="F21" s="241" t="s">
        <v>297</v>
      </c>
      <c r="G21" s="116">
        <v>113.3</v>
      </c>
      <c r="H21" s="116">
        <v>74.1</v>
      </c>
      <c r="I21" s="116">
        <v>56.3</v>
      </c>
      <c r="J21" s="116">
        <v>60.1</v>
      </c>
      <c r="K21" s="116">
        <v>89.9</v>
      </c>
      <c r="L21" s="241" t="s">
        <v>297</v>
      </c>
      <c r="M21" s="116">
        <v>52.2</v>
      </c>
      <c r="N21" s="241" t="s">
        <v>297</v>
      </c>
      <c r="O21" s="116">
        <f>SUM(G21:M21)/6</f>
        <v>74.31666666666668</v>
      </c>
      <c r="P21" s="107"/>
      <c r="Q21" s="168">
        <f t="shared" si="2"/>
        <v>-45.34031413612565</v>
      </c>
    </row>
    <row r="22" spans="1:17" ht="9.75" customHeight="1">
      <c r="A22" s="109"/>
      <c r="B22" s="115">
        <v>1999</v>
      </c>
      <c r="C22" s="241" t="s">
        <v>297</v>
      </c>
      <c r="D22" s="241" t="s">
        <v>297</v>
      </c>
      <c r="E22" s="241" t="s">
        <v>297</v>
      </c>
      <c r="F22" s="241" t="s">
        <v>297</v>
      </c>
      <c r="G22" s="116">
        <v>86.6</v>
      </c>
      <c r="H22" s="116">
        <v>62.8</v>
      </c>
      <c r="I22" s="116">
        <v>42.4</v>
      </c>
      <c r="J22" s="116">
        <v>62.1</v>
      </c>
      <c r="K22" s="241" t="s">
        <v>297</v>
      </c>
      <c r="L22" s="116">
        <v>63.4</v>
      </c>
      <c r="M22" s="116">
        <v>59.1</v>
      </c>
      <c r="N22" s="241" t="s">
        <v>297</v>
      </c>
      <c r="O22" s="116">
        <f>SUM(G22:M22)/6</f>
        <v>62.73333333333333</v>
      </c>
      <c r="P22" s="107"/>
      <c r="Q22" s="168">
        <f t="shared" si="2"/>
        <v>13.218390804597702</v>
      </c>
    </row>
    <row r="23" spans="1:17" ht="9.75" customHeight="1">
      <c r="A23" s="109"/>
      <c r="B23" s="115">
        <v>2000</v>
      </c>
      <c r="C23" s="241" t="s">
        <v>297</v>
      </c>
      <c r="D23" s="241" t="s">
        <v>297</v>
      </c>
      <c r="E23" s="241" t="s">
        <v>297</v>
      </c>
      <c r="F23" s="241" t="s">
        <v>297</v>
      </c>
      <c r="G23" s="116">
        <v>68</v>
      </c>
      <c r="H23" s="116">
        <v>64.3</v>
      </c>
      <c r="I23" s="116">
        <v>56.4</v>
      </c>
      <c r="J23" s="116">
        <v>43.8</v>
      </c>
      <c r="K23" s="116">
        <v>48.7</v>
      </c>
      <c r="L23" s="116">
        <v>93.6</v>
      </c>
      <c r="M23" s="116">
        <v>124.2</v>
      </c>
      <c r="N23" s="241" t="s">
        <v>297</v>
      </c>
      <c r="O23" s="116">
        <f>AVERAGE(G23:M23)</f>
        <v>71.28571428571428</v>
      </c>
      <c r="P23" s="107"/>
      <c r="Q23" s="168">
        <f t="shared" si="2"/>
        <v>110.15228426395937</v>
      </c>
    </row>
    <row r="24" spans="1:17" ht="9.75" customHeight="1">
      <c r="A24" s="109"/>
      <c r="B24" s="115">
        <v>2001</v>
      </c>
      <c r="C24" s="241" t="s">
        <v>297</v>
      </c>
      <c r="D24" s="241" t="s">
        <v>297</v>
      </c>
      <c r="E24" s="241" t="s">
        <v>297</v>
      </c>
      <c r="F24" s="241" t="s">
        <v>297</v>
      </c>
      <c r="G24" s="116">
        <v>118.6</v>
      </c>
      <c r="H24" s="116">
        <v>53.4</v>
      </c>
      <c r="I24" s="116">
        <v>53.3</v>
      </c>
      <c r="J24" s="116">
        <v>76.1</v>
      </c>
      <c r="K24" s="116">
        <v>57.1</v>
      </c>
      <c r="L24" s="116">
        <v>60</v>
      </c>
      <c r="M24" s="116">
        <v>114.9</v>
      </c>
      <c r="N24" s="241" t="s">
        <v>297</v>
      </c>
      <c r="O24" s="116">
        <f>AVERAGE(G24:M24)</f>
        <v>76.2</v>
      </c>
      <c r="P24" s="107"/>
      <c r="Q24" s="168">
        <f t="shared" si="2"/>
        <v>-7.487922705314009</v>
      </c>
    </row>
    <row r="25" spans="1:17" ht="9.75" customHeight="1">
      <c r="A25" s="109"/>
      <c r="B25" s="115">
        <v>2002</v>
      </c>
      <c r="C25" s="241" t="s">
        <v>297</v>
      </c>
      <c r="D25" s="241" t="s">
        <v>297</v>
      </c>
      <c r="E25" s="241" t="s">
        <v>297</v>
      </c>
      <c r="F25" s="241" t="s">
        <v>297</v>
      </c>
      <c r="G25" s="241" t="s">
        <v>297</v>
      </c>
      <c r="H25" s="116">
        <v>74.7</v>
      </c>
      <c r="I25" s="116">
        <v>80.5</v>
      </c>
      <c r="J25" s="116">
        <v>58.7</v>
      </c>
      <c r="K25" s="116">
        <v>60.1</v>
      </c>
      <c r="L25" s="116">
        <v>66.2</v>
      </c>
      <c r="M25" s="116">
        <v>55.3</v>
      </c>
      <c r="N25" s="241" t="s">
        <v>297</v>
      </c>
      <c r="O25" s="116">
        <f>AVERAGE(H25:M25)</f>
        <v>65.91666666666667</v>
      </c>
      <c r="P25" s="107"/>
      <c r="Q25" s="168">
        <f t="shared" si="2"/>
        <v>-51.871192341166235</v>
      </c>
    </row>
    <row r="26" spans="1:17" ht="9.75" customHeight="1">
      <c r="A26" s="109"/>
      <c r="B26" s="115">
        <v>2003</v>
      </c>
      <c r="C26" s="241" t="s">
        <v>297</v>
      </c>
      <c r="D26" s="241" t="s">
        <v>297</v>
      </c>
      <c r="E26" s="241" t="s">
        <v>297</v>
      </c>
      <c r="F26" s="241" t="s">
        <v>297</v>
      </c>
      <c r="G26" s="116">
        <v>120.5</v>
      </c>
      <c r="H26" s="116">
        <v>60.6</v>
      </c>
      <c r="I26" s="116">
        <v>60.1</v>
      </c>
      <c r="J26" s="116">
        <v>35.8</v>
      </c>
      <c r="K26" s="116">
        <v>49</v>
      </c>
      <c r="L26" s="116">
        <v>64.9</v>
      </c>
      <c r="M26" s="116">
        <v>106.8</v>
      </c>
      <c r="N26" s="241" t="s">
        <v>297</v>
      </c>
      <c r="O26" s="116">
        <f>AVERAGE(G26:M26)</f>
        <v>71.1</v>
      </c>
      <c r="P26" s="107"/>
      <c r="Q26" s="168">
        <f t="shared" si="2"/>
        <v>93.12839059674502</v>
      </c>
    </row>
    <row r="27" spans="1:17" ht="9.75" customHeight="1">
      <c r="A27" s="109"/>
      <c r="B27" s="115">
        <v>2004</v>
      </c>
      <c r="C27" s="201">
        <v>106.8</v>
      </c>
      <c r="D27" s="201">
        <v>141.3</v>
      </c>
      <c r="E27" s="201">
        <v>157.3</v>
      </c>
      <c r="F27" s="201">
        <v>90.2</v>
      </c>
      <c r="G27" s="201">
        <v>95.4</v>
      </c>
      <c r="H27" s="201">
        <v>75.1</v>
      </c>
      <c r="I27" s="201">
        <v>56.1</v>
      </c>
      <c r="J27" s="201">
        <v>66.6</v>
      </c>
      <c r="K27" s="201">
        <v>76.6</v>
      </c>
      <c r="L27" s="201">
        <v>108.8</v>
      </c>
      <c r="M27" s="201">
        <v>114.4</v>
      </c>
      <c r="N27" s="201">
        <v>150.6</v>
      </c>
      <c r="O27" s="116">
        <f>AVERAGEA(C27:N27)</f>
        <v>103.26666666666667</v>
      </c>
      <c r="P27" s="107"/>
      <c r="Q27" s="168">
        <f t="shared" si="2"/>
        <v>7.116104868913875</v>
      </c>
    </row>
    <row r="28" spans="1:17" ht="9.75" customHeight="1">
      <c r="A28" s="109"/>
      <c r="B28" s="115">
        <v>2005</v>
      </c>
      <c r="C28" s="201">
        <v>156.1</v>
      </c>
      <c r="D28" s="201">
        <v>75.4</v>
      </c>
      <c r="E28" s="201">
        <v>96.5</v>
      </c>
      <c r="F28" s="201">
        <v>162.2</v>
      </c>
      <c r="G28" s="201">
        <v>114.8</v>
      </c>
      <c r="H28" s="201">
        <v>99.9</v>
      </c>
      <c r="I28" s="201">
        <v>83.8</v>
      </c>
      <c r="J28" s="201">
        <v>62.3</v>
      </c>
      <c r="K28" s="201">
        <v>80.7</v>
      </c>
      <c r="L28" s="201">
        <v>67.3</v>
      </c>
      <c r="M28" s="241" t="s">
        <v>297</v>
      </c>
      <c r="N28" s="241" t="s">
        <v>297</v>
      </c>
      <c r="O28" s="116">
        <f>AVERAGEA(C28:L28)</f>
        <v>99.89999999999999</v>
      </c>
      <c r="P28" s="107"/>
      <c r="Q28" s="71" t="s">
        <v>151</v>
      </c>
    </row>
    <row r="29" spans="1:17" ht="9.75" customHeight="1">
      <c r="A29" s="109"/>
      <c r="B29" s="465">
        <v>2006</v>
      </c>
      <c r="C29" s="469" t="s">
        <v>297</v>
      </c>
      <c r="D29" s="469" t="s">
        <v>297</v>
      </c>
      <c r="E29" s="466">
        <v>99.8</v>
      </c>
      <c r="F29" s="466">
        <v>99.8</v>
      </c>
      <c r="G29" s="466">
        <v>95.6</v>
      </c>
      <c r="H29" s="466">
        <v>93.8</v>
      </c>
      <c r="I29" s="466">
        <v>70.3</v>
      </c>
      <c r="J29" s="466">
        <v>80.2</v>
      </c>
      <c r="K29" s="466">
        <v>75</v>
      </c>
      <c r="L29" s="466">
        <v>76.2</v>
      </c>
      <c r="M29" s="466">
        <v>105.1</v>
      </c>
      <c r="N29" s="466">
        <v>154.7</v>
      </c>
      <c r="O29" s="467">
        <f>AVERAGEA(E29:N29)</f>
        <v>95.05</v>
      </c>
      <c r="P29" s="468"/>
      <c r="Q29" s="71" t="s">
        <v>151</v>
      </c>
    </row>
    <row r="30" spans="1:17" ht="9.75" customHeight="1">
      <c r="A30" s="109"/>
      <c r="B30" s="346">
        <v>2007</v>
      </c>
      <c r="C30" s="350">
        <v>126.2</v>
      </c>
      <c r="D30" s="350">
        <v>102.9</v>
      </c>
      <c r="E30" s="347">
        <v>96.9</v>
      </c>
      <c r="F30" s="347">
        <v>127.6</v>
      </c>
      <c r="G30" s="347">
        <v>153.5</v>
      </c>
      <c r="H30" s="347">
        <v>74.6</v>
      </c>
      <c r="I30" s="347">
        <v>60</v>
      </c>
      <c r="J30" s="347">
        <v>71</v>
      </c>
      <c r="K30" s="347">
        <v>87.4</v>
      </c>
      <c r="L30" s="347">
        <v>122.9</v>
      </c>
      <c r="M30" s="347">
        <v>175.2</v>
      </c>
      <c r="N30" s="347">
        <v>165.6</v>
      </c>
      <c r="O30" s="348">
        <f>AVERAGE(C30:N30)</f>
        <v>113.64999999999999</v>
      </c>
      <c r="P30" s="349"/>
      <c r="Q30" s="168">
        <f>((+M30/M29)-1)*100</f>
        <v>66.69838249286393</v>
      </c>
    </row>
    <row r="31" spans="1:17" ht="9.75" customHeight="1">
      <c r="A31" s="109"/>
      <c r="B31" s="346">
        <v>2008</v>
      </c>
      <c r="C31" s="347">
        <v>141.1</v>
      </c>
      <c r="D31" s="350">
        <v>140.1</v>
      </c>
      <c r="E31" s="347">
        <v>85.8</v>
      </c>
      <c r="F31" s="347">
        <v>167.1</v>
      </c>
      <c r="G31" s="347">
        <v>140.5</v>
      </c>
      <c r="H31" s="347">
        <v>92.6</v>
      </c>
      <c r="I31" s="347">
        <v>82.3</v>
      </c>
      <c r="J31" s="347">
        <v>78.9</v>
      </c>
      <c r="K31" s="347">
        <v>71.3</v>
      </c>
      <c r="L31" s="347">
        <v>131</v>
      </c>
      <c r="M31" s="347">
        <v>121.3</v>
      </c>
      <c r="N31" s="347"/>
      <c r="O31" s="348"/>
      <c r="P31" s="349"/>
      <c r="Q31" s="168">
        <f>((+M31/M30)-1)*100</f>
        <v>-30.7648401826484</v>
      </c>
    </row>
    <row r="32" spans="1:17" ht="4.5" customHeight="1">
      <c r="A32" s="109"/>
      <c r="B32" s="117"/>
      <c r="C32" s="116"/>
      <c r="D32" s="116"/>
      <c r="E32" s="116"/>
      <c r="F32" s="116"/>
      <c r="G32" s="116"/>
      <c r="H32" s="116"/>
      <c r="I32" s="116"/>
      <c r="J32" s="116"/>
      <c r="K32" s="116"/>
      <c r="L32" s="116"/>
      <c r="M32" s="116"/>
      <c r="N32" s="116"/>
      <c r="O32" s="116"/>
      <c r="P32" s="107"/>
      <c r="Q32" s="168"/>
    </row>
    <row r="33" spans="1:17" ht="9.75" customHeight="1">
      <c r="A33" s="114" t="s">
        <v>126</v>
      </c>
      <c r="B33" s="115">
        <v>1996</v>
      </c>
      <c r="C33" s="116">
        <v>120.4</v>
      </c>
      <c r="D33" s="116">
        <v>119.8</v>
      </c>
      <c r="E33" s="116">
        <v>120.4</v>
      </c>
      <c r="F33" s="116">
        <v>120.4</v>
      </c>
      <c r="G33" s="116">
        <v>120.8</v>
      </c>
      <c r="H33" s="116">
        <v>121</v>
      </c>
      <c r="I33" s="116">
        <v>122.6</v>
      </c>
      <c r="J33" s="116">
        <v>122.1</v>
      </c>
      <c r="K33" s="116">
        <v>121.9</v>
      </c>
      <c r="L33" s="116">
        <v>121.8</v>
      </c>
      <c r="M33" s="116">
        <v>121.9</v>
      </c>
      <c r="N33" s="116">
        <v>121.8</v>
      </c>
      <c r="O33" s="116">
        <f aca="true" t="shared" si="3" ref="O33:O44">AVERAGEA(C33:N33)</f>
        <v>121.24166666666667</v>
      </c>
      <c r="P33" s="107"/>
      <c r="Q33" s="71" t="s">
        <v>151</v>
      </c>
    </row>
    <row r="34" spans="1:17" ht="9.75" customHeight="1">
      <c r="A34" s="109"/>
      <c r="B34" s="115">
        <v>1997</v>
      </c>
      <c r="C34" s="116">
        <v>121.5</v>
      </c>
      <c r="D34" s="116">
        <v>121.1</v>
      </c>
      <c r="E34" s="116">
        <v>120.5</v>
      </c>
      <c r="F34" s="116">
        <v>120.1</v>
      </c>
      <c r="G34" s="116">
        <v>119.8</v>
      </c>
      <c r="H34" s="116">
        <v>119.9</v>
      </c>
      <c r="I34" s="116">
        <v>119.1</v>
      </c>
      <c r="J34" s="116">
        <v>119.3</v>
      </c>
      <c r="K34" s="116">
        <v>119.3</v>
      </c>
      <c r="L34" s="116">
        <v>120.2</v>
      </c>
      <c r="M34" s="116">
        <v>120.3</v>
      </c>
      <c r="N34" s="116">
        <v>120.7</v>
      </c>
      <c r="O34" s="116">
        <f t="shared" si="3"/>
        <v>120.14999999999999</v>
      </c>
      <c r="P34" s="107"/>
      <c r="Q34" s="168">
        <f aca="true" t="shared" si="4" ref="Q34:Q45">((+M34/M33)-1)*100</f>
        <v>-1.312551271534046</v>
      </c>
    </row>
    <row r="35" spans="1:17" ht="9.75" customHeight="1">
      <c r="A35" s="109"/>
      <c r="B35" s="115">
        <v>1998</v>
      </c>
      <c r="C35" s="116">
        <v>121.2</v>
      </c>
      <c r="D35" s="116">
        <v>121.9</v>
      </c>
      <c r="E35" s="116">
        <v>121.8</v>
      </c>
      <c r="F35" s="116">
        <v>121.8</v>
      </c>
      <c r="G35" s="116">
        <v>121.9</v>
      </c>
      <c r="H35" s="116">
        <v>121.9</v>
      </c>
      <c r="I35" s="116">
        <v>122</v>
      </c>
      <c r="J35" s="116">
        <v>122</v>
      </c>
      <c r="K35" s="116">
        <v>120</v>
      </c>
      <c r="L35" s="116">
        <v>119.6</v>
      </c>
      <c r="M35" s="116">
        <v>120</v>
      </c>
      <c r="N35" s="116">
        <v>120</v>
      </c>
      <c r="O35" s="116">
        <f t="shared" si="3"/>
        <v>121.175</v>
      </c>
      <c r="P35" s="107"/>
      <c r="Q35" s="168">
        <f t="shared" si="4"/>
        <v>-0.24937655860348684</v>
      </c>
    </row>
    <row r="36" spans="1:17" ht="9.75" customHeight="1">
      <c r="A36" s="109"/>
      <c r="B36" s="115">
        <v>1999</v>
      </c>
      <c r="C36" s="116">
        <v>120.6</v>
      </c>
      <c r="D36" s="116">
        <v>120.6</v>
      </c>
      <c r="E36" s="116">
        <v>120.9</v>
      </c>
      <c r="F36" s="116">
        <v>120.9</v>
      </c>
      <c r="G36" s="116">
        <v>121</v>
      </c>
      <c r="H36" s="116">
        <v>121</v>
      </c>
      <c r="I36" s="116">
        <v>120.8</v>
      </c>
      <c r="J36" s="116">
        <v>120.9</v>
      </c>
      <c r="K36" s="116">
        <v>120.7</v>
      </c>
      <c r="L36" s="116">
        <v>120.7</v>
      </c>
      <c r="M36" s="116">
        <v>121.3</v>
      </c>
      <c r="N36" s="116">
        <v>121.3</v>
      </c>
      <c r="O36" s="116">
        <f t="shared" si="3"/>
        <v>120.89166666666665</v>
      </c>
      <c r="P36" s="107"/>
      <c r="Q36" s="168">
        <f t="shared" si="4"/>
        <v>1.083333333333325</v>
      </c>
    </row>
    <row r="37" spans="1:17" ht="9.75" customHeight="1">
      <c r="A37" s="109"/>
      <c r="B37" s="115">
        <v>2000</v>
      </c>
      <c r="C37" s="116">
        <v>121.3</v>
      </c>
      <c r="D37" s="116">
        <v>120.8</v>
      </c>
      <c r="E37" s="116">
        <v>121.2</v>
      </c>
      <c r="F37" s="116">
        <v>120.9</v>
      </c>
      <c r="G37" s="116">
        <v>121.2</v>
      </c>
      <c r="H37" s="116">
        <v>121.5</v>
      </c>
      <c r="I37" s="116">
        <v>121.1</v>
      </c>
      <c r="J37" s="116">
        <v>120.9</v>
      </c>
      <c r="K37" s="116">
        <v>121.1</v>
      </c>
      <c r="L37" s="116">
        <v>121.6</v>
      </c>
      <c r="M37" s="116">
        <v>121.7</v>
      </c>
      <c r="N37" s="116">
        <v>121.3</v>
      </c>
      <c r="O37" s="116">
        <f t="shared" si="3"/>
        <v>121.21666666666665</v>
      </c>
      <c r="P37" s="107"/>
      <c r="Q37" s="168">
        <f t="shared" si="4"/>
        <v>0.3297609233305909</v>
      </c>
    </row>
    <row r="38" spans="1:17" ht="9.75" customHeight="1">
      <c r="A38" s="109"/>
      <c r="B38" s="115">
        <v>2001</v>
      </c>
      <c r="C38" s="116">
        <v>121.4</v>
      </c>
      <c r="D38" s="116">
        <v>121.4</v>
      </c>
      <c r="E38" s="116">
        <v>121.3</v>
      </c>
      <c r="F38" s="116">
        <v>121.3</v>
      </c>
      <c r="G38" s="116">
        <v>121.4</v>
      </c>
      <c r="H38" s="116">
        <v>121.9</v>
      </c>
      <c r="I38" s="116">
        <v>124.1</v>
      </c>
      <c r="J38" s="116">
        <v>124.9</v>
      </c>
      <c r="K38" s="116">
        <v>125.3</v>
      </c>
      <c r="L38" s="116">
        <v>126.5</v>
      </c>
      <c r="M38" s="116">
        <v>128</v>
      </c>
      <c r="N38" s="116">
        <v>128.1</v>
      </c>
      <c r="O38" s="116">
        <f t="shared" si="3"/>
        <v>123.8</v>
      </c>
      <c r="P38" s="107"/>
      <c r="Q38" s="168">
        <f t="shared" si="4"/>
        <v>5.17666392769105</v>
      </c>
    </row>
    <row r="39" spans="1:17" ht="9.75" customHeight="1">
      <c r="A39" s="109"/>
      <c r="B39" s="115">
        <v>2002</v>
      </c>
      <c r="C39" s="116">
        <v>128.3</v>
      </c>
      <c r="D39" s="116">
        <v>128.2</v>
      </c>
      <c r="E39" s="116">
        <v>128</v>
      </c>
      <c r="F39" s="116">
        <v>128.2</v>
      </c>
      <c r="G39" s="116">
        <v>128.3</v>
      </c>
      <c r="H39" s="116">
        <v>128</v>
      </c>
      <c r="I39" s="116">
        <v>127.7</v>
      </c>
      <c r="J39" s="116">
        <v>129.4</v>
      </c>
      <c r="K39" s="116">
        <v>128.7</v>
      </c>
      <c r="L39" s="116">
        <v>129.5</v>
      </c>
      <c r="M39" s="116">
        <v>129.1</v>
      </c>
      <c r="N39" s="116">
        <v>129.1</v>
      </c>
      <c r="O39" s="116">
        <f t="shared" si="3"/>
        <v>128.54166666666666</v>
      </c>
      <c r="P39" s="107"/>
      <c r="Q39" s="168">
        <f t="shared" si="4"/>
        <v>0.8593749999999956</v>
      </c>
    </row>
    <row r="40" spans="1:17" ht="9.75" customHeight="1">
      <c r="A40" s="109"/>
      <c r="B40" s="115">
        <v>2003</v>
      </c>
      <c r="C40" s="116">
        <v>128.8</v>
      </c>
      <c r="D40" s="116">
        <v>129</v>
      </c>
      <c r="E40" s="116">
        <v>128.9</v>
      </c>
      <c r="F40" s="116">
        <v>129.3</v>
      </c>
      <c r="G40" s="116">
        <v>129.4</v>
      </c>
      <c r="H40" s="116">
        <v>129.3</v>
      </c>
      <c r="I40" s="116">
        <v>129.4</v>
      </c>
      <c r="J40" s="116">
        <v>129.1</v>
      </c>
      <c r="K40" s="116">
        <v>130</v>
      </c>
      <c r="L40" s="116">
        <v>130.7</v>
      </c>
      <c r="M40" s="116">
        <v>131.1</v>
      </c>
      <c r="N40" s="116">
        <v>131.3</v>
      </c>
      <c r="O40" s="116">
        <f t="shared" si="3"/>
        <v>129.69166666666666</v>
      </c>
      <c r="P40" s="107"/>
      <c r="Q40" s="168">
        <f t="shared" si="4"/>
        <v>1.549186676994574</v>
      </c>
    </row>
    <row r="41" spans="1:17" ht="9.75" customHeight="1">
      <c r="A41" s="109"/>
      <c r="B41" s="115">
        <v>2004</v>
      </c>
      <c r="C41" s="201">
        <v>131.5</v>
      </c>
      <c r="D41" s="116">
        <v>131.7</v>
      </c>
      <c r="E41" s="116">
        <v>131.9</v>
      </c>
      <c r="F41" s="116">
        <v>131.9</v>
      </c>
      <c r="G41" s="116">
        <v>131.7</v>
      </c>
      <c r="H41" s="116">
        <v>132.8</v>
      </c>
      <c r="I41" s="116">
        <v>133</v>
      </c>
      <c r="J41" s="116">
        <v>133.3</v>
      </c>
      <c r="K41" s="116">
        <v>133.4</v>
      </c>
      <c r="L41" s="116">
        <v>134.6</v>
      </c>
      <c r="M41" s="116">
        <v>135.4</v>
      </c>
      <c r="N41" s="116">
        <v>135.5</v>
      </c>
      <c r="O41" s="116">
        <f t="shared" si="3"/>
        <v>133.05833333333334</v>
      </c>
      <c r="P41" s="107"/>
      <c r="Q41" s="168">
        <f t="shared" si="4"/>
        <v>3.279938977879482</v>
      </c>
    </row>
    <row r="42" spans="1:17" ht="9.75" customHeight="1">
      <c r="A42" s="109"/>
      <c r="B42" s="115">
        <v>2005</v>
      </c>
      <c r="C42" s="201">
        <v>135.7</v>
      </c>
      <c r="D42" s="116">
        <v>135.9</v>
      </c>
      <c r="E42" s="116">
        <v>136.1</v>
      </c>
      <c r="F42" s="116">
        <v>136.3</v>
      </c>
      <c r="G42" s="116">
        <v>137.6</v>
      </c>
      <c r="H42" s="116">
        <v>137.6</v>
      </c>
      <c r="I42" s="116">
        <v>137.7</v>
      </c>
      <c r="J42" s="116">
        <v>137.7</v>
      </c>
      <c r="K42" s="116">
        <v>137.5</v>
      </c>
      <c r="L42" s="116">
        <v>137.7</v>
      </c>
      <c r="M42" s="201">
        <v>137.6</v>
      </c>
      <c r="N42" s="201">
        <v>138</v>
      </c>
      <c r="O42" s="116">
        <f t="shared" si="3"/>
        <v>137.11666666666667</v>
      </c>
      <c r="P42" s="107"/>
      <c r="Q42" s="168">
        <f t="shared" si="4"/>
        <v>1.6248153618906969</v>
      </c>
    </row>
    <row r="43" spans="1:17" ht="9.75" customHeight="1">
      <c r="A43" s="109"/>
      <c r="B43" s="465">
        <v>2006</v>
      </c>
      <c r="C43" s="466">
        <v>138</v>
      </c>
      <c r="D43" s="467">
        <v>136.8</v>
      </c>
      <c r="E43" s="467">
        <v>137.1</v>
      </c>
      <c r="F43" s="467">
        <v>137.3</v>
      </c>
      <c r="G43" s="467">
        <v>138.8</v>
      </c>
      <c r="H43" s="467">
        <v>140.2</v>
      </c>
      <c r="I43" s="467">
        <v>140</v>
      </c>
      <c r="J43" s="467">
        <v>140.5</v>
      </c>
      <c r="K43" s="467">
        <v>141.4</v>
      </c>
      <c r="L43" s="467">
        <v>141.5</v>
      </c>
      <c r="M43" s="467">
        <v>142.2</v>
      </c>
      <c r="N43" s="467">
        <v>142.2</v>
      </c>
      <c r="O43" s="467">
        <f t="shared" si="3"/>
        <v>139.66666666666669</v>
      </c>
      <c r="P43" s="468"/>
      <c r="Q43" s="168">
        <f t="shared" si="4"/>
        <v>3.3430232558139483</v>
      </c>
    </row>
    <row r="44" spans="1:17" ht="9.75" customHeight="1">
      <c r="A44" s="109"/>
      <c r="B44" s="346">
        <v>2007</v>
      </c>
      <c r="C44" s="347">
        <v>142.8</v>
      </c>
      <c r="D44" s="348">
        <v>142.9</v>
      </c>
      <c r="E44" s="348">
        <v>143.1</v>
      </c>
      <c r="F44" s="348">
        <v>143.3</v>
      </c>
      <c r="G44" s="348">
        <v>143.5</v>
      </c>
      <c r="H44" s="348">
        <v>143.6</v>
      </c>
      <c r="I44" s="348">
        <v>143.1</v>
      </c>
      <c r="J44" s="348">
        <v>143.1</v>
      </c>
      <c r="K44" s="348">
        <v>144</v>
      </c>
      <c r="L44" s="348">
        <v>143.9</v>
      </c>
      <c r="M44" s="348">
        <v>144.2</v>
      </c>
      <c r="N44" s="348">
        <v>144.6</v>
      </c>
      <c r="O44" s="348">
        <f t="shared" si="3"/>
        <v>143.50833333333335</v>
      </c>
      <c r="P44" s="349"/>
      <c r="Q44" s="168">
        <f t="shared" si="4"/>
        <v>1.4064697609001309</v>
      </c>
    </row>
    <row r="45" spans="1:17" ht="9.75" customHeight="1">
      <c r="A45" s="109"/>
      <c r="B45" s="346">
        <v>2008</v>
      </c>
      <c r="C45" s="347">
        <v>147.8</v>
      </c>
      <c r="D45" s="348">
        <v>148.4</v>
      </c>
      <c r="E45" s="348">
        <v>149.6</v>
      </c>
      <c r="F45" s="348">
        <v>151.2</v>
      </c>
      <c r="G45" s="348">
        <v>150.2</v>
      </c>
      <c r="H45" s="348">
        <v>151.3</v>
      </c>
      <c r="I45" s="348">
        <v>153.3</v>
      </c>
      <c r="J45" s="348">
        <v>164.9</v>
      </c>
      <c r="K45" s="348">
        <v>164.9</v>
      </c>
      <c r="L45" s="348">
        <v>165</v>
      </c>
      <c r="M45" s="348">
        <v>165.4</v>
      </c>
      <c r="N45" s="348"/>
      <c r="O45" s="348"/>
      <c r="P45" s="349"/>
      <c r="Q45" s="168">
        <f t="shared" si="4"/>
        <v>14.70180305131763</v>
      </c>
    </row>
    <row r="46" spans="1:16" ht="3" customHeight="1">
      <c r="A46" s="109"/>
      <c r="B46" s="117"/>
      <c r="C46" s="116"/>
      <c r="D46" s="116"/>
      <c r="E46" s="116"/>
      <c r="F46" s="116"/>
      <c r="G46" s="116"/>
      <c r="H46" s="116"/>
      <c r="I46" s="116"/>
      <c r="J46" s="116"/>
      <c r="K46" s="116"/>
      <c r="L46" s="116"/>
      <c r="M46" s="116"/>
      <c r="N46" s="116"/>
      <c r="O46" s="116"/>
      <c r="P46" s="107"/>
    </row>
    <row r="47" spans="1:17" ht="9.75" customHeight="1">
      <c r="A47" s="114" t="s">
        <v>127</v>
      </c>
      <c r="B47" s="115">
        <v>1996</v>
      </c>
      <c r="C47" s="116">
        <v>125.1</v>
      </c>
      <c r="D47" s="116">
        <v>124.8</v>
      </c>
      <c r="E47" s="116">
        <v>124.6</v>
      </c>
      <c r="F47" s="116">
        <v>124.9</v>
      </c>
      <c r="G47" s="116">
        <v>125</v>
      </c>
      <c r="H47" s="116">
        <v>125.4</v>
      </c>
      <c r="I47" s="116">
        <v>125.5</v>
      </c>
      <c r="J47" s="116">
        <v>125.8</v>
      </c>
      <c r="K47" s="116">
        <v>126</v>
      </c>
      <c r="L47" s="116">
        <v>125.7</v>
      </c>
      <c r="M47" s="116">
        <v>125.8</v>
      </c>
      <c r="N47" s="116">
        <v>126</v>
      </c>
      <c r="O47" s="116">
        <f aca="true" t="shared" si="5" ref="O47:O58">AVERAGEA(C47:N47)</f>
        <v>125.38333333333333</v>
      </c>
      <c r="P47" s="107"/>
      <c r="Q47" s="71" t="s">
        <v>151</v>
      </c>
    </row>
    <row r="48" spans="1:17" ht="9.75" customHeight="1">
      <c r="A48" s="109"/>
      <c r="B48" s="115">
        <v>1997</v>
      </c>
      <c r="C48" s="116">
        <v>125.9</v>
      </c>
      <c r="D48" s="116">
        <v>125.7</v>
      </c>
      <c r="E48" s="116">
        <v>125.6</v>
      </c>
      <c r="F48" s="116">
        <v>125.6</v>
      </c>
      <c r="G48" s="116">
        <v>125.7</v>
      </c>
      <c r="H48" s="116">
        <v>125.7</v>
      </c>
      <c r="I48" s="116">
        <v>126.9</v>
      </c>
      <c r="J48" s="116">
        <v>125.6</v>
      </c>
      <c r="K48" s="116">
        <v>125.7</v>
      </c>
      <c r="L48" s="116">
        <v>126.6</v>
      </c>
      <c r="M48" s="116">
        <v>125.5</v>
      </c>
      <c r="N48" s="116">
        <v>125.3</v>
      </c>
      <c r="O48" s="116">
        <f t="shared" si="5"/>
        <v>125.81666666666666</v>
      </c>
      <c r="P48" s="107"/>
      <c r="Q48" s="168">
        <f aca="true" t="shared" si="6" ref="Q48:Q59">((+M48/M47)-1)*100</f>
        <v>-0.23847376788552754</v>
      </c>
    </row>
    <row r="49" spans="1:17" ht="9.75" customHeight="1">
      <c r="A49" s="109"/>
      <c r="B49" s="115">
        <v>1998</v>
      </c>
      <c r="C49" s="116">
        <v>125.2</v>
      </c>
      <c r="D49" s="116">
        <v>126</v>
      </c>
      <c r="E49" s="116">
        <v>124.8</v>
      </c>
      <c r="F49" s="116">
        <v>125.7</v>
      </c>
      <c r="G49" s="116">
        <v>125</v>
      </c>
      <c r="H49" s="116">
        <v>124.6</v>
      </c>
      <c r="I49" s="116">
        <v>125.5</v>
      </c>
      <c r="J49" s="116">
        <v>125.6</v>
      </c>
      <c r="K49" s="116">
        <v>125.3</v>
      </c>
      <c r="L49" s="116">
        <v>125.6</v>
      </c>
      <c r="M49" s="116">
        <v>125.5</v>
      </c>
      <c r="N49" s="116">
        <v>125.2</v>
      </c>
      <c r="O49" s="116">
        <f t="shared" si="5"/>
        <v>125.33333333333333</v>
      </c>
      <c r="P49" s="107"/>
      <c r="Q49" s="168">
        <f t="shared" si="6"/>
        <v>0</v>
      </c>
    </row>
    <row r="50" spans="1:17" ht="9.75" customHeight="1">
      <c r="A50" s="109"/>
      <c r="B50" s="115">
        <v>1999</v>
      </c>
      <c r="C50" s="116">
        <v>125.8</v>
      </c>
      <c r="D50" s="116">
        <v>126.6</v>
      </c>
      <c r="E50" s="116">
        <v>125.6</v>
      </c>
      <c r="F50" s="116">
        <v>126.7</v>
      </c>
      <c r="G50" s="116">
        <v>125.9</v>
      </c>
      <c r="H50" s="116">
        <v>126</v>
      </c>
      <c r="I50" s="116">
        <v>126.8</v>
      </c>
      <c r="J50" s="116">
        <v>126.1</v>
      </c>
      <c r="K50" s="116">
        <v>126</v>
      </c>
      <c r="L50" s="116">
        <v>126.4</v>
      </c>
      <c r="M50" s="116">
        <v>125.5</v>
      </c>
      <c r="N50" s="116">
        <v>125.3</v>
      </c>
      <c r="O50" s="116">
        <f t="shared" si="5"/>
        <v>126.05833333333334</v>
      </c>
      <c r="P50" s="107"/>
      <c r="Q50" s="168">
        <f t="shared" si="6"/>
        <v>0</v>
      </c>
    </row>
    <row r="51" spans="1:17" ht="9.75" customHeight="1">
      <c r="A51" s="109"/>
      <c r="B51" s="115">
        <v>2000</v>
      </c>
      <c r="C51" s="116">
        <v>125.4</v>
      </c>
      <c r="D51" s="116">
        <v>126.2</v>
      </c>
      <c r="E51" s="116">
        <v>125.7</v>
      </c>
      <c r="F51" s="116">
        <v>126.3</v>
      </c>
      <c r="G51" s="116">
        <v>126.3</v>
      </c>
      <c r="H51" s="116">
        <v>124.9</v>
      </c>
      <c r="I51" s="116">
        <v>125.9</v>
      </c>
      <c r="J51" s="116">
        <v>126.4</v>
      </c>
      <c r="K51" s="116">
        <v>126.2</v>
      </c>
      <c r="L51" s="116">
        <v>126.9</v>
      </c>
      <c r="M51" s="116">
        <v>126.1</v>
      </c>
      <c r="N51" s="116">
        <v>126.2</v>
      </c>
      <c r="O51" s="116">
        <f t="shared" si="5"/>
        <v>126.04166666666667</v>
      </c>
      <c r="P51" s="107"/>
      <c r="Q51" s="168">
        <f t="shared" si="6"/>
        <v>0.47808764940238113</v>
      </c>
    </row>
    <row r="52" spans="1:17" ht="9.75" customHeight="1">
      <c r="A52" s="109"/>
      <c r="B52" s="115">
        <v>2001</v>
      </c>
      <c r="C52" s="116">
        <v>127.6</v>
      </c>
      <c r="D52" s="116">
        <v>128.5</v>
      </c>
      <c r="E52" s="116">
        <v>127.7</v>
      </c>
      <c r="F52" s="116">
        <v>128.7</v>
      </c>
      <c r="G52" s="116">
        <v>128.4</v>
      </c>
      <c r="H52" s="116">
        <v>127.7</v>
      </c>
      <c r="I52" s="116">
        <v>128.9</v>
      </c>
      <c r="J52" s="116">
        <v>128.8</v>
      </c>
      <c r="K52" s="116">
        <v>128.8</v>
      </c>
      <c r="L52" s="116">
        <v>130</v>
      </c>
      <c r="M52" s="116">
        <v>129.2</v>
      </c>
      <c r="N52" s="116">
        <v>129.1</v>
      </c>
      <c r="O52" s="116">
        <f t="shared" si="5"/>
        <v>128.61666666666665</v>
      </c>
      <c r="P52" s="107"/>
      <c r="Q52" s="168">
        <f t="shared" si="6"/>
        <v>2.4583663758921404</v>
      </c>
    </row>
    <row r="53" spans="1:17" ht="9.75" customHeight="1">
      <c r="A53" s="109"/>
      <c r="B53" s="115">
        <v>2002</v>
      </c>
      <c r="C53" s="116">
        <v>130</v>
      </c>
      <c r="D53" s="116">
        <v>131.1</v>
      </c>
      <c r="E53" s="116">
        <v>130.1</v>
      </c>
      <c r="F53" s="116">
        <v>131.2</v>
      </c>
      <c r="G53" s="116">
        <v>130.7</v>
      </c>
      <c r="H53" s="116">
        <v>129.7</v>
      </c>
      <c r="I53" s="116">
        <v>131.4</v>
      </c>
      <c r="J53" s="116">
        <v>131.3</v>
      </c>
      <c r="K53" s="116">
        <v>131.5</v>
      </c>
      <c r="L53" s="116">
        <v>132.2</v>
      </c>
      <c r="M53" s="116">
        <v>131.9</v>
      </c>
      <c r="N53" s="116">
        <v>132.6</v>
      </c>
      <c r="O53" s="116">
        <f t="shared" si="5"/>
        <v>131.14166666666668</v>
      </c>
      <c r="P53" s="107"/>
      <c r="Q53" s="168">
        <f t="shared" si="6"/>
        <v>2.0897832817337703</v>
      </c>
    </row>
    <row r="54" spans="1:17" ht="9.75" customHeight="1">
      <c r="A54" s="109"/>
      <c r="B54" s="115">
        <v>2003</v>
      </c>
      <c r="C54" s="116">
        <v>133.4</v>
      </c>
      <c r="D54" s="116">
        <v>134.1</v>
      </c>
      <c r="E54" s="116">
        <v>133.3</v>
      </c>
      <c r="F54" s="116">
        <v>134</v>
      </c>
      <c r="G54" s="116">
        <v>134.1</v>
      </c>
      <c r="H54" s="116">
        <v>133.9</v>
      </c>
      <c r="I54" s="116">
        <v>134.9</v>
      </c>
      <c r="J54" s="116">
        <v>134.2</v>
      </c>
      <c r="K54" s="116">
        <v>134.2</v>
      </c>
      <c r="L54" s="116">
        <v>135.2</v>
      </c>
      <c r="M54" s="116">
        <v>135.1</v>
      </c>
      <c r="N54" s="116">
        <v>135</v>
      </c>
      <c r="O54" s="116">
        <f t="shared" si="5"/>
        <v>134.28333333333333</v>
      </c>
      <c r="P54" s="107"/>
      <c r="Q54" s="168">
        <f t="shared" si="6"/>
        <v>2.426080363912053</v>
      </c>
    </row>
    <row r="55" spans="1:17" ht="9.75" customHeight="1">
      <c r="A55" s="109"/>
      <c r="B55" s="115">
        <v>2004</v>
      </c>
      <c r="C55" s="201">
        <v>135.1</v>
      </c>
      <c r="D55" s="116">
        <v>136</v>
      </c>
      <c r="E55" s="116">
        <v>135.3</v>
      </c>
      <c r="F55" s="116">
        <v>135.3</v>
      </c>
      <c r="G55" s="116">
        <v>134.3</v>
      </c>
      <c r="H55" s="116">
        <v>134.7</v>
      </c>
      <c r="I55" s="116">
        <v>135.4</v>
      </c>
      <c r="J55" s="116">
        <v>135.8</v>
      </c>
      <c r="K55" s="116">
        <v>136.8</v>
      </c>
      <c r="L55" s="116">
        <v>138.1</v>
      </c>
      <c r="M55" s="116">
        <v>137.2</v>
      </c>
      <c r="N55" s="116">
        <v>137</v>
      </c>
      <c r="O55" s="116">
        <f t="shared" si="5"/>
        <v>135.91666666666666</v>
      </c>
      <c r="P55" s="107"/>
      <c r="Q55" s="168">
        <f t="shared" si="6"/>
        <v>1.5544041450777257</v>
      </c>
    </row>
    <row r="56" spans="1:17" ht="9.75" customHeight="1">
      <c r="A56" s="109"/>
      <c r="B56" s="115">
        <v>2005</v>
      </c>
      <c r="C56" s="201">
        <v>137.3</v>
      </c>
      <c r="D56" s="116">
        <v>137.3</v>
      </c>
      <c r="E56" s="116">
        <v>137.4</v>
      </c>
      <c r="F56" s="116">
        <v>137.5</v>
      </c>
      <c r="G56" s="116">
        <v>137.5</v>
      </c>
      <c r="H56" s="116">
        <v>137.4</v>
      </c>
      <c r="I56" s="116">
        <v>137.2</v>
      </c>
      <c r="J56" s="116">
        <v>136.8</v>
      </c>
      <c r="K56" s="116">
        <v>136.6</v>
      </c>
      <c r="L56" s="116">
        <v>136.7</v>
      </c>
      <c r="M56" s="116">
        <v>136.1</v>
      </c>
      <c r="N56" s="116">
        <v>136.4</v>
      </c>
      <c r="O56" s="116">
        <f t="shared" si="5"/>
        <v>137.01666666666665</v>
      </c>
      <c r="P56" s="107"/>
      <c r="Q56" s="168">
        <f t="shared" si="6"/>
        <v>-0.80174927113702</v>
      </c>
    </row>
    <row r="57" spans="1:17" ht="9.75" customHeight="1">
      <c r="A57" s="109"/>
      <c r="B57" s="465">
        <v>2006</v>
      </c>
      <c r="C57" s="466">
        <v>137.3</v>
      </c>
      <c r="D57" s="467">
        <v>137.7</v>
      </c>
      <c r="E57" s="467">
        <v>138.7</v>
      </c>
      <c r="F57" s="467">
        <v>138.6</v>
      </c>
      <c r="G57" s="467">
        <v>138.8</v>
      </c>
      <c r="H57" s="467">
        <v>139.5</v>
      </c>
      <c r="I57" s="467">
        <v>139.4</v>
      </c>
      <c r="J57" s="467">
        <v>139.3</v>
      </c>
      <c r="K57" s="467">
        <v>139.9</v>
      </c>
      <c r="L57" s="467">
        <v>142</v>
      </c>
      <c r="M57" s="467">
        <v>142.7</v>
      </c>
      <c r="N57" s="467">
        <v>142.6</v>
      </c>
      <c r="O57" s="467">
        <f t="shared" si="5"/>
        <v>139.70833333333334</v>
      </c>
      <c r="P57" s="468"/>
      <c r="Q57" s="168">
        <f t="shared" si="6"/>
        <v>4.84937545922115</v>
      </c>
    </row>
    <row r="58" spans="1:17" ht="9.75" customHeight="1">
      <c r="A58" s="109"/>
      <c r="B58" s="346">
        <v>2007</v>
      </c>
      <c r="C58" s="347">
        <v>144</v>
      </c>
      <c r="D58" s="348">
        <v>144</v>
      </c>
      <c r="E58" s="348">
        <v>144</v>
      </c>
      <c r="F58" s="348">
        <v>145.2</v>
      </c>
      <c r="G58" s="348">
        <v>145.9</v>
      </c>
      <c r="H58" s="348">
        <v>146.7</v>
      </c>
      <c r="I58" s="348">
        <v>148.2</v>
      </c>
      <c r="J58" s="348">
        <v>149.3</v>
      </c>
      <c r="K58" s="348">
        <v>149.9</v>
      </c>
      <c r="L58" s="348">
        <v>151.5</v>
      </c>
      <c r="M58" s="348">
        <v>152.5</v>
      </c>
      <c r="N58" s="348">
        <v>153.2</v>
      </c>
      <c r="O58" s="348">
        <f t="shared" si="5"/>
        <v>147.86666666666667</v>
      </c>
      <c r="P58" s="349"/>
      <c r="Q58" s="168">
        <f t="shared" si="6"/>
        <v>6.867554309740731</v>
      </c>
    </row>
    <row r="59" spans="1:17" ht="9.75" customHeight="1">
      <c r="A59" s="109"/>
      <c r="B59" s="346">
        <v>2008</v>
      </c>
      <c r="C59" s="347">
        <v>153.3</v>
      </c>
      <c r="D59" s="348">
        <v>153.8</v>
      </c>
      <c r="E59" s="348">
        <v>155.6</v>
      </c>
      <c r="F59" s="348">
        <v>156.5</v>
      </c>
      <c r="G59" s="348">
        <v>156.7</v>
      </c>
      <c r="H59" s="348">
        <v>157.1</v>
      </c>
      <c r="I59" s="348">
        <v>158.8</v>
      </c>
      <c r="J59" s="348">
        <v>161.7</v>
      </c>
      <c r="K59" s="348">
        <v>164.5</v>
      </c>
      <c r="L59" s="348">
        <v>168.8</v>
      </c>
      <c r="M59" s="348">
        <v>171.5</v>
      </c>
      <c r="N59" s="348"/>
      <c r="O59" s="348"/>
      <c r="P59" s="349"/>
      <c r="Q59" s="168">
        <f t="shared" si="6"/>
        <v>12.459016393442624</v>
      </c>
    </row>
    <row r="60" spans="1:16" ht="3" customHeight="1">
      <c r="A60" s="109"/>
      <c r="B60" s="115"/>
      <c r="C60" s="116"/>
      <c r="D60" s="116"/>
      <c r="E60" s="116"/>
      <c r="F60" s="116"/>
      <c r="G60" s="116"/>
      <c r="H60" s="116"/>
      <c r="I60" s="116"/>
      <c r="J60" s="116"/>
      <c r="K60" s="116"/>
      <c r="L60" s="116"/>
      <c r="M60" s="116"/>
      <c r="N60" s="116"/>
      <c r="O60" s="116"/>
      <c r="P60" s="107"/>
    </row>
    <row r="61" spans="1:17" ht="9.75" customHeight="1">
      <c r="A61" s="118" t="s">
        <v>128</v>
      </c>
      <c r="B61" s="115">
        <v>1996</v>
      </c>
      <c r="C61" s="116">
        <v>143.3</v>
      </c>
      <c r="D61" s="116">
        <v>143.3</v>
      </c>
      <c r="E61" s="116">
        <v>144.6</v>
      </c>
      <c r="F61" s="116">
        <v>146.6</v>
      </c>
      <c r="G61" s="116">
        <v>147.3</v>
      </c>
      <c r="H61" s="116">
        <v>147.6</v>
      </c>
      <c r="I61" s="116">
        <v>146.9</v>
      </c>
      <c r="J61" s="116">
        <v>146.1</v>
      </c>
      <c r="K61" s="116">
        <v>145.8</v>
      </c>
      <c r="L61" s="116">
        <v>145.3</v>
      </c>
      <c r="M61" s="116">
        <v>145.5</v>
      </c>
      <c r="N61" s="116">
        <v>145.7</v>
      </c>
      <c r="O61" s="116">
        <f aca="true" t="shared" si="7" ref="O61:O72">AVERAGEA(C61:N61)</f>
        <v>145.66666666666666</v>
      </c>
      <c r="P61" s="107"/>
      <c r="Q61" s="71" t="s">
        <v>151</v>
      </c>
    </row>
    <row r="62" spans="1:17" ht="9.75" customHeight="1">
      <c r="A62" s="109" t="s">
        <v>262</v>
      </c>
      <c r="B62" s="115">
        <v>1997</v>
      </c>
      <c r="C62" s="116">
        <v>144.6</v>
      </c>
      <c r="D62" s="116">
        <v>144.6</v>
      </c>
      <c r="E62" s="116">
        <v>143.6</v>
      </c>
      <c r="F62" s="116">
        <v>143.1</v>
      </c>
      <c r="G62" s="116">
        <v>141.1</v>
      </c>
      <c r="H62" s="116">
        <v>141.1</v>
      </c>
      <c r="I62" s="116">
        <v>141.1</v>
      </c>
      <c r="J62" s="116">
        <v>141</v>
      </c>
      <c r="K62" s="116">
        <v>141.1</v>
      </c>
      <c r="L62" s="116">
        <v>141.4</v>
      </c>
      <c r="M62" s="116">
        <v>139.7</v>
      </c>
      <c r="N62" s="116">
        <v>141.1</v>
      </c>
      <c r="O62" s="116">
        <f t="shared" si="7"/>
        <v>141.95833333333334</v>
      </c>
      <c r="P62" s="107"/>
      <c r="Q62" s="168">
        <f aca="true" t="shared" si="8" ref="Q62:Q73">((+M62/M61)-1)*100</f>
        <v>-3.986254295532654</v>
      </c>
    </row>
    <row r="63" spans="1:17" ht="9.75" customHeight="1">
      <c r="A63" s="109"/>
      <c r="B63" s="115">
        <v>1998</v>
      </c>
      <c r="C63" s="116">
        <v>142</v>
      </c>
      <c r="D63" s="116">
        <v>141.1</v>
      </c>
      <c r="E63" s="116">
        <v>140.8</v>
      </c>
      <c r="F63" s="116">
        <v>140.5</v>
      </c>
      <c r="G63" s="116">
        <v>143.2</v>
      </c>
      <c r="H63" s="116">
        <v>143.2</v>
      </c>
      <c r="I63" s="116">
        <v>142.2</v>
      </c>
      <c r="J63" s="116">
        <v>144.9</v>
      </c>
      <c r="K63" s="116">
        <v>143.6</v>
      </c>
      <c r="L63" s="116">
        <v>142.9</v>
      </c>
      <c r="M63" s="116">
        <v>142</v>
      </c>
      <c r="N63" s="116">
        <v>146.2</v>
      </c>
      <c r="O63" s="116">
        <f t="shared" si="7"/>
        <v>142.7166666666667</v>
      </c>
      <c r="P63" s="107"/>
      <c r="Q63" s="168">
        <f t="shared" si="8"/>
        <v>1.6463851109520533</v>
      </c>
    </row>
    <row r="64" spans="1:17" ht="9.75" customHeight="1">
      <c r="A64" s="109"/>
      <c r="B64" s="115">
        <v>1999</v>
      </c>
      <c r="C64" s="116">
        <v>148</v>
      </c>
      <c r="D64" s="116">
        <v>148</v>
      </c>
      <c r="E64" s="116">
        <v>148.4</v>
      </c>
      <c r="F64" s="116">
        <v>147.7</v>
      </c>
      <c r="G64" s="116">
        <v>146.1</v>
      </c>
      <c r="H64" s="116">
        <v>146.1</v>
      </c>
      <c r="I64" s="116">
        <v>146</v>
      </c>
      <c r="J64" s="116">
        <v>146.5</v>
      </c>
      <c r="K64" s="116">
        <v>147.1</v>
      </c>
      <c r="L64" s="116">
        <v>146.7</v>
      </c>
      <c r="M64" s="116">
        <v>147.4</v>
      </c>
      <c r="N64" s="116">
        <v>151.1</v>
      </c>
      <c r="O64" s="116">
        <f t="shared" si="7"/>
        <v>147.42499999999998</v>
      </c>
      <c r="P64" s="107"/>
      <c r="Q64" s="168">
        <f t="shared" si="8"/>
        <v>3.8028169014084456</v>
      </c>
    </row>
    <row r="65" spans="1:17" ht="9.75" customHeight="1">
      <c r="A65" s="109"/>
      <c r="B65" s="115">
        <v>2000</v>
      </c>
      <c r="C65" s="116">
        <v>148.9</v>
      </c>
      <c r="D65" s="116">
        <v>149.8</v>
      </c>
      <c r="E65" s="116">
        <v>149.9</v>
      </c>
      <c r="F65" s="116">
        <v>149.5</v>
      </c>
      <c r="G65" s="116">
        <v>149.3</v>
      </c>
      <c r="H65" s="116">
        <v>149</v>
      </c>
      <c r="I65" s="116">
        <v>148.6</v>
      </c>
      <c r="J65" s="116">
        <v>144.9</v>
      </c>
      <c r="K65" s="116">
        <v>144</v>
      </c>
      <c r="L65" s="116">
        <v>144.9</v>
      </c>
      <c r="M65" s="116">
        <v>143.4</v>
      </c>
      <c r="N65" s="116">
        <v>140.8</v>
      </c>
      <c r="O65" s="116">
        <f t="shared" si="7"/>
        <v>146.91666666666669</v>
      </c>
      <c r="P65" s="107"/>
      <c r="Q65" s="168">
        <f t="shared" si="8"/>
        <v>-2.7137042062415184</v>
      </c>
    </row>
    <row r="66" spans="1:17" ht="9.75" customHeight="1">
      <c r="A66" s="109"/>
      <c r="B66" s="115">
        <v>2001</v>
      </c>
      <c r="C66" s="116">
        <v>139.1</v>
      </c>
      <c r="D66" s="116">
        <v>135.6</v>
      </c>
      <c r="E66" s="116">
        <v>136.2</v>
      </c>
      <c r="F66" s="116">
        <v>136.9</v>
      </c>
      <c r="G66" s="116">
        <v>139.9</v>
      </c>
      <c r="H66" s="116">
        <v>140.6</v>
      </c>
      <c r="I66" s="116">
        <v>140.4</v>
      </c>
      <c r="J66" s="116">
        <v>140.9</v>
      </c>
      <c r="K66" s="116">
        <v>142.4</v>
      </c>
      <c r="L66" s="116">
        <v>142.7</v>
      </c>
      <c r="M66" s="116">
        <v>144.6</v>
      </c>
      <c r="N66" s="116">
        <v>145.9</v>
      </c>
      <c r="O66" s="116">
        <f t="shared" si="7"/>
        <v>140.43333333333334</v>
      </c>
      <c r="P66" s="107"/>
      <c r="Q66" s="168">
        <f t="shared" si="8"/>
        <v>0.8368200836819994</v>
      </c>
    </row>
    <row r="67" spans="1:17" ht="9.75" customHeight="1">
      <c r="A67" s="109"/>
      <c r="B67" s="115">
        <v>2002</v>
      </c>
      <c r="C67" s="116">
        <v>148.2</v>
      </c>
      <c r="D67" s="116">
        <v>149.3</v>
      </c>
      <c r="E67" s="116">
        <v>150.3</v>
      </c>
      <c r="F67" s="116">
        <v>151</v>
      </c>
      <c r="G67" s="116">
        <v>150.1</v>
      </c>
      <c r="H67" s="116">
        <v>151.2</v>
      </c>
      <c r="I67" s="116">
        <v>152.6</v>
      </c>
      <c r="J67" s="116">
        <v>152.3</v>
      </c>
      <c r="K67" s="116">
        <v>151.2</v>
      </c>
      <c r="L67" s="116">
        <v>151.1</v>
      </c>
      <c r="M67" s="116">
        <v>150.2</v>
      </c>
      <c r="N67" s="116">
        <v>151.1</v>
      </c>
      <c r="O67" s="116">
        <f t="shared" si="7"/>
        <v>150.71666666666664</v>
      </c>
      <c r="P67" s="107"/>
      <c r="Q67" s="168">
        <f t="shared" si="8"/>
        <v>3.872752420470249</v>
      </c>
    </row>
    <row r="68" spans="1:17" ht="9.75" customHeight="1">
      <c r="A68" s="109"/>
      <c r="B68" s="115">
        <v>2003</v>
      </c>
      <c r="C68" s="116">
        <v>150.6</v>
      </c>
      <c r="D68" s="116">
        <v>150.2</v>
      </c>
      <c r="E68" s="116">
        <v>149.8</v>
      </c>
      <c r="F68" s="116">
        <v>147.8</v>
      </c>
      <c r="G68" s="116">
        <v>147.5</v>
      </c>
      <c r="H68" s="116">
        <v>147.3</v>
      </c>
      <c r="I68" s="116">
        <v>146.5</v>
      </c>
      <c r="J68" s="116">
        <v>145.2</v>
      </c>
      <c r="K68" s="116">
        <v>144.2</v>
      </c>
      <c r="L68" s="116">
        <v>143.3</v>
      </c>
      <c r="M68" s="116">
        <v>143.5</v>
      </c>
      <c r="N68" s="116">
        <v>146.1</v>
      </c>
      <c r="O68" s="116">
        <f t="shared" si="7"/>
        <v>146.83333333333334</v>
      </c>
      <c r="P68" s="107"/>
      <c r="Q68" s="168">
        <f t="shared" si="8"/>
        <v>-4.460719041278294</v>
      </c>
    </row>
    <row r="69" spans="1:17" ht="9.75" customHeight="1">
      <c r="A69" s="109"/>
      <c r="B69" s="115">
        <v>2004</v>
      </c>
      <c r="C69" s="201">
        <v>145.4</v>
      </c>
      <c r="D69" s="201">
        <v>145.1</v>
      </c>
      <c r="E69" s="116">
        <v>144.5</v>
      </c>
      <c r="F69" s="116">
        <v>144.4</v>
      </c>
      <c r="G69" s="116">
        <v>144.2</v>
      </c>
      <c r="H69" s="116">
        <v>144.2</v>
      </c>
      <c r="I69" s="116">
        <v>144.3</v>
      </c>
      <c r="J69" s="116">
        <v>144.1</v>
      </c>
      <c r="K69" s="116">
        <v>145.7</v>
      </c>
      <c r="L69" s="116">
        <v>144.8</v>
      </c>
      <c r="M69" s="116">
        <v>143.9</v>
      </c>
      <c r="N69" s="116">
        <v>144.5</v>
      </c>
      <c r="O69" s="116">
        <f t="shared" si="7"/>
        <v>144.59166666666667</v>
      </c>
      <c r="P69" s="107"/>
      <c r="Q69" s="168">
        <f t="shared" si="8"/>
        <v>0.2787456445993097</v>
      </c>
    </row>
    <row r="70" spans="1:17" ht="9.75" customHeight="1">
      <c r="A70" s="109"/>
      <c r="B70" s="115">
        <v>2005</v>
      </c>
      <c r="C70" s="201">
        <v>145.6</v>
      </c>
      <c r="D70" s="201">
        <v>145.9</v>
      </c>
      <c r="E70" s="116">
        <v>145.2</v>
      </c>
      <c r="F70" s="116">
        <v>145.7</v>
      </c>
      <c r="G70" s="116">
        <v>146.8</v>
      </c>
      <c r="H70" s="116">
        <v>146</v>
      </c>
      <c r="I70" s="116">
        <v>145.3</v>
      </c>
      <c r="J70" s="116">
        <v>145.9</v>
      </c>
      <c r="K70" s="116">
        <v>150.4</v>
      </c>
      <c r="L70" s="116">
        <v>150.6</v>
      </c>
      <c r="M70" s="201">
        <v>152.3</v>
      </c>
      <c r="N70" s="201">
        <v>154.3</v>
      </c>
      <c r="O70" s="116">
        <f t="shared" si="7"/>
        <v>147.83333333333334</v>
      </c>
      <c r="P70" s="107"/>
      <c r="Q70" s="168">
        <f t="shared" si="8"/>
        <v>5.837387074357192</v>
      </c>
    </row>
    <row r="71" spans="1:17" ht="9.75" customHeight="1">
      <c r="A71" s="109"/>
      <c r="B71" s="465">
        <v>2006</v>
      </c>
      <c r="C71" s="466">
        <v>154.7</v>
      </c>
      <c r="D71" s="466">
        <v>156.4</v>
      </c>
      <c r="E71" s="467">
        <v>158.1</v>
      </c>
      <c r="F71" s="467">
        <v>159.3</v>
      </c>
      <c r="G71" s="467">
        <v>163</v>
      </c>
      <c r="H71" s="467">
        <v>165</v>
      </c>
      <c r="I71" s="467">
        <v>165.1</v>
      </c>
      <c r="J71" s="467">
        <v>165.5</v>
      </c>
      <c r="K71" s="467">
        <v>168.1</v>
      </c>
      <c r="L71" s="467">
        <v>168.5</v>
      </c>
      <c r="M71" s="466">
        <v>169.8</v>
      </c>
      <c r="N71" s="466">
        <v>171.9</v>
      </c>
      <c r="O71" s="467">
        <f t="shared" si="7"/>
        <v>163.78333333333333</v>
      </c>
      <c r="P71" s="468"/>
      <c r="Q71" s="168">
        <f t="shared" si="8"/>
        <v>11.490479317137225</v>
      </c>
    </row>
    <row r="72" spans="1:17" ht="9.75" customHeight="1">
      <c r="A72" s="109"/>
      <c r="B72" s="346">
        <v>2007</v>
      </c>
      <c r="C72" s="347">
        <v>175.7</v>
      </c>
      <c r="D72" s="347">
        <v>176.2</v>
      </c>
      <c r="E72" s="348">
        <v>175</v>
      </c>
      <c r="F72" s="348">
        <v>176.4</v>
      </c>
      <c r="G72" s="348">
        <v>180.2</v>
      </c>
      <c r="H72" s="348">
        <v>179.3</v>
      </c>
      <c r="I72" s="348">
        <v>179.8</v>
      </c>
      <c r="J72" s="348">
        <v>179.5</v>
      </c>
      <c r="K72" s="348">
        <v>179.6</v>
      </c>
      <c r="L72" s="348">
        <v>180.1</v>
      </c>
      <c r="M72" s="347">
        <v>184.1</v>
      </c>
      <c r="N72" s="347">
        <v>184</v>
      </c>
      <c r="O72" s="348">
        <f t="shared" si="7"/>
        <v>179.1583333333333</v>
      </c>
      <c r="P72" s="349"/>
      <c r="Q72" s="168">
        <f t="shared" si="8"/>
        <v>8.421672555948167</v>
      </c>
    </row>
    <row r="73" spans="1:17" ht="9.75" customHeight="1">
      <c r="A73" s="109"/>
      <c r="B73" s="346">
        <v>2008</v>
      </c>
      <c r="C73" s="347">
        <v>185.3</v>
      </c>
      <c r="D73" s="347">
        <v>185.7</v>
      </c>
      <c r="E73" s="348">
        <v>188.1</v>
      </c>
      <c r="F73" s="348">
        <v>189.5</v>
      </c>
      <c r="G73" s="348">
        <v>189.7</v>
      </c>
      <c r="H73" s="348">
        <v>190.9</v>
      </c>
      <c r="I73" s="348">
        <v>195</v>
      </c>
      <c r="J73" s="348">
        <v>194.2</v>
      </c>
      <c r="K73" s="348">
        <v>194.4</v>
      </c>
      <c r="L73" s="348">
        <v>195.5</v>
      </c>
      <c r="M73" s="347">
        <v>196.4</v>
      </c>
      <c r="N73" s="347"/>
      <c r="O73" s="348"/>
      <c r="P73" s="349"/>
      <c r="Q73" s="168">
        <f t="shared" si="8"/>
        <v>6.681151548071718</v>
      </c>
    </row>
    <row r="74" spans="1:17" ht="12.75" customHeight="1">
      <c r="A74" s="155" t="s">
        <v>415</v>
      </c>
      <c r="B74" s="156"/>
      <c r="C74" s="157"/>
      <c r="D74" s="157"/>
      <c r="E74" s="157"/>
      <c r="F74" s="157"/>
      <c r="G74" s="157"/>
      <c r="H74" s="157"/>
      <c r="I74" s="157"/>
      <c r="J74" s="157"/>
      <c r="K74" s="157"/>
      <c r="L74" s="157"/>
      <c r="M74" s="157"/>
      <c r="N74" s="157"/>
      <c r="O74" s="156"/>
      <c r="P74" s="107"/>
      <c r="Q74" s="156"/>
    </row>
    <row r="75" spans="1:16" ht="12.75" customHeight="1">
      <c r="A75" s="261" t="s">
        <v>354</v>
      </c>
      <c r="B75" s="109"/>
      <c r="C75" s="113"/>
      <c r="D75" s="113"/>
      <c r="E75" s="113"/>
      <c r="F75" s="113"/>
      <c r="G75" s="113"/>
      <c r="H75" s="113"/>
      <c r="I75" s="113"/>
      <c r="J75" s="113"/>
      <c r="K75" s="113"/>
      <c r="L75" s="113"/>
      <c r="M75" s="113"/>
      <c r="N75" s="113"/>
      <c r="O75" s="109"/>
      <c r="P75" s="107"/>
    </row>
    <row r="77" ht="12">
      <c r="A77" s="242"/>
    </row>
    <row r="97" ht="12">
      <c r="A97" s="243" t="s">
        <v>298</v>
      </c>
    </row>
    <row r="98" ht="12">
      <c r="A98" s="108" t="s">
        <v>299</v>
      </c>
    </row>
  </sheetData>
  <printOptions horizontalCentered="1"/>
  <pageMargins left="0.167" right="0.167" top="0.52" bottom="0.75" header="0" footer="0.28"/>
  <pageSetup fitToHeight="1" fitToWidth="1" horizontalDpi="600" verticalDpi="600" orientation="portrait" scale="98" r:id="rId1"/>
  <headerFooter alignWithMargins="0">
    <oddFooter>&amp;C&amp;"Arial,Italic"&amp;9Vegetables and Melons Outlook&amp;"Arial,Regular"/VGS-330/December 16, 2008
Economic Research Service, USDA</oddFooter>
  </headerFooter>
</worksheet>
</file>

<file path=xl/worksheets/sheet11.xml><?xml version="1.0" encoding="utf-8"?>
<worksheet xmlns="http://schemas.openxmlformats.org/spreadsheetml/2006/main" xmlns:r="http://schemas.openxmlformats.org/officeDocument/2006/relationships">
  <sheetPr transitionEvaluation="1" transitionEntry="1">
    <tabColor indexed="10"/>
    <pageSetUpPr fitToPage="1"/>
  </sheetPr>
  <dimension ref="A1:Q89"/>
  <sheetViews>
    <sheetView showGridLines="0" workbookViewId="0" topLeftCell="A1">
      <selection activeCell="C4" sqref="C4"/>
    </sheetView>
  </sheetViews>
  <sheetFormatPr defaultColWidth="9.7109375" defaultRowHeight="12.75"/>
  <cols>
    <col min="1" max="1" width="9.57421875" style="108" customWidth="1"/>
    <col min="2" max="2" width="5.57421875" style="108" customWidth="1"/>
    <col min="3" max="15" width="6.00390625" style="108" customWidth="1"/>
    <col min="16" max="16" width="1.7109375" style="108" customWidth="1"/>
    <col min="17" max="17" width="9.28125" style="108" customWidth="1"/>
    <col min="18" max="18" width="11.140625" style="108" customWidth="1"/>
    <col min="19" max="16384" width="9.7109375" style="108" customWidth="1"/>
  </cols>
  <sheetData>
    <row r="1" spans="1:17" ht="19.5" customHeight="1">
      <c r="A1" s="186" t="s">
        <v>428</v>
      </c>
      <c r="B1" s="105"/>
      <c r="C1" s="106"/>
      <c r="D1" s="106"/>
      <c r="E1" s="106"/>
      <c r="F1" s="106"/>
      <c r="G1" s="106"/>
      <c r="H1" s="106"/>
      <c r="I1" s="106"/>
      <c r="J1" s="106"/>
      <c r="K1" s="106"/>
      <c r="L1" s="106"/>
      <c r="M1" s="106"/>
      <c r="N1" s="106"/>
      <c r="O1" s="105"/>
      <c r="P1" s="107"/>
      <c r="Q1" s="167"/>
    </row>
    <row r="2" spans="1:17" ht="10.5" customHeight="1">
      <c r="A2" s="665"/>
      <c r="B2" s="666"/>
      <c r="C2" s="667"/>
      <c r="D2" s="667"/>
      <c r="E2" s="667"/>
      <c r="F2" s="667"/>
      <c r="G2" s="667"/>
      <c r="H2" s="667"/>
      <c r="I2" s="667"/>
      <c r="J2" s="667"/>
      <c r="K2" s="667"/>
      <c r="L2" s="667"/>
      <c r="M2" s="667"/>
      <c r="N2" s="667"/>
      <c r="O2" s="666"/>
      <c r="P2" s="107"/>
      <c r="Q2" s="668" t="s">
        <v>159</v>
      </c>
    </row>
    <row r="3" spans="1:17" ht="11.25" customHeight="1">
      <c r="A3" s="343" t="s">
        <v>122</v>
      </c>
      <c r="B3" s="344" t="s">
        <v>119</v>
      </c>
      <c r="C3" s="341" t="s">
        <v>97</v>
      </c>
      <c r="D3" s="341" t="s">
        <v>98</v>
      </c>
      <c r="E3" s="341" t="s">
        <v>99</v>
      </c>
      <c r="F3" s="341" t="s">
        <v>100</v>
      </c>
      <c r="G3" s="341" t="s">
        <v>101</v>
      </c>
      <c r="H3" s="341" t="s">
        <v>102</v>
      </c>
      <c r="I3" s="341" t="s">
        <v>103</v>
      </c>
      <c r="J3" s="341" t="s">
        <v>104</v>
      </c>
      <c r="K3" s="341" t="s">
        <v>105</v>
      </c>
      <c r="L3" s="341" t="s">
        <v>106</v>
      </c>
      <c r="M3" s="341" t="s">
        <v>107</v>
      </c>
      <c r="N3" s="341" t="s">
        <v>108</v>
      </c>
      <c r="O3" s="340" t="s">
        <v>123</v>
      </c>
      <c r="P3" s="107"/>
      <c r="Q3" s="328" t="s">
        <v>574</v>
      </c>
    </row>
    <row r="4" spans="1:17" ht="12" customHeight="1">
      <c r="A4" s="109"/>
      <c r="B4" s="109"/>
      <c r="C4" s="194" t="s">
        <v>124</v>
      </c>
      <c r="D4" s="110"/>
      <c r="E4" s="110"/>
      <c r="F4" s="110"/>
      <c r="G4" s="110"/>
      <c r="H4" s="111"/>
      <c r="I4" s="110"/>
      <c r="J4" s="110"/>
      <c r="K4" s="110"/>
      <c r="L4" s="110"/>
      <c r="M4" s="110"/>
      <c r="N4" s="110"/>
      <c r="O4" s="112"/>
      <c r="P4" s="107"/>
      <c r="Q4" s="193" t="s">
        <v>30</v>
      </c>
    </row>
    <row r="5" spans="1:17" ht="4.5" customHeight="1">
      <c r="A5" s="109"/>
      <c r="B5" s="109"/>
      <c r="C5" s="113"/>
      <c r="D5" s="113"/>
      <c r="E5" s="113"/>
      <c r="F5" s="113"/>
      <c r="G5" s="113"/>
      <c r="H5" s="113"/>
      <c r="I5" s="113"/>
      <c r="J5" s="113"/>
      <c r="K5" s="113"/>
      <c r="L5" s="113"/>
      <c r="M5" s="113"/>
      <c r="N5" s="113"/>
      <c r="O5" s="109"/>
      <c r="P5" s="107"/>
      <c r="Q5" s="59"/>
    </row>
    <row r="6" spans="1:17" ht="9.75" customHeight="1">
      <c r="A6" s="405" t="s">
        <v>274</v>
      </c>
      <c r="B6" s="115">
        <v>2002</v>
      </c>
      <c r="C6" s="116">
        <v>122.5</v>
      </c>
      <c r="D6" s="116">
        <v>151.2</v>
      </c>
      <c r="E6" s="116">
        <v>137</v>
      </c>
      <c r="F6" s="116">
        <v>159.9</v>
      </c>
      <c r="G6" s="116">
        <v>246</v>
      </c>
      <c r="H6" s="116">
        <v>233.7</v>
      </c>
      <c r="I6" s="116">
        <v>194.7</v>
      </c>
      <c r="J6" s="116">
        <v>124.5</v>
      </c>
      <c r="K6" s="116">
        <v>129.6</v>
      </c>
      <c r="L6" s="116">
        <v>129</v>
      </c>
      <c r="M6" s="116">
        <v>121.8</v>
      </c>
      <c r="N6" s="116">
        <v>204.8</v>
      </c>
      <c r="O6" s="116">
        <f>AVERAGEA(C6:N6)</f>
        <v>162.89166666666665</v>
      </c>
      <c r="P6" s="107"/>
      <c r="Q6" s="198" t="s">
        <v>157</v>
      </c>
    </row>
    <row r="7" spans="1:17" ht="9.75" customHeight="1">
      <c r="A7" s="109"/>
      <c r="B7" s="115">
        <v>2003</v>
      </c>
      <c r="C7" s="116">
        <v>132.4</v>
      </c>
      <c r="D7" s="116">
        <v>152.2</v>
      </c>
      <c r="E7" s="194" t="s">
        <v>254</v>
      </c>
      <c r="F7" s="116">
        <v>197.5</v>
      </c>
      <c r="G7" s="116">
        <v>146</v>
      </c>
      <c r="H7" s="116">
        <v>149.7</v>
      </c>
      <c r="I7" s="116">
        <v>138.8</v>
      </c>
      <c r="J7" s="116">
        <v>118</v>
      </c>
      <c r="K7" s="116">
        <v>137.6</v>
      </c>
      <c r="L7" s="116">
        <v>168.6</v>
      </c>
      <c r="M7" s="116">
        <v>142.1</v>
      </c>
      <c r="N7" s="116">
        <v>118.5</v>
      </c>
      <c r="O7" s="116">
        <f>SUM(C7:N7)/11</f>
        <v>145.58181818181814</v>
      </c>
      <c r="P7" s="107"/>
      <c r="Q7" s="168">
        <f aca="true" t="shared" si="0" ref="Q7:Q12">((+M7/M6)-1)*100</f>
        <v>16.666666666666675</v>
      </c>
    </row>
    <row r="8" spans="1:17" ht="9.75" customHeight="1">
      <c r="A8" s="109"/>
      <c r="B8" s="115">
        <v>2004</v>
      </c>
      <c r="C8" s="116">
        <v>127.4</v>
      </c>
      <c r="D8" s="116">
        <v>123.7</v>
      </c>
      <c r="E8" s="116">
        <v>134.2</v>
      </c>
      <c r="F8" s="116">
        <v>127.2</v>
      </c>
      <c r="G8" s="116">
        <v>127.6</v>
      </c>
      <c r="H8" s="116">
        <v>132.7</v>
      </c>
      <c r="I8" s="116">
        <v>132.4</v>
      </c>
      <c r="J8" s="116">
        <v>137.9</v>
      </c>
      <c r="K8" s="116">
        <v>136.3</v>
      </c>
      <c r="L8" s="116">
        <v>158.9</v>
      </c>
      <c r="M8" s="116">
        <v>159.1</v>
      </c>
      <c r="N8" s="116">
        <v>155.8</v>
      </c>
      <c r="O8" s="116">
        <f>SUM(C8:N8)/12</f>
        <v>137.76666666666665</v>
      </c>
      <c r="P8" s="107"/>
      <c r="Q8" s="168">
        <f t="shared" si="0"/>
        <v>11.963406052075998</v>
      </c>
    </row>
    <row r="9" spans="1:17" ht="9.75" customHeight="1">
      <c r="A9" s="109"/>
      <c r="B9" s="115">
        <v>2005</v>
      </c>
      <c r="C9" s="116">
        <v>165.5</v>
      </c>
      <c r="D9" s="116">
        <v>149</v>
      </c>
      <c r="E9" s="116">
        <v>144.9</v>
      </c>
      <c r="F9" s="116">
        <v>194.8</v>
      </c>
      <c r="G9" s="116">
        <v>228.6</v>
      </c>
      <c r="H9" s="116">
        <v>146.5</v>
      </c>
      <c r="I9" s="116">
        <v>175.5</v>
      </c>
      <c r="J9" s="116">
        <v>169.6</v>
      </c>
      <c r="K9" s="116">
        <v>231.2</v>
      </c>
      <c r="L9" s="116">
        <v>201.6</v>
      </c>
      <c r="M9" s="116">
        <v>170.8</v>
      </c>
      <c r="N9" s="116">
        <v>182.5</v>
      </c>
      <c r="O9" s="116">
        <f>SUM(C9:N9)/12</f>
        <v>180.04166666666666</v>
      </c>
      <c r="P9" s="107"/>
      <c r="Q9" s="168">
        <f t="shared" si="0"/>
        <v>7.35386549340038</v>
      </c>
    </row>
    <row r="10" spans="1:17" s="531" customFormat="1" ht="9.75" customHeight="1">
      <c r="A10" s="530"/>
      <c r="B10" s="465">
        <v>2006</v>
      </c>
      <c r="C10" s="467">
        <v>186.7</v>
      </c>
      <c r="D10" s="467">
        <v>185.8</v>
      </c>
      <c r="E10" s="467">
        <v>223</v>
      </c>
      <c r="F10" s="467">
        <v>166.9</v>
      </c>
      <c r="G10" s="467">
        <v>165.4</v>
      </c>
      <c r="H10" s="467">
        <v>171.8</v>
      </c>
      <c r="I10" s="467">
        <v>172.9</v>
      </c>
      <c r="J10" s="467">
        <v>157.6</v>
      </c>
      <c r="K10" s="467">
        <v>189.7</v>
      </c>
      <c r="L10" s="467">
        <v>211</v>
      </c>
      <c r="M10" s="467">
        <v>195.4</v>
      </c>
      <c r="N10" s="467">
        <v>181.8</v>
      </c>
      <c r="O10" s="467">
        <f>AVERAGE(C10:N10)</f>
        <v>184</v>
      </c>
      <c r="P10" s="468"/>
      <c r="Q10" s="168">
        <f t="shared" si="0"/>
        <v>14.402810304449654</v>
      </c>
    </row>
    <row r="11" spans="1:17" ht="9.75" customHeight="1">
      <c r="A11" s="109"/>
      <c r="B11" s="346">
        <v>2007</v>
      </c>
      <c r="C11" s="348">
        <v>199.2</v>
      </c>
      <c r="D11" s="348">
        <v>236.3</v>
      </c>
      <c r="E11" s="348">
        <v>223.8</v>
      </c>
      <c r="F11" s="348">
        <v>179.5</v>
      </c>
      <c r="G11" s="348">
        <v>217.1</v>
      </c>
      <c r="H11" s="348">
        <v>169.9</v>
      </c>
      <c r="I11" s="348">
        <v>156.1</v>
      </c>
      <c r="J11" s="348">
        <v>160</v>
      </c>
      <c r="K11" s="348">
        <v>190.3</v>
      </c>
      <c r="L11" s="348">
        <v>199.4</v>
      </c>
      <c r="M11" s="348">
        <v>212.7</v>
      </c>
      <c r="N11" s="348">
        <v>183</v>
      </c>
      <c r="O11" s="348">
        <f>AVERAGE(C11:N11)</f>
        <v>193.94166666666663</v>
      </c>
      <c r="P11" s="349"/>
      <c r="Q11" s="168">
        <f t="shared" si="0"/>
        <v>8.85363357215967</v>
      </c>
    </row>
    <row r="12" spans="1:17" ht="9.75" customHeight="1">
      <c r="A12" s="109"/>
      <c r="B12" s="346">
        <v>2008</v>
      </c>
      <c r="C12" s="348">
        <v>177.9</v>
      </c>
      <c r="D12" s="348">
        <v>163.5</v>
      </c>
      <c r="E12" s="348">
        <v>159.4</v>
      </c>
      <c r="F12" s="348">
        <v>176</v>
      </c>
      <c r="G12" s="348">
        <v>215.2</v>
      </c>
      <c r="H12" s="348">
        <v>202.4</v>
      </c>
      <c r="I12" s="348">
        <v>218.9</v>
      </c>
      <c r="J12" s="348">
        <v>200.3</v>
      </c>
      <c r="K12" s="348">
        <v>193.7</v>
      </c>
      <c r="L12" s="348">
        <v>196.7</v>
      </c>
      <c r="M12" s="348">
        <v>200.7</v>
      </c>
      <c r="N12" s="348"/>
      <c r="O12" s="348"/>
      <c r="P12" s="349"/>
      <c r="Q12" s="168">
        <f t="shared" si="0"/>
        <v>-5.641748942172075</v>
      </c>
    </row>
    <row r="13" spans="1:17" ht="3" customHeight="1">
      <c r="A13" s="109"/>
      <c r="B13" s="117"/>
      <c r="C13" s="116"/>
      <c r="D13" s="116"/>
      <c r="E13" s="116"/>
      <c r="F13" s="116"/>
      <c r="G13" s="116"/>
      <c r="H13" s="116"/>
      <c r="I13" s="116"/>
      <c r="J13" s="116"/>
      <c r="K13" s="116"/>
      <c r="L13" s="116"/>
      <c r="M13" s="116"/>
      <c r="N13" s="116"/>
      <c r="O13" s="116"/>
      <c r="P13" s="107"/>
      <c r="Q13" s="168"/>
    </row>
    <row r="14" spans="1:17" ht="9.75" customHeight="1">
      <c r="A14" s="405" t="s">
        <v>273</v>
      </c>
      <c r="B14" s="115">
        <v>2002</v>
      </c>
      <c r="C14" s="116">
        <v>207.7</v>
      </c>
      <c r="D14" s="116">
        <v>108.9</v>
      </c>
      <c r="E14" s="116">
        <v>129.5</v>
      </c>
      <c r="F14" s="116">
        <v>122.6</v>
      </c>
      <c r="G14" s="116">
        <v>89.6</v>
      </c>
      <c r="H14" s="116">
        <v>115.9</v>
      </c>
      <c r="I14" s="116">
        <v>133.1</v>
      </c>
      <c r="J14" s="116">
        <v>102.7</v>
      </c>
      <c r="K14" s="116">
        <v>87.2</v>
      </c>
      <c r="L14" s="116">
        <v>144.7</v>
      </c>
      <c r="M14" s="116">
        <v>185.3</v>
      </c>
      <c r="N14" s="116">
        <v>199.6</v>
      </c>
      <c r="O14" s="116">
        <f>AVERAGEA(C14:N14)</f>
        <v>135.56666666666666</v>
      </c>
      <c r="P14" s="107"/>
      <c r="Q14" s="198" t="s">
        <v>157</v>
      </c>
    </row>
    <row r="15" spans="1:17" ht="9.75" customHeight="1">
      <c r="A15" s="109"/>
      <c r="B15" s="115">
        <v>2003</v>
      </c>
      <c r="C15" s="116">
        <v>227.8</v>
      </c>
      <c r="D15" s="116">
        <v>137.3</v>
      </c>
      <c r="E15" s="116">
        <v>225.8</v>
      </c>
      <c r="F15" s="116">
        <v>126.6</v>
      </c>
      <c r="G15" s="116">
        <v>87.3</v>
      </c>
      <c r="H15" s="116">
        <v>168.3</v>
      </c>
      <c r="I15" s="116">
        <v>187.1</v>
      </c>
      <c r="J15" s="116">
        <v>224.9</v>
      </c>
      <c r="K15" s="116">
        <v>166.2</v>
      </c>
      <c r="L15" s="116">
        <v>149.2</v>
      </c>
      <c r="M15" s="116">
        <v>163.9</v>
      </c>
      <c r="N15" s="116">
        <v>166.6</v>
      </c>
      <c r="O15" s="116">
        <f>AVERAGEA(C15:N15)</f>
        <v>169.25000000000003</v>
      </c>
      <c r="P15" s="107"/>
      <c r="Q15" s="168">
        <f aca="true" t="shared" si="1" ref="Q15:Q20">((+M15/M14)-1)*100</f>
        <v>-11.548839719373994</v>
      </c>
    </row>
    <row r="16" spans="1:17" ht="9.75" customHeight="1">
      <c r="A16" s="109"/>
      <c r="B16" s="115">
        <v>2004</v>
      </c>
      <c r="C16" s="116">
        <v>117</v>
      </c>
      <c r="D16" s="116">
        <v>131.7</v>
      </c>
      <c r="E16" s="116">
        <v>209.3</v>
      </c>
      <c r="F16" s="116">
        <v>204.6</v>
      </c>
      <c r="G16" s="116">
        <v>217.7</v>
      </c>
      <c r="H16" s="116">
        <v>89.3</v>
      </c>
      <c r="I16" s="116">
        <v>111</v>
      </c>
      <c r="J16" s="116">
        <v>168.6</v>
      </c>
      <c r="K16" s="116">
        <v>171.6</v>
      </c>
      <c r="L16" s="116">
        <v>333.9</v>
      </c>
      <c r="M16" s="116">
        <v>415</v>
      </c>
      <c r="N16" s="116">
        <v>204.9</v>
      </c>
      <c r="O16" s="116">
        <f>AVERAGEA(C16:N16)</f>
        <v>197.88333333333333</v>
      </c>
      <c r="P16" s="107"/>
      <c r="Q16" s="168">
        <f t="shared" si="1"/>
        <v>153.2031726662599</v>
      </c>
    </row>
    <row r="17" spans="1:17" ht="9.75" customHeight="1">
      <c r="A17" s="109"/>
      <c r="B17" s="115">
        <v>2005</v>
      </c>
      <c r="C17" s="116">
        <v>97</v>
      </c>
      <c r="D17" s="116">
        <v>169.6</v>
      </c>
      <c r="E17" s="116">
        <v>193.7</v>
      </c>
      <c r="F17" s="116">
        <v>175.9</v>
      </c>
      <c r="G17" s="116">
        <v>196.5</v>
      </c>
      <c r="H17" s="116">
        <v>206.1</v>
      </c>
      <c r="I17" s="116">
        <v>170.2</v>
      </c>
      <c r="J17" s="116">
        <v>115.3</v>
      </c>
      <c r="K17" s="116">
        <v>173.4</v>
      </c>
      <c r="L17" s="116">
        <v>195.2</v>
      </c>
      <c r="M17" s="116">
        <v>202.8</v>
      </c>
      <c r="N17" s="116">
        <v>288.5</v>
      </c>
      <c r="O17" s="116">
        <f>AVERAGEA(C17:N17)</f>
        <v>182.01666666666665</v>
      </c>
      <c r="P17" s="107"/>
      <c r="Q17" s="168">
        <f t="shared" si="1"/>
        <v>-51.132530120481924</v>
      </c>
    </row>
    <row r="18" spans="1:17" s="531" customFormat="1" ht="9.75" customHeight="1">
      <c r="A18" s="530"/>
      <c r="B18" s="465">
        <v>2006</v>
      </c>
      <c r="C18" s="467">
        <v>465.7</v>
      </c>
      <c r="D18" s="467">
        <v>178.2</v>
      </c>
      <c r="E18" s="467">
        <v>119.8</v>
      </c>
      <c r="F18" s="467">
        <v>139.6</v>
      </c>
      <c r="G18" s="467">
        <v>118.9</v>
      </c>
      <c r="H18" s="467">
        <v>155.3</v>
      </c>
      <c r="I18" s="467">
        <v>128.2</v>
      </c>
      <c r="J18" s="467">
        <v>157.3</v>
      </c>
      <c r="K18" s="467">
        <v>324</v>
      </c>
      <c r="L18" s="467">
        <v>284.8</v>
      </c>
      <c r="M18" s="467">
        <v>136.1</v>
      </c>
      <c r="N18" s="467">
        <v>136.7</v>
      </c>
      <c r="O18" s="467">
        <f>AVERAGE(C18:N18)</f>
        <v>195.38333333333333</v>
      </c>
      <c r="P18" s="468"/>
      <c r="Q18" s="168">
        <f t="shared" si="1"/>
        <v>-32.88954635108482</v>
      </c>
    </row>
    <row r="19" spans="1:17" ht="9.75" customHeight="1">
      <c r="A19" s="109"/>
      <c r="B19" s="346">
        <v>2007</v>
      </c>
      <c r="C19" s="348">
        <v>146.7</v>
      </c>
      <c r="D19" s="348">
        <v>197.8</v>
      </c>
      <c r="E19" s="348">
        <v>153.2</v>
      </c>
      <c r="F19" s="348">
        <v>223.4</v>
      </c>
      <c r="G19" s="348">
        <v>167.6</v>
      </c>
      <c r="H19" s="348">
        <v>133</v>
      </c>
      <c r="I19" s="348">
        <v>135.6</v>
      </c>
      <c r="J19" s="348">
        <v>125.4</v>
      </c>
      <c r="K19" s="348">
        <v>127</v>
      </c>
      <c r="L19" s="348">
        <v>266.9</v>
      </c>
      <c r="M19" s="348">
        <v>267.2</v>
      </c>
      <c r="N19" s="348">
        <v>412.9</v>
      </c>
      <c r="O19" s="348">
        <f>AVERAGE(C19:N19)</f>
        <v>196.39166666666665</v>
      </c>
      <c r="P19" s="349"/>
      <c r="Q19" s="168">
        <f t="shared" si="1"/>
        <v>96.32623071271125</v>
      </c>
    </row>
    <row r="20" spans="1:17" ht="9.75" customHeight="1">
      <c r="A20" s="109"/>
      <c r="B20" s="346">
        <v>2008</v>
      </c>
      <c r="C20" s="348">
        <v>311.2</v>
      </c>
      <c r="D20" s="348">
        <v>223.5</v>
      </c>
      <c r="E20" s="348">
        <v>409.5</v>
      </c>
      <c r="F20" s="348">
        <v>285.5</v>
      </c>
      <c r="G20" s="348">
        <v>222.5</v>
      </c>
      <c r="H20" s="348">
        <v>297.8</v>
      </c>
      <c r="I20" s="348">
        <v>160.7</v>
      </c>
      <c r="J20" s="348">
        <v>142.9</v>
      </c>
      <c r="K20" s="348">
        <v>127.7</v>
      </c>
      <c r="L20" s="348">
        <v>158.5</v>
      </c>
      <c r="M20" s="348">
        <v>290</v>
      </c>
      <c r="N20" s="348"/>
      <c r="O20" s="348"/>
      <c r="P20" s="349"/>
      <c r="Q20" s="168">
        <f t="shared" si="1"/>
        <v>8.532934131736525</v>
      </c>
    </row>
    <row r="21" spans="1:17" ht="3.75" customHeight="1">
      <c r="A21" s="109"/>
      <c r="B21" s="115"/>
      <c r="C21" s="116"/>
      <c r="D21" s="116"/>
      <c r="E21" s="116"/>
      <c r="F21" s="116"/>
      <c r="G21" s="116"/>
      <c r="H21" s="116"/>
      <c r="I21" s="116"/>
      <c r="J21" s="116"/>
      <c r="K21" s="116"/>
      <c r="L21" s="116"/>
      <c r="M21" s="116"/>
      <c r="N21" s="116"/>
      <c r="O21" s="116"/>
      <c r="P21" s="107"/>
      <c r="Q21" s="168"/>
    </row>
    <row r="22" spans="1:17" ht="11.25" customHeight="1">
      <c r="A22" s="109"/>
      <c r="B22" s="115"/>
      <c r="C22" s="194" t="s">
        <v>253</v>
      </c>
      <c r="D22" s="199"/>
      <c r="E22" s="199"/>
      <c r="F22" s="199"/>
      <c r="G22" s="199"/>
      <c r="H22" s="199"/>
      <c r="I22" s="199"/>
      <c r="J22" s="199"/>
      <c r="K22" s="199"/>
      <c r="L22" s="199"/>
      <c r="M22" s="199"/>
      <c r="N22" s="199"/>
      <c r="O22" s="199"/>
      <c r="P22" s="107"/>
      <c r="Q22" s="168"/>
    </row>
    <row r="23" spans="1:16" ht="6" customHeight="1">
      <c r="A23" s="109"/>
      <c r="B23" s="117"/>
      <c r="C23" s="116"/>
      <c r="D23" s="116"/>
      <c r="E23" s="116"/>
      <c r="F23" s="116"/>
      <c r="G23" s="116"/>
      <c r="H23" s="116"/>
      <c r="I23" s="116"/>
      <c r="J23" s="116"/>
      <c r="K23" s="116"/>
      <c r="L23" s="116"/>
      <c r="M23" s="116"/>
      <c r="N23" s="116"/>
      <c r="O23" s="116"/>
      <c r="P23" s="107"/>
    </row>
    <row r="24" spans="1:17" ht="9.75" customHeight="1">
      <c r="A24" s="405" t="s">
        <v>272</v>
      </c>
      <c r="B24" s="115">
        <v>2002</v>
      </c>
      <c r="C24" s="116">
        <v>122.4</v>
      </c>
      <c r="D24" s="116">
        <v>119.8</v>
      </c>
      <c r="E24" s="116">
        <v>119.8</v>
      </c>
      <c r="F24" s="116">
        <v>118.5</v>
      </c>
      <c r="G24" s="194" t="s">
        <v>254</v>
      </c>
      <c r="H24" s="194" t="s">
        <v>254</v>
      </c>
      <c r="I24" s="194" t="s">
        <v>254</v>
      </c>
      <c r="J24" s="194" t="s">
        <v>254</v>
      </c>
      <c r="K24" s="194" t="s">
        <v>254</v>
      </c>
      <c r="L24" s="194" t="s">
        <v>254</v>
      </c>
      <c r="M24" s="194" t="s">
        <v>254</v>
      </c>
      <c r="N24" s="194" t="s">
        <v>254</v>
      </c>
      <c r="O24" s="116">
        <f>SUM(C24:N24)/4</f>
        <v>120.125</v>
      </c>
      <c r="P24" s="107"/>
      <c r="Q24" s="198" t="s">
        <v>151</v>
      </c>
    </row>
    <row r="25" spans="1:17" ht="9.75" customHeight="1">
      <c r="A25" s="109"/>
      <c r="B25" s="115">
        <v>2003</v>
      </c>
      <c r="C25" s="194" t="s">
        <v>254</v>
      </c>
      <c r="D25" s="116">
        <v>110.6</v>
      </c>
      <c r="E25" s="116">
        <v>113.2</v>
      </c>
      <c r="F25" s="116">
        <v>123.7</v>
      </c>
      <c r="G25" s="194" t="s">
        <v>254</v>
      </c>
      <c r="H25" s="194" t="s">
        <v>254</v>
      </c>
      <c r="I25" s="194" t="s">
        <v>254</v>
      </c>
      <c r="J25" s="194" t="s">
        <v>254</v>
      </c>
      <c r="K25" s="194" t="s">
        <v>254</v>
      </c>
      <c r="L25" s="194" t="s">
        <v>254</v>
      </c>
      <c r="M25" s="194" t="s">
        <v>254</v>
      </c>
      <c r="N25" s="116">
        <v>120.6</v>
      </c>
      <c r="O25" s="116">
        <f>SUM(C25:N25)/4</f>
        <v>117.025</v>
      </c>
      <c r="P25" s="107"/>
      <c r="Q25" s="198" t="s">
        <v>151</v>
      </c>
    </row>
    <row r="26" spans="1:17" ht="9.75" customHeight="1">
      <c r="A26" s="109"/>
      <c r="B26" s="115">
        <v>2004</v>
      </c>
      <c r="C26" s="116">
        <v>124.2</v>
      </c>
      <c r="D26" s="116">
        <v>113.2</v>
      </c>
      <c r="E26" s="116">
        <v>110.6</v>
      </c>
      <c r="F26" s="116">
        <v>110.1</v>
      </c>
      <c r="G26" s="194" t="s">
        <v>254</v>
      </c>
      <c r="H26" s="116">
        <v>110</v>
      </c>
      <c r="I26" s="116">
        <v>91.6</v>
      </c>
      <c r="J26" s="116">
        <v>73.3</v>
      </c>
      <c r="K26" s="116">
        <v>91.6</v>
      </c>
      <c r="L26" s="194" t="s">
        <v>254</v>
      </c>
      <c r="M26" s="116">
        <v>91.6</v>
      </c>
      <c r="N26" s="116">
        <v>109.9</v>
      </c>
      <c r="O26" s="116">
        <f>SUM(C26:N26)/10</f>
        <v>102.61000000000001</v>
      </c>
      <c r="P26" s="107"/>
      <c r="Q26" s="198" t="s">
        <v>151</v>
      </c>
    </row>
    <row r="27" spans="1:17" ht="9.75" customHeight="1">
      <c r="A27" s="109"/>
      <c r="B27" s="115">
        <v>2005</v>
      </c>
      <c r="C27" s="116">
        <v>116.9</v>
      </c>
      <c r="D27" s="116">
        <v>104.1</v>
      </c>
      <c r="E27" s="116">
        <v>104.5</v>
      </c>
      <c r="F27" s="116">
        <v>106.1</v>
      </c>
      <c r="G27" s="116">
        <v>88.5</v>
      </c>
      <c r="H27" s="116">
        <v>95.3</v>
      </c>
      <c r="I27" s="116">
        <v>68.1</v>
      </c>
      <c r="J27" s="194" t="s">
        <v>254</v>
      </c>
      <c r="K27" s="194" t="s">
        <v>254</v>
      </c>
      <c r="L27" s="194" t="s">
        <v>254</v>
      </c>
      <c r="M27" s="194" t="s">
        <v>254</v>
      </c>
      <c r="N27" s="194" t="s">
        <v>254</v>
      </c>
      <c r="O27" s="116">
        <f>SUM(C27:N27)/7</f>
        <v>97.64285714285714</v>
      </c>
      <c r="P27" s="107"/>
      <c r="Q27" s="198" t="s">
        <v>151</v>
      </c>
    </row>
    <row r="28" spans="1:17" s="531" customFormat="1" ht="9.75" customHeight="1">
      <c r="A28" s="530"/>
      <c r="B28" s="465">
        <v>2006</v>
      </c>
      <c r="C28" s="532" t="s">
        <v>254</v>
      </c>
      <c r="D28" s="467">
        <v>117.2</v>
      </c>
      <c r="E28" s="467">
        <v>117.2</v>
      </c>
      <c r="F28" s="467">
        <v>122.2</v>
      </c>
      <c r="G28" s="467">
        <v>175.2</v>
      </c>
      <c r="H28" s="467">
        <v>121.3</v>
      </c>
      <c r="I28" s="467">
        <v>128.6</v>
      </c>
      <c r="J28" s="467">
        <v>114.3</v>
      </c>
      <c r="K28" s="467">
        <v>114.3</v>
      </c>
      <c r="L28" s="533" t="s">
        <v>257</v>
      </c>
      <c r="M28" s="467">
        <v>133.3</v>
      </c>
      <c r="N28" s="467">
        <v>126.5</v>
      </c>
      <c r="O28" s="467">
        <f>SUM(C28:N28)/10</f>
        <v>127.00999999999999</v>
      </c>
      <c r="P28" s="468"/>
      <c r="Q28" s="198" t="s">
        <v>151</v>
      </c>
    </row>
    <row r="29" spans="1:17" ht="9.75" customHeight="1">
      <c r="A29" s="109"/>
      <c r="B29" s="346">
        <v>2007</v>
      </c>
      <c r="C29" s="348">
        <v>123.1</v>
      </c>
      <c r="D29" s="348">
        <v>122.6</v>
      </c>
      <c r="E29" s="348">
        <v>126.3</v>
      </c>
      <c r="F29" s="348">
        <v>131.3</v>
      </c>
      <c r="G29" s="348">
        <v>132.4</v>
      </c>
      <c r="H29" s="348">
        <v>131.3</v>
      </c>
      <c r="I29" s="348">
        <v>118</v>
      </c>
      <c r="J29" s="348">
        <v>120.6</v>
      </c>
      <c r="K29" s="348">
        <v>134.7</v>
      </c>
      <c r="L29" s="348">
        <v>124.8</v>
      </c>
      <c r="M29" s="348">
        <v>127</v>
      </c>
      <c r="N29" s="348">
        <v>126.8</v>
      </c>
      <c r="O29" s="348">
        <f>SUM(C29:N29)/12</f>
        <v>126.57499999999999</v>
      </c>
      <c r="P29" s="349"/>
      <c r="Q29" s="168">
        <f>((+M29/M28)-1)*100</f>
        <v>-4.726181545386354</v>
      </c>
    </row>
    <row r="30" spans="1:17" ht="9.75" customHeight="1">
      <c r="A30" s="109"/>
      <c r="B30" s="346">
        <v>2008</v>
      </c>
      <c r="C30" s="348">
        <v>127.6</v>
      </c>
      <c r="D30" s="348">
        <v>126.2</v>
      </c>
      <c r="E30" s="348">
        <v>131.8</v>
      </c>
      <c r="F30" s="348">
        <v>123.8</v>
      </c>
      <c r="G30" s="348">
        <v>125.8</v>
      </c>
      <c r="H30" s="348">
        <v>97.5</v>
      </c>
      <c r="I30" s="348">
        <v>131.8</v>
      </c>
      <c r="J30" s="348">
        <v>123.8</v>
      </c>
      <c r="K30" s="348">
        <v>139.6</v>
      </c>
      <c r="L30" s="348">
        <v>129.3</v>
      </c>
      <c r="M30" s="348">
        <v>124.6</v>
      </c>
      <c r="N30" s="348"/>
      <c r="O30" s="348"/>
      <c r="P30" s="349"/>
      <c r="Q30" s="168">
        <f>((+M30/M29)-1)*100</f>
        <v>-1.8897637795275646</v>
      </c>
    </row>
    <row r="31" spans="1:16" ht="6" customHeight="1">
      <c r="A31" s="109"/>
      <c r="B31" s="117"/>
      <c r="C31" s="116"/>
      <c r="D31" s="116"/>
      <c r="E31" s="116"/>
      <c r="F31" s="116"/>
      <c r="G31" s="116"/>
      <c r="H31" s="116"/>
      <c r="I31" s="116"/>
      <c r="J31" s="116"/>
      <c r="K31" s="116"/>
      <c r="L31" s="116"/>
      <c r="M31" s="116"/>
      <c r="N31" s="116"/>
      <c r="O31" s="116"/>
      <c r="P31" s="107"/>
    </row>
    <row r="32" spans="1:17" ht="9.75" customHeight="1">
      <c r="A32" s="404" t="s">
        <v>255</v>
      </c>
      <c r="B32" s="115">
        <v>2002</v>
      </c>
      <c r="C32" s="116">
        <v>258.2</v>
      </c>
      <c r="D32" s="116">
        <v>270.8</v>
      </c>
      <c r="E32" s="116">
        <v>205.4</v>
      </c>
      <c r="F32" s="116">
        <v>227.2</v>
      </c>
      <c r="G32" s="116">
        <v>270.8</v>
      </c>
      <c r="H32" s="116">
        <v>111.1</v>
      </c>
      <c r="I32" s="116">
        <v>109</v>
      </c>
      <c r="J32" s="194" t="s">
        <v>254</v>
      </c>
      <c r="K32" s="194" t="s">
        <v>254</v>
      </c>
      <c r="L32" s="116">
        <v>217.9</v>
      </c>
      <c r="M32" s="116">
        <v>263.7</v>
      </c>
      <c r="N32" s="116">
        <v>129.1</v>
      </c>
      <c r="O32" s="116">
        <f>SUM(C32:N32)/10</f>
        <v>206.32</v>
      </c>
      <c r="P32" s="107"/>
      <c r="Q32" s="198" t="s">
        <v>151</v>
      </c>
    </row>
    <row r="33" spans="1:17" ht="9.75" customHeight="1">
      <c r="A33" s="109"/>
      <c r="B33" s="115">
        <v>2003</v>
      </c>
      <c r="C33" s="116">
        <v>249</v>
      </c>
      <c r="D33" s="116">
        <v>183.6</v>
      </c>
      <c r="E33" s="116">
        <v>270.8</v>
      </c>
      <c r="F33" s="116">
        <v>183.6</v>
      </c>
      <c r="G33" s="116">
        <v>227.2</v>
      </c>
      <c r="H33" s="116">
        <v>138.4</v>
      </c>
      <c r="I33" s="116">
        <v>207</v>
      </c>
      <c r="J33" s="194" t="s">
        <v>254</v>
      </c>
      <c r="K33" s="194" t="s">
        <v>254</v>
      </c>
      <c r="L33" s="194" t="s">
        <v>254</v>
      </c>
      <c r="M33" s="116">
        <v>196.1</v>
      </c>
      <c r="N33" s="116">
        <v>171.1</v>
      </c>
      <c r="O33" s="116">
        <f>SUM(C33:N33)/9</f>
        <v>202.97777777777776</v>
      </c>
      <c r="P33" s="107"/>
      <c r="Q33" s="168">
        <f aca="true" t="shared" si="2" ref="Q33:Q38">((+M33/M32)-1)*100</f>
        <v>-25.635191505498668</v>
      </c>
    </row>
    <row r="34" spans="1:17" ht="9.75" customHeight="1">
      <c r="A34" s="109"/>
      <c r="B34" s="115">
        <v>2004</v>
      </c>
      <c r="C34" s="116">
        <v>301.8</v>
      </c>
      <c r="D34" s="116">
        <v>358</v>
      </c>
      <c r="E34" s="116">
        <v>414.1</v>
      </c>
      <c r="F34" s="116">
        <v>488.7</v>
      </c>
      <c r="G34" s="116">
        <v>434.8</v>
      </c>
      <c r="H34" s="116">
        <v>353.3</v>
      </c>
      <c r="I34" s="116">
        <v>320.6</v>
      </c>
      <c r="J34" s="116">
        <v>301.8</v>
      </c>
      <c r="K34" s="116">
        <v>452.7</v>
      </c>
      <c r="L34" s="116">
        <v>441.1</v>
      </c>
      <c r="M34" s="116">
        <v>222.5</v>
      </c>
      <c r="N34" s="116">
        <v>237.2</v>
      </c>
      <c r="O34" s="116">
        <f>AVERAGEA(C34:N34)</f>
        <v>360.55</v>
      </c>
      <c r="P34" s="107"/>
      <c r="Q34" s="168">
        <f t="shared" si="2"/>
        <v>13.462519122896488</v>
      </c>
    </row>
    <row r="35" spans="1:17" ht="9.75" customHeight="1">
      <c r="A35" s="109"/>
      <c r="B35" s="115">
        <v>2005</v>
      </c>
      <c r="C35" s="116">
        <v>327.3</v>
      </c>
      <c r="D35" s="116">
        <v>348.8</v>
      </c>
      <c r="E35" s="116">
        <v>371.4</v>
      </c>
      <c r="F35" s="116">
        <v>481.6</v>
      </c>
      <c r="G35" s="116">
        <v>144.4</v>
      </c>
      <c r="H35" s="116">
        <v>360.1</v>
      </c>
      <c r="I35" s="116">
        <v>221.6</v>
      </c>
      <c r="J35" s="116">
        <v>184.7</v>
      </c>
      <c r="K35" s="116">
        <v>184.7</v>
      </c>
      <c r="L35" s="116">
        <v>127.3</v>
      </c>
      <c r="M35" s="116">
        <v>143.7</v>
      </c>
      <c r="N35" s="116">
        <v>290.8</v>
      </c>
      <c r="O35" s="116">
        <f>AVERAGEA(C35:N35)</f>
        <v>265.5333333333333</v>
      </c>
      <c r="P35" s="107"/>
      <c r="Q35" s="168">
        <f t="shared" si="2"/>
        <v>-35.41573033707866</v>
      </c>
    </row>
    <row r="36" spans="1:17" s="531" customFormat="1" ht="9.75" customHeight="1">
      <c r="A36" s="530"/>
      <c r="B36" s="465">
        <v>2006</v>
      </c>
      <c r="C36" s="467">
        <v>268.1</v>
      </c>
      <c r="D36" s="467">
        <v>241.5</v>
      </c>
      <c r="E36" s="467">
        <v>375</v>
      </c>
      <c r="F36" s="467">
        <v>304.7</v>
      </c>
      <c r="G36" s="467">
        <v>242</v>
      </c>
      <c r="H36" s="467">
        <v>125.4</v>
      </c>
      <c r="I36" s="467">
        <v>162.3</v>
      </c>
      <c r="J36" s="467">
        <v>150.7</v>
      </c>
      <c r="K36" s="467">
        <v>182</v>
      </c>
      <c r="L36" s="467">
        <v>208.6</v>
      </c>
      <c r="M36" s="467">
        <v>177.4</v>
      </c>
      <c r="N36" s="467">
        <v>234.6</v>
      </c>
      <c r="O36" s="467">
        <f>AVERAGE(C36:N36)</f>
        <v>222.69166666666663</v>
      </c>
      <c r="P36" s="468"/>
      <c r="Q36" s="168">
        <f t="shared" si="2"/>
        <v>23.451635351426603</v>
      </c>
    </row>
    <row r="37" spans="1:17" ht="9.75" customHeight="1">
      <c r="A37" s="109"/>
      <c r="B37" s="346">
        <v>2007</v>
      </c>
      <c r="C37" s="348">
        <v>240.2</v>
      </c>
      <c r="D37" s="348">
        <v>278.9</v>
      </c>
      <c r="E37" s="348">
        <v>344.9</v>
      </c>
      <c r="F37" s="348">
        <v>609.6</v>
      </c>
      <c r="G37" s="348">
        <v>184.4</v>
      </c>
      <c r="H37" s="348">
        <v>173.5</v>
      </c>
      <c r="I37" s="348">
        <v>195.8</v>
      </c>
      <c r="J37" s="348">
        <v>179.5</v>
      </c>
      <c r="K37" s="348">
        <v>252.4</v>
      </c>
      <c r="L37" s="348">
        <v>127.3</v>
      </c>
      <c r="M37" s="348">
        <v>360.2</v>
      </c>
      <c r="N37" s="348">
        <v>254.4</v>
      </c>
      <c r="O37" s="348">
        <f>AVERAGE(C37:N37)</f>
        <v>266.7583333333334</v>
      </c>
      <c r="P37" s="349"/>
      <c r="Q37" s="168">
        <f t="shared" si="2"/>
        <v>103.04396843291994</v>
      </c>
    </row>
    <row r="38" spans="1:17" ht="9.75" customHeight="1">
      <c r="A38" s="109"/>
      <c r="B38" s="346">
        <v>2008</v>
      </c>
      <c r="C38" s="348">
        <v>369.4</v>
      </c>
      <c r="D38" s="348">
        <v>214.5</v>
      </c>
      <c r="E38" s="348">
        <v>376.3</v>
      </c>
      <c r="F38" s="348">
        <v>322.4</v>
      </c>
      <c r="G38" s="348">
        <v>236.8</v>
      </c>
      <c r="H38" s="348">
        <v>269.1</v>
      </c>
      <c r="I38" s="348">
        <v>227.7</v>
      </c>
      <c r="J38" s="348">
        <v>207</v>
      </c>
      <c r="K38" s="348">
        <v>213.9</v>
      </c>
      <c r="L38" s="348">
        <v>226.9</v>
      </c>
      <c r="M38" s="348">
        <v>445.8</v>
      </c>
      <c r="N38" s="348"/>
      <c r="O38" s="348"/>
      <c r="P38" s="349"/>
      <c r="Q38" s="168">
        <f t="shared" si="2"/>
        <v>23.76457523598001</v>
      </c>
    </row>
    <row r="39" spans="1:16" ht="6" customHeight="1">
      <c r="A39" s="109"/>
      <c r="B39" s="117"/>
      <c r="C39" s="116"/>
      <c r="D39" s="116"/>
      <c r="E39" s="116"/>
      <c r="F39" s="116"/>
      <c r="G39" s="116"/>
      <c r="H39" s="116"/>
      <c r="I39" s="116"/>
      <c r="J39" s="116"/>
      <c r="K39" s="116"/>
      <c r="L39" s="116"/>
      <c r="M39" s="116"/>
      <c r="N39" s="116"/>
      <c r="O39" s="116"/>
      <c r="P39" s="107"/>
    </row>
    <row r="40" spans="1:17" ht="9.75" customHeight="1">
      <c r="A40" s="405" t="s">
        <v>175</v>
      </c>
      <c r="B40" s="115">
        <v>2002</v>
      </c>
      <c r="C40" s="116">
        <v>132</v>
      </c>
      <c r="D40" s="116">
        <v>108.6</v>
      </c>
      <c r="E40" s="116">
        <v>114.1</v>
      </c>
      <c r="F40" s="116">
        <v>121.6</v>
      </c>
      <c r="G40" s="116">
        <v>114.3</v>
      </c>
      <c r="H40" s="116">
        <v>120</v>
      </c>
      <c r="I40" s="116">
        <v>118.4</v>
      </c>
      <c r="J40" s="116">
        <v>113.2</v>
      </c>
      <c r="K40" s="116">
        <v>137</v>
      </c>
      <c r="L40" s="116">
        <v>143.7</v>
      </c>
      <c r="M40" s="116">
        <v>131.9</v>
      </c>
      <c r="N40" s="116">
        <v>149.9</v>
      </c>
      <c r="O40" s="116">
        <f>AVERAGEA(C40:N40)</f>
        <v>125.39166666666667</v>
      </c>
      <c r="P40" s="107"/>
      <c r="Q40" s="198" t="s">
        <v>151</v>
      </c>
    </row>
    <row r="41" spans="1:17" ht="9.75" customHeight="1">
      <c r="A41" s="109"/>
      <c r="B41" s="115">
        <v>2003</v>
      </c>
      <c r="C41" s="116">
        <v>139.2</v>
      </c>
      <c r="D41" s="116">
        <v>150.8</v>
      </c>
      <c r="E41" s="116">
        <v>159.6</v>
      </c>
      <c r="F41" s="116">
        <v>170.6</v>
      </c>
      <c r="G41" s="116">
        <v>149.3</v>
      </c>
      <c r="H41" s="116">
        <v>120.4</v>
      </c>
      <c r="I41" s="116">
        <v>123</v>
      </c>
      <c r="J41" s="116">
        <v>143.3</v>
      </c>
      <c r="K41" s="116">
        <v>134.6</v>
      </c>
      <c r="L41" s="116">
        <v>140.1</v>
      </c>
      <c r="M41" s="116">
        <v>116.6</v>
      </c>
      <c r="N41" s="116">
        <v>120.2</v>
      </c>
      <c r="O41" s="116">
        <f>AVERAGEA(C41:N41)</f>
        <v>138.975</v>
      </c>
      <c r="P41" s="107"/>
      <c r="Q41" s="168">
        <f aca="true" t="shared" si="3" ref="Q41:Q46">((+M41/M40)-1)*100</f>
        <v>-11.599696739954524</v>
      </c>
    </row>
    <row r="42" spans="1:17" ht="9.75" customHeight="1">
      <c r="A42" s="109"/>
      <c r="B42" s="115">
        <v>2004</v>
      </c>
      <c r="C42" s="116">
        <v>128.8</v>
      </c>
      <c r="D42" s="116">
        <v>124.6</v>
      </c>
      <c r="E42" s="116">
        <v>116.7</v>
      </c>
      <c r="F42" s="116">
        <v>129.3</v>
      </c>
      <c r="G42" s="116">
        <v>124.7</v>
      </c>
      <c r="H42" s="116">
        <v>124.9</v>
      </c>
      <c r="I42" s="116">
        <v>132.8</v>
      </c>
      <c r="J42" s="116">
        <v>126.6</v>
      </c>
      <c r="K42" s="116">
        <v>134.8</v>
      </c>
      <c r="L42" s="116">
        <v>131.8</v>
      </c>
      <c r="M42" s="116">
        <v>114.9</v>
      </c>
      <c r="N42" s="116">
        <v>109.5</v>
      </c>
      <c r="O42" s="116">
        <f>AVERAGEA(C42:N42)</f>
        <v>124.95</v>
      </c>
      <c r="P42" s="107"/>
      <c r="Q42" s="168">
        <f t="shared" si="3"/>
        <v>-1.4579759862778596</v>
      </c>
    </row>
    <row r="43" spans="1:17" ht="9.75" customHeight="1">
      <c r="A43" s="109"/>
      <c r="B43" s="115">
        <v>2005</v>
      </c>
      <c r="C43" s="116">
        <v>137.1</v>
      </c>
      <c r="D43" s="116">
        <v>134.4</v>
      </c>
      <c r="E43" s="116">
        <v>125.8</v>
      </c>
      <c r="F43" s="116">
        <v>124.3</v>
      </c>
      <c r="G43" s="116">
        <v>109.1</v>
      </c>
      <c r="H43" s="116">
        <v>109.6</v>
      </c>
      <c r="I43" s="116">
        <v>133.6</v>
      </c>
      <c r="J43" s="116">
        <v>148.7</v>
      </c>
      <c r="K43" s="116">
        <v>179.2</v>
      </c>
      <c r="L43" s="116">
        <v>141.5</v>
      </c>
      <c r="M43" s="116">
        <v>125.4</v>
      </c>
      <c r="N43" s="116">
        <v>123.5</v>
      </c>
      <c r="O43" s="116">
        <f>AVERAGEA(C43:N43)</f>
        <v>132.68333333333337</v>
      </c>
      <c r="P43" s="107"/>
      <c r="Q43" s="168">
        <f t="shared" si="3"/>
        <v>9.138381201044377</v>
      </c>
    </row>
    <row r="44" spans="1:17" s="531" customFormat="1" ht="9.75" customHeight="1">
      <c r="A44" s="530"/>
      <c r="B44" s="465">
        <v>2006</v>
      </c>
      <c r="C44" s="467">
        <v>127.1</v>
      </c>
      <c r="D44" s="467">
        <v>130</v>
      </c>
      <c r="E44" s="467">
        <v>131.8</v>
      </c>
      <c r="F44" s="467">
        <v>138.9</v>
      </c>
      <c r="G44" s="467">
        <v>126.1</v>
      </c>
      <c r="H44" s="467">
        <v>116</v>
      </c>
      <c r="I44" s="467">
        <v>120.3</v>
      </c>
      <c r="J44" s="467">
        <v>158.6</v>
      </c>
      <c r="K44" s="467">
        <v>172.3</v>
      </c>
      <c r="L44" s="467">
        <v>166.2</v>
      </c>
      <c r="M44" s="467">
        <v>140.7</v>
      </c>
      <c r="N44" s="467">
        <v>143.9</v>
      </c>
      <c r="O44" s="467">
        <f>AVERAGE(C44:N44)</f>
        <v>139.32500000000002</v>
      </c>
      <c r="P44" s="468"/>
      <c r="Q44" s="168">
        <f t="shared" si="3"/>
        <v>12.200956937799035</v>
      </c>
    </row>
    <row r="45" spans="1:17" ht="9.75" customHeight="1">
      <c r="A45" s="109"/>
      <c r="B45" s="346">
        <v>2007</v>
      </c>
      <c r="C45" s="348">
        <v>138.9</v>
      </c>
      <c r="D45" s="348">
        <v>138.6</v>
      </c>
      <c r="E45" s="348">
        <v>139.2</v>
      </c>
      <c r="F45" s="348">
        <v>144.3</v>
      </c>
      <c r="G45" s="348">
        <v>134.6</v>
      </c>
      <c r="H45" s="348">
        <v>138.4</v>
      </c>
      <c r="I45" s="348">
        <v>155</v>
      </c>
      <c r="J45" s="348">
        <v>159.5</v>
      </c>
      <c r="K45" s="348">
        <v>176.8</v>
      </c>
      <c r="L45" s="348">
        <v>154.2</v>
      </c>
      <c r="M45" s="348">
        <v>150.4</v>
      </c>
      <c r="N45" s="348">
        <v>148</v>
      </c>
      <c r="O45" s="348">
        <f>AVERAGE(C45:N45)</f>
        <v>148.15833333333333</v>
      </c>
      <c r="P45" s="349"/>
      <c r="Q45" s="168">
        <f t="shared" si="3"/>
        <v>6.894100923951685</v>
      </c>
    </row>
    <row r="46" spans="1:17" ht="9.75" customHeight="1">
      <c r="A46" s="109"/>
      <c r="B46" s="346">
        <v>2008</v>
      </c>
      <c r="C46" s="348">
        <v>161.8</v>
      </c>
      <c r="D46" s="348">
        <v>152</v>
      </c>
      <c r="E46" s="348">
        <v>151.9</v>
      </c>
      <c r="F46" s="348">
        <v>151.1</v>
      </c>
      <c r="G46" s="348">
        <v>155.1</v>
      </c>
      <c r="H46" s="348">
        <v>144.1</v>
      </c>
      <c r="I46" s="348">
        <v>162.6</v>
      </c>
      <c r="J46" s="348">
        <v>164.3</v>
      </c>
      <c r="K46" s="348">
        <v>164.2</v>
      </c>
      <c r="L46" s="348">
        <v>159.5</v>
      </c>
      <c r="M46" s="348">
        <v>152.6</v>
      </c>
      <c r="N46" s="348"/>
      <c r="O46" s="348"/>
      <c r="P46" s="349"/>
      <c r="Q46" s="168">
        <f t="shared" si="3"/>
        <v>1.46276595744681</v>
      </c>
    </row>
    <row r="47" spans="1:17" ht="5.25" customHeight="1">
      <c r="A47" s="109"/>
      <c r="B47" s="115"/>
      <c r="C47" s="116"/>
      <c r="D47" s="116"/>
      <c r="E47" s="116"/>
      <c r="F47" s="116"/>
      <c r="G47" s="116"/>
      <c r="H47" s="116"/>
      <c r="I47" s="116"/>
      <c r="J47" s="116"/>
      <c r="K47" s="116"/>
      <c r="L47" s="116"/>
      <c r="M47" s="116"/>
      <c r="N47" s="116"/>
      <c r="O47" s="116"/>
      <c r="P47" s="107"/>
      <c r="Q47" s="168"/>
    </row>
    <row r="48" spans="1:17" ht="9.75" customHeight="1">
      <c r="A48" s="405" t="s">
        <v>275</v>
      </c>
      <c r="B48" s="115">
        <v>2002</v>
      </c>
      <c r="C48" s="194" t="s">
        <v>254</v>
      </c>
      <c r="D48" s="116">
        <v>75.5</v>
      </c>
      <c r="E48" s="116">
        <v>227.4</v>
      </c>
      <c r="F48" s="116">
        <v>160.3</v>
      </c>
      <c r="G48" s="116">
        <v>229.9</v>
      </c>
      <c r="H48" s="194" t="s">
        <v>254</v>
      </c>
      <c r="I48" s="116">
        <v>219</v>
      </c>
      <c r="J48" s="116">
        <v>236.6</v>
      </c>
      <c r="K48" s="194" t="s">
        <v>254</v>
      </c>
      <c r="L48" s="194" t="s">
        <v>254</v>
      </c>
      <c r="M48" s="116">
        <v>159.8</v>
      </c>
      <c r="N48" s="116">
        <v>194.4</v>
      </c>
      <c r="O48" s="116">
        <f>SUM(C48:N48)/8</f>
        <v>187.8625</v>
      </c>
      <c r="P48" s="107"/>
      <c r="Q48" s="198" t="s">
        <v>151</v>
      </c>
    </row>
    <row r="49" spans="1:17" ht="9.75" customHeight="1">
      <c r="A49" s="407" t="s">
        <v>250</v>
      </c>
      <c r="B49" s="115">
        <v>2003</v>
      </c>
      <c r="C49" s="116">
        <v>309.8</v>
      </c>
      <c r="D49" s="116">
        <v>263.6</v>
      </c>
      <c r="E49" s="116">
        <v>160</v>
      </c>
      <c r="F49" s="116">
        <v>135.8</v>
      </c>
      <c r="G49" s="116">
        <v>181.6</v>
      </c>
      <c r="H49" s="116">
        <v>201.8</v>
      </c>
      <c r="I49" s="116">
        <v>271.3</v>
      </c>
      <c r="J49" s="116">
        <v>248.7</v>
      </c>
      <c r="K49" s="116">
        <v>230.6</v>
      </c>
      <c r="L49" s="116">
        <v>212.5</v>
      </c>
      <c r="M49" s="116">
        <v>199.5</v>
      </c>
      <c r="N49" s="116">
        <v>171.8</v>
      </c>
      <c r="O49" s="116">
        <f>AVERAGEA(C49:N49)</f>
        <v>215.58333333333334</v>
      </c>
      <c r="P49" s="107"/>
      <c r="Q49" s="168">
        <f aca="true" t="shared" si="4" ref="Q49:Q54">((+M49/M48)-1)*100</f>
        <v>24.84355444305382</v>
      </c>
    </row>
    <row r="50" spans="1:17" ht="9.75" customHeight="1">
      <c r="A50" s="109"/>
      <c r="B50" s="115">
        <v>2004</v>
      </c>
      <c r="C50" s="116">
        <v>326.3</v>
      </c>
      <c r="D50" s="116">
        <v>216.7</v>
      </c>
      <c r="E50" s="116">
        <v>316.1</v>
      </c>
      <c r="F50" s="116">
        <v>186.8</v>
      </c>
      <c r="G50" s="116">
        <v>183.1</v>
      </c>
      <c r="H50" s="116">
        <v>120.7</v>
      </c>
      <c r="I50" s="116">
        <v>136.4</v>
      </c>
      <c r="J50" s="116">
        <v>114.1</v>
      </c>
      <c r="K50" s="116">
        <v>204.2</v>
      </c>
      <c r="L50" s="116">
        <v>436</v>
      </c>
      <c r="M50" s="116">
        <v>744</v>
      </c>
      <c r="N50" s="116">
        <v>227.3</v>
      </c>
      <c r="O50" s="116">
        <f>AVERAGEA(C50:N50)</f>
        <v>267.6416666666667</v>
      </c>
      <c r="P50" s="107"/>
      <c r="Q50" s="168">
        <f t="shared" si="4"/>
        <v>272.93233082706763</v>
      </c>
    </row>
    <row r="51" spans="1:17" ht="9.75" customHeight="1">
      <c r="A51" s="109"/>
      <c r="B51" s="115">
        <v>2005</v>
      </c>
      <c r="C51" s="116">
        <v>213.3</v>
      </c>
      <c r="D51" s="116">
        <v>322.1</v>
      </c>
      <c r="E51" s="116">
        <v>350.9</v>
      </c>
      <c r="F51" s="116">
        <v>366.1</v>
      </c>
      <c r="G51" s="116">
        <v>205</v>
      </c>
      <c r="H51" s="116">
        <v>375.7</v>
      </c>
      <c r="I51" s="116">
        <v>183.6</v>
      </c>
      <c r="J51" s="116">
        <v>253.3</v>
      </c>
      <c r="K51" s="116">
        <v>271.6</v>
      </c>
      <c r="L51" s="116">
        <v>223.7</v>
      </c>
      <c r="M51" s="116">
        <v>465.1</v>
      </c>
      <c r="N51" s="116">
        <v>423.9</v>
      </c>
      <c r="O51" s="116">
        <f>AVERAGEA(C51:N51)</f>
        <v>304.525</v>
      </c>
      <c r="P51" s="107"/>
      <c r="Q51" s="168">
        <f t="shared" si="4"/>
        <v>-37.486559139784944</v>
      </c>
    </row>
    <row r="52" spans="1:17" s="531" customFormat="1" ht="9.75" customHeight="1">
      <c r="A52" s="530"/>
      <c r="B52" s="465">
        <v>2006</v>
      </c>
      <c r="C52" s="467">
        <v>526.8</v>
      </c>
      <c r="D52" s="467">
        <v>312.6</v>
      </c>
      <c r="E52" s="467">
        <v>199</v>
      </c>
      <c r="F52" s="467">
        <v>184.6</v>
      </c>
      <c r="G52" s="467">
        <v>201.4</v>
      </c>
      <c r="H52" s="467">
        <v>148.7</v>
      </c>
      <c r="I52" s="467">
        <v>206.9</v>
      </c>
      <c r="J52" s="467">
        <v>140.4</v>
      </c>
      <c r="K52" s="467">
        <v>176.9</v>
      </c>
      <c r="L52" s="467">
        <v>206.2</v>
      </c>
      <c r="M52" s="467">
        <v>207.1</v>
      </c>
      <c r="N52" s="467">
        <v>219.1</v>
      </c>
      <c r="O52" s="467">
        <f>AVERAGE(C52:N52)</f>
        <v>227.475</v>
      </c>
      <c r="P52" s="468"/>
      <c r="Q52" s="168">
        <f t="shared" si="4"/>
        <v>-55.47194151795314</v>
      </c>
    </row>
    <row r="53" spans="1:17" ht="9.75" customHeight="1">
      <c r="A53" s="109"/>
      <c r="B53" s="346">
        <v>2007</v>
      </c>
      <c r="C53" s="348">
        <v>203</v>
      </c>
      <c r="D53" s="348">
        <v>294.3</v>
      </c>
      <c r="E53" s="348">
        <v>239.9</v>
      </c>
      <c r="F53" s="348">
        <v>398.6</v>
      </c>
      <c r="G53" s="348">
        <v>217.8</v>
      </c>
      <c r="H53" s="348">
        <v>241.6</v>
      </c>
      <c r="I53" s="348">
        <v>188.9</v>
      </c>
      <c r="J53" s="348">
        <v>162.5</v>
      </c>
      <c r="K53" s="348">
        <v>154.3</v>
      </c>
      <c r="L53" s="348">
        <v>235.6</v>
      </c>
      <c r="M53" s="348">
        <v>341.5</v>
      </c>
      <c r="N53" s="348">
        <v>210.8</v>
      </c>
      <c r="O53" s="348">
        <f>AVERAGE(C53:N53)</f>
        <v>240.73333333333335</v>
      </c>
      <c r="P53" s="349"/>
      <c r="Q53" s="168">
        <f t="shared" si="4"/>
        <v>64.89618541767264</v>
      </c>
    </row>
    <row r="54" spans="1:17" ht="9.75" customHeight="1">
      <c r="A54" s="109"/>
      <c r="B54" s="346">
        <v>2008</v>
      </c>
      <c r="C54" s="348">
        <v>345.9</v>
      </c>
      <c r="D54" s="348">
        <v>304.2</v>
      </c>
      <c r="E54" s="348">
        <v>395.5</v>
      </c>
      <c r="F54" s="348">
        <v>259.7</v>
      </c>
      <c r="G54" s="348">
        <v>521.3</v>
      </c>
      <c r="H54" s="348">
        <v>432.7</v>
      </c>
      <c r="I54" s="348">
        <v>388.4</v>
      </c>
      <c r="J54" s="348">
        <v>212.5</v>
      </c>
      <c r="K54" s="348">
        <v>180</v>
      </c>
      <c r="L54" s="348">
        <v>259.8</v>
      </c>
      <c r="M54" s="348">
        <v>334.3</v>
      </c>
      <c r="N54" s="348"/>
      <c r="O54" s="348"/>
      <c r="P54" s="349"/>
      <c r="Q54" s="168">
        <f t="shared" si="4"/>
        <v>-2.108345534407019</v>
      </c>
    </row>
    <row r="55" spans="1:17" ht="4.5" customHeight="1">
      <c r="A55" s="109"/>
      <c r="B55" s="115"/>
      <c r="C55" s="116"/>
      <c r="D55" s="116"/>
      <c r="E55" s="116"/>
      <c r="F55" s="116"/>
      <c r="G55" s="116"/>
      <c r="H55" s="116"/>
      <c r="I55" s="116"/>
      <c r="J55" s="116"/>
      <c r="K55" s="116"/>
      <c r="L55" s="116"/>
      <c r="M55" s="116"/>
      <c r="N55" s="116"/>
      <c r="O55" s="116"/>
      <c r="P55" s="107"/>
      <c r="Q55" s="168"/>
    </row>
    <row r="56" spans="1:17" ht="9.75" customHeight="1">
      <c r="A56" s="405" t="s">
        <v>275</v>
      </c>
      <c r="B56" s="115">
        <v>2002</v>
      </c>
      <c r="C56" s="194" t="s">
        <v>254</v>
      </c>
      <c r="D56" s="194" t="s">
        <v>254</v>
      </c>
      <c r="E56" s="194" t="s">
        <v>254</v>
      </c>
      <c r="F56" s="194" t="s">
        <v>254</v>
      </c>
      <c r="G56" s="194" t="s">
        <v>254</v>
      </c>
      <c r="H56" s="194" t="s">
        <v>254</v>
      </c>
      <c r="I56" s="194" t="s">
        <v>254</v>
      </c>
      <c r="J56" s="194" t="s">
        <v>254</v>
      </c>
      <c r="K56" s="194" t="s">
        <v>254</v>
      </c>
      <c r="L56" s="194" t="s">
        <v>254</v>
      </c>
      <c r="M56" s="194" t="s">
        <v>254</v>
      </c>
      <c r="N56" s="194" t="s">
        <v>254</v>
      </c>
      <c r="O56" s="194" t="s">
        <v>254</v>
      </c>
      <c r="P56" s="107"/>
      <c r="Q56" s="198" t="s">
        <v>151</v>
      </c>
    </row>
    <row r="57" spans="1:17" ht="9.75" customHeight="1">
      <c r="A57" s="406" t="s">
        <v>276</v>
      </c>
      <c r="B57" s="115">
        <v>2003</v>
      </c>
      <c r="C57" s="194" t="s">
        <v>254</v>
      </c>
      <c r="D57" s="194" t="s">
        <v>254</v>
      </c>
      <c r="E57" s="194" t="s">
        <v>254</v>
      </c>
      <c r="F57" s="194" t="s">
        <v>254</v>
      </c>
      <c r="G57" s="194" t="s">
        <v>254</v>
      </c>
      <c r="H57" s="194" t="s">
        <v>254</v>
      </c>
      <c r="I57" s="194" t="s">
        <v>254</v>
      </c>
      <c r="J57" s="194" t="s">
        <v>254</v>
      </c>
      <c r="K57" s="194" t="s">
        <v>254</v>
      </c>
      <c r="L57" s="116">
        <v>207</v>
      </c>
      <c r="M57" s="194" t="s">
        <v>254</v>
      </c>
      <c r="N57" s="116">
        <v>236.6</v>
      </c>
      <c r="O57" s="116">
        <f>SUM(C57:N57)/1</f>
        <v>443.6</v>
      </c>
      <c r="P57" s="107"/>
      <c r="Q57" s="198" t="s">
        <v>151</v>
      </c>
    </row>
    <row r="58" spans="2:17" ht="9.75" customHeight="1">
      <c r="B58" s="115">
        <v>2004</v>
      </c>
      <c r="C58" s="116">
        <v>236.6</v>
      </c>
      <c r="D58" s="116">
        <v>236.6</v>
      </c>
      <c r="E58" s="116">
        <v>276.2</v>
      </c>
      <c r="F58" s="116">
        <v>242.7</v>
      </c>
      <c r="G58" s="116">
        <v>266.3</v>
      </c>
      <c r="H58" s="116">
        <v>174.2</v>
      </c>
      <c r="I58" s="116">
        <v>267.5</v>
      </c>
      <c r="J58" s="116">
        <v>291.6</v>
      </c>
      <c r="K58" s="116">
        <v>313.4</v>
      </c>
      <c r="L58" s="116">
        <v>277</v>
      </c>
      <c r="M58" s="116">
        <v>320.7</v>
      </c>
      <c r="N58" s="116">
        <v>320.7</v>
      </c>
      <c r="O58" s="116">
        <f>SUM(C58:N58)/12</f>
        <v>268.62499999999994</v>
      </c>
      <c r="P58" s="107"/>
      <c r="Q58" s="198" t="s">
        <v>151</v>
      </c>
    </row>
    <row r="59" spans="2:17" ht="9.75" customHeight="1">
      <c r="B59" s="115">
        <v>2005</v>
      </c>
      <c r="C59" s="116">
        <v>696.4</v>
      </c>
      <c r="D59" s="116">
        <v>453.5</v>
      </c>
      <c r="E59" s="116">
        <v>354.3</v>
      </c>
      <c r="F59" s="116">
        <v>552.9</v>
      </c>
      <c r="G59" s="116">
        <v>575</v>
      </c>
      <c r="H59" s="116">
        <v>398.1</v>
      </c>
      <c r="I59" s="116">
        <v>331.7</v>
      </c>
      <c r="J59" s="116">
        <v>398.1</v>
      </c>
      <c r="K59" s="116">
        <v>530.8</v>
      </c>
      <c r="L59" s="116">
        <v>420.2</v>
      </c>
      <c r="M59" s="116">
        <v>420.2</v>
      </c>
      <c r="N59" s="194" t="s">
        <v>254</v>
      </c>
      <c r="O59" s="116">
        <f>SUM(C59:N59)/11</f>
        <v>466.4727272727272</v>
      </c>
      <c r="P59" s="107"/>
      <c r="Q59" s="168">
        <f>((+M59/M58)-1)*100</f>
        <v>31.02588088556284</v>
      </c>
    </row>
    <row r="60" spans="2:17" s="531" customFormat="1" ht="9.75" customHeight="1">
      <c r="B60" s="465">
        <v>2006</v>
      </c>
      <c r="C60" s="467">
        <v>231.3</v>
      </c>
      <c r="D60" s="467">
        <v>420.2</v>
      </c>
      <c r="E60" s="467">
        <v>442.3</v>
      </c>
      <c r="F60" s="467">
        <v>552.9</v>
      </c>
      <c r="G60" s="467">
        <v>291</v>
      </c>
      <c r="H60" s="467">
        <v>190.3</v>
      </c>
      <c r="I60" s="467">
        <v>291</v>
      </c>
      <c r="J60" s="467">
        <v>279.8</v>
      </c>
      <c r="K60" s="467">
        <v>291</v>
      </c>
      <c r="L60" s="467">
        <v>447.7</v>
      </c>
      <c r="M60" s="467">
        <v>258.1</v>
      </c>
      <c r="N60" s="467">
        <v>177.3</v>
      </c>
      <c r="O60" s="467">
        <f>AVERAGE(C60:N60)</f>
        <v>322.7416666666667</v>
      </c>
      <c r="P60" s="468"/>
      <c r="Q60" s="168">
        <f>((+M60/M59)-1)*100</f>
        <v>-38.576868158019984</v>
      </c>
    </row>
    <row r="61" spans="2:17" ht="9.75" customHeight="1">
      <c r="B61" s="346">
        <v>2007</v>
      </c>
      <c r="C61" s="348">
        <v>327.4</v>
      </c>
      <c r="D61" s="348">
        <v>286.2</v>
      </c>
      <c r="E61" s="348">
        <v>182.3</v>
      </c>
      <c r="F61" s="348">
        <v>183.7</v>
      </c>
      <c r="G61" s="348">
        <v>173</v>
      </c>
      <c r="H61" s="348">
        <v>262.5</v>
      </c>
      <c r="I61" s="348">
        <v>241.3</v>
      </c>
      <c r="J61" s="348">
        <v>278.3</v>
      </c>
      <c r="K61" s="348">
        <v>284.3</v>
      </c>
      <c r="L61" s="348">
        <v>259.5</v>
      </c>
      <c r="M61" s="348">
        <v>445</v>
      </c>
      <c r="N61" s="348">
        <v>292.9</v>
      </c>
      <c r="O61" s="348">
        <f>AVERAGE(C61:N61)</f>
        <v>268.03333333333336</v>
      </c>
      <c r="P61" s="349"/>
      <c r="Q61" s="168">
        <f>((+M61/M60)-1)*100</f>
        <v>72.41379310344827</v>
      </c>
    </row>
    <row r="62" spans="2:17" ht="9.75" customHeight="1">
      <c r="B62" s="346">
        <v>2008</v>
      </c>
      <c r="C62" s="348">
        <v>487.8</v>
      </c>
      <c r="D62" s="348">
        <v>343.2</v>
      </c>
      <c r="E62" s="348">
        <v>317.9</v>
      </c>
      <c r="F62" s="348">
        <v>275.1</v>
      </c>
      <c r="G62" s="348">
        <v>277.4</v>
      </c>
      <c r="H62" s="348">
        <v>274.3</v>
      </c>
      <c r="I62" s="348">
        <v>296.7</v>
      </c>
      <c r="J62" s="348">
        <v>299.7</v>
      </c>
      <c r="K62" s="348">
        <v>327.9</v>
      </c>
      <c r="L62" s="348">
        <v>348.5</v>
      </c>
      <c r="M62" s="348">
        <v>253.7</v>
      </c>
      <c r="N62" s="348"/>
      <c r="O62" s="348"/>
      <c r="P62" s="349"/>
      <c r="Q62" s="168">
        <f>((+M62/M61)-1)*100</f>
        <v>-42.98876404494383</v>
      </c>
    </row>
    <row r="63" spans="1:16" ht="5.25" customHeight="1">
      <c r="A63" s="109"/>
      <c r="B63" s="115"/>
      <c r="C63" s="116"/>
      <c r="D63" s="116"/>
      <c r="E63" s="116"/>
      <c r="F63" s="116"/>
      <c r="G63" s="116"/>
      <c r="H63" s="116"/>
      <c r="I63" s="116"/>
      <c r="J63" s="116"/>
      <c r="K63" s="116"/>
      <c r="L63" s="116"/>
      <c r="M63" s="116"/>
      <c r="N63" s="116"/>
      <c r="O63" s="116"/>
      <c r="P63" s="107"/>
    </row>
    <row r="64" spans="1:17" ht="9.75" customHeight="1">
      <c r="A64" s="405" t="s">
        <v>277</v>
      </c>
      <c r="B64" s="115">
        <v>2002</v>
      </c>
      <c r="C64" s="116">
        <v>238.6</v>
      </c>
      <c r="D64" s="116">
        <v>503.5</v>
      </c>
      <c r="E64" s="116">
        <v>171.3</v>
      </c>
      <c r="F64" s="116">
        <v>139.4</v>
      </c>
      <c r="G64" s="116">
        <v>156</v>
      </c>
      <c r="H64" s="116">
        <v>148.8</v>
      </c>
      <c r="I64" s="116">
        <v>170.2</v>
      </c>
      <c r="J64" s="116">
        <v>169.9</v>
      </c>
      <c r="K64" s="116">
        <v>285.4</v>
      </c>
      <c r="L64" s="116">
        <v>188.3</v>
      </c>
      <c r="M64" s="116">
        <v>232</v>
      </c>
      <c r="N64" s="116">
        <v>158.8</v>
      </c>
      <c r="O64" s="116">
        <f>AVERAGEA(C64:N64)</f>
        <v>213.51666666666674</v>
      </c>
      <c r="P64" s="107"/>
      <c r="Q64" s="198" t="s">
        <v>151</v>
      </c>
    </row>
    <row r="65" spans="1:17" ht="9.75" customHeight="1">
      <c r="A65" s="109"/>
      <c r="B65" s="115">
        <v>2003</v>
      </c>
      <c r="C65" s="116">
        <v>196.9</v>
      </c>
      <c r="D65" s="116">
        <v>148.4</v>
      </c>
      <c r="E65" s="116">
        <v>210.8</v>
      </c>
      <c r="F65" s="116">
        <v>332.2</v>
      </c>
      <c r="G65" s="116">
        <v>200.4</v>
      </c>
      <c r="H65" s="116">
        <v>138</v>
      </c>
      <c r="I65" s="116">
        <v>187.9</v>
      </c>
      <c r="J65" s="116">
        <v>242.7</v>
      </c>
      <c r="K65" s="116">
        <v>287.1</v>
      </c>
      <c r="L65" s="116">
        <v>187.2</v>
      </c>
      <c r="M65" s="116">
        <v>297.5</v>
      </c>
      <c r="N65" s="116">
        <v>271.1</v>
      </c>
      <c r="O65" s="116">
        <f>AVERAGEA(C65:N65)</f>
        <v>225.01666666666665</v>
      </c>
      <c r="P65" s="107"/>
      <c r="Q65" s="168">
        <f aca="true" t="shared" si="5" ref="Q65:Q70">((+M65/M64)-1)*100</f>
        <v>28.23275862068966</v>
      </c>
    </row>
    <row r="66" spans="1:17" ht="9.75" customHeight="1">
      <c r="A66" s="109"/>
      <c r="B66" s="115">
        <v>2004</v>
      </c>
      <c r="C66" s="116">
        <v>231.6</v>
      </c>
      <c r="D66" s="116">
        <v>152.6</v>
      </c>
      <c r="E66" s="116">
        <v>156</v>
      </c>
      <c r="F66" s="116">
        <v>298.6</v>
      </c>
      <c r="G66" s="116">
        <v>184.6</v>
      </c>
      <c r="H66" s="194" t="s">
        <v>254</v>
      </c>
      <c r="I66" s="116">
        <v>225.4</v>
      </c>
      <c r="J66" s="116">
        <v>341.2</v>
      </c>
      <c r="K66" s="116">
        <v>285.7</v>
      </c>
      <c r="L66" s="116">
        <v>268.4</v>
      </c>
      <c r="M66" s="116">
        <v>259.4</v>
      </c>
      <c r="N66" s="116">
        <v>186.5</v>
      </c>
      <c r="O66" s="116">
        <f>SUM(C66:N66)/11</f>
        <v>235.4545454545455</v>
      </c>
      <c r="P66" s="107"/>
      <c r="Q66" s="168">
        <f t="shared" si="5"/>
        <v>-12.806722689075634</v>
      </c>
    </row>
    <row r="67" spans="1:17" ht="9.75" customHeight="1">
      <c r="A67" s="109"/>
      <c r="B67" s="115">
        <v>2005</v>
      </c>
      <c r="C67" s="116">
        <v>342.6</v>
      </c>
      <c r="D67" s="116">
        <v>224.7</v>
      </c>
      <c r="E67" s="116">
        <v>484.5</v>
      </c>
      <c r="F67" s="116">
        <v>382.8</v>
      </c>
      <c r="G67" s="116">
        <v>190</v>
      </c>
      <c r="H67" s="116">
        <v>188.6</v>
      </c>
      <c r="I67" s="116">
        <v>165.2</v>
      </c>
      <c r="J67" s="116">
        <v>423</v>
      </c>
      <c r="K67" s="116">
        <v>273.9</v>
      </c>
      <c r="L67" s="116">
        <v>175.4</v>
      </c>
      <c r="M67" s="116">
        <v>190.7</v>
      </c>
      <c r="N67" s="116">
        <v>190</v>
      </c>
      <c r="O67" s="116">
        <f>SUM(C67:N67)/12</f>
        <v>269.2833333333333</v>
      </c>
      <c r="P67" s="107"/>
      <c r="Q67" s="168">
        <f t="shared" si="5"/>
        <v>-26.48419429452583</v>
      </c>
    </row>
    <row r="68" spans="1:17" s="531" customFormat="1" ht="9.75" customHeight="1">
      <c r="A68" s="530"/>
      <c r="B68" s="465">
        <v>2006</v>
      </c>
      <c r="C68" s="467">
        <v>200.7</v>
      </c>
      <c r="D68" s="467">
        <v>173.4</v>
      </c>
      <c r="E68" s="467">
        <v>219.1</v>
      </c>
      <c r="F68" s="467">
        <v>327.5</v>
      </c>
      <c r="G68" s="467">
        <v>252</v>
      </c>
      <c r="H68" s="467">
        <v>256.9</v>
      </c>
      <c r="I68" s="467">
        <v>220</v>
      </c>
      <c r="J68" s="467">
        <v>422.1</v>
      </c>
      <c r="K68" s="467">
        <v>419.5</v>
      </c>
      <c r="L68" s="467">
        <v>312.1</v>
      </c>
      <c r="M68" s="467">
        <v>367.1</v>
      </c>
      <c r="N68" s="467">
        <v>479.5</v>
      </c>
      <c r="O68" s="467">
        <f>AVERAGE(C68:N68)</f>
        <v>304.1583333333333</v>
      </c>
      <c r="P68" s="468"/>
      <c r="Q68" s="168">
        <f t="shared" si="5"/>
        <v>92.50131095962246</v>
      </c>
    </row>
    <row r="69" spans="1:17" ht="9.75" customHeight="1">
      <c r="A69" s="109"/>
      <c r="B69" s="346">
        <v>2007</v>
      </c>
      <c r="C69" s="348">
        <v>494.4</v>
      </c>
      <c r="D69" s="348">
        <v>635.5</v>
      </c>
      <c r="E69" s="348">
        <v>362.4</v>
      </c>
      <c r="F69" s="348">
        <v>431.1</v>
      </c>
      <c r="G69" s="348">
        <v>228.9</v>
      </c>
      <c r="H69" s="348">
        <v>229.5</v>
      </c>
      <c r="I69" s="348">
        <v>313.8</v>
      </c>
      <c r="J69" s="348">
        <v>461.5</v>
      </c>
      <c r="K69" s="348">
        <v>376.9</v>
      </c>
      <c r="L69" s="348">
        <v>242.9</v>
      </c>
      <c r="M69" s="348">
        <v>257.5</v>
      </c>
      <c r="N69" s="348">
        <v>414.5</v>
      </c>
      <c r="O69" s="348">
        <f>AVERAGE(C69:N69)</f>
        <v>370.74166666666673</v>
      </c>
      <c r="P69" s="349"/>
      <c r="Q69" s="168">
        <f t="shared" si="5"/>
        <v>-29.85562517025334</v>
      </c>
    </row>
    <row r="70" spans="1:17" ht="9.75" customHeight="1">
      <c r="A70" s="109"/>
      <c r="B70" s="346">
        <v>2008</v>
      </c>
      <c r="C70" s="348">
        <v>498.5</v>
      </c>
      <c r="D70" s="348">
        <v>435.8</v>
      </c>
      <c r="E70" s="348">
        <v>359.1</v>
      </c>
      <c r="F70" s="348">
        <v>343.5</v>
      </c>
      <c r="G70" s="348">
        <v>262.6</v>
      </c>
      <c r="H70" s="348">
        <v>342.4</v>
      </c>
      <c r="I70" s="348">
        <v>533.9</v>
      </c>
      <c r="J70" s="348">
        <v>481.7</v>
      </c>
      <c r="K70" s="348">
        <v>357</v>
      </c>
      <c r="L70" s="348">
        <v>362.4</v>
      </c>
      <c r="M70" s="348">
        <v>349.1</v>
      </c>
      <c r="N70" s="348"/>
      <c r="O70" s="348"/>
      <c r="P70" s="349"/>
      <c r="Q70" s="168">
        <f t="shared" si="5"/>
        <v>35.572815533980595</v>
      </c>
    </row>
    <row r="71" spans="1:16" ht="5.25" customHeight="1">
      <c r="A71" s="109"/>
      <c r="B71" s="115"/>
      <c r="C71" s="116"/>
      <c r="D71" s="116"/>
      <c r="E71" s="116"/>
      <c r="F71" s="116"/>
      <c r="G71" s="116"/>
      <c r="H71" s="116"/>
      <c r="I71" s="116"/>
      <c r="J71" s="116"/>
      <c r="K71" s="116"/>
      <c r="L71" s="116"/>
      <c r="M71" s="116"/>
      <c r="N71" s="116"/>
      <c r="O71" s="116"/>
      <c r="P71" s="107"/>
    </row>
    <row r="72" spans="1:17" ht="10.5" customHeight="1">
      <c r="A72" s="404" t="s">
        <v>251</v>
      </c>
      <c r="B72" s="115">
        <v>2002</v>
      </c>
      <c r="C72" s="116">
        <v>259.5</v>
      </c>
      <c r="D72" s="116">
        <v>117</v>
      </c>
      <c r="E72" s="116">
        <v>139.1</v>
      </c>
      <c r="F72" s="116">
        <v>111.5</v>
      </c>
      <c r="G72" s="116">
        <v>83.3</v>
      </c>
      <c r="H72" s="116">
        <v>106.6</v>
      </c>
      <c r="I72" s="116">
        <v>107.3</v>
      </c>
      <c r="J72" s="116">
        <v>139.6</v>
      </c>
      <c r="K72" s="116">
        <v>182.2</v>
      </c>
      <c r="L72" s="116">
        <v>160.1</v>
      </c>
      <c r="M72" s="116">
        <v>71.2</v>
      </c>
      <c r="N72" s="116">
        <v>74.9</v>
      </c>
      <c r="O72" s="116">
        <f>AVERAGEA(C72:N72)</f>
        <v>129.35833333333332</v>
      </c>
      <c r="P72" s="107"/>
      <c r="Q72" s="198" t="s">
        <v>151</v>
      </c>
    </row>
    <row r="73" spans="1:17" ht="10.5" customHeight="1">
      <c r="A73" s="109"/>
      <c r="B73" s="115">
        <v>2003</v>
      </c>
      <c r="C73" s="116">
        <v>276.4</v>
      </c>
      <c r="D73" s="116">
        <v>153.7</v>
      </c>
      <c r="E73" s="116">
        <v>247</v>
      </c>
      <c r="F73" s="116">
        <v>269.5</v>
      </c>
      <c r="G73" s="116">
        <v>206.4</v>
      </c>
      <c r="H73" s="116">
        <v>113.8</v>
      </c>
      <c r="I73" s="116">
        <v>118.1</v>
      </c>
      <c r="J73" s="116">
        <v>135.2</v>
      </c>
      <c r="K73" s="116">
        <v>176.8</v>
      </c>
      <c r="L73" s="116">
        <v>228.8</v>
      </c>
      <c r="M73" s="116">
        <v>167.7</v>
      </c>
      <c r="N73" s="116">
        <v>119.8</v>
      </c>
      <c r="O73" s="116">
        <f>AVERAGEA(C73:N73)</f>
        <v>184.4333333333333</v>
      </c>
      <c r="P73" s="107"/>
      <c r="Q73" s="168">
        <f aca="true" t="shared" si="6" ref="Q73:Q78">((+M73/M72)-1)*100</f>
        <v>135.5337078651685</v>
      </c>
    </row>
    <row r="74" spans="1:17" ht="9.75" customHeight="1">
      <c r="A74" s="109"/>
      <c r="B74" s="115">
        <v>2004</v>
      </c>
      <c r="C74" s="116">
        <v>186</v>
      </c>
      <c r="D74" s="116">
        <v>210.7</v>
      </c>
      <c r="E74" s="116">
        <v>175.1</v>
      </c>
      <c r="F74" s="116">
        <v>125.1</v>
      </c>
      <c r="G74" s="116">
        <v>118.2</v>
      </c>
      <c r="H74" s="116">
        <v>98.7</v>
      </c>
      <c r="I74" s="116">
        <v>122.9</v>
      </c>
      <c r="J74" s="116">
        <v>143.4</v>
      </c>
      <c r="K74" s="116">
        <v>152.6</v>
      </c>
      <c r="L74" s="116">
        <v>237.3</v>
      </c>
      <c r="M74" s="116">
        <v>107.1</v>
      </c>
      <c r="N74" s="116">
        <v>218.1</v>
      </c>
      <c r="O74" s="116">
        <f>AVERAGEA(C74:N74)</f>
        <v>157.9333333333333</v>
      </c>
      <c r="P74" s="107"/>
      <c r="Q74" s="168">
        <f t="shared" si="6"/>
        <v>-36.135957066189626</v>
      </c>
    </row>
    <row r="75" spans="1:17" ht="9.75" customHeight="1">
      <c r="A75" s="109"/>
      <c r="B75" s="115">
        <v>2005</v>
      </c>
      <c r="C75" s="116">
        <v>169.5</v>
      </c>
      <c r="D75" s="116">
        <v>156.7</v>
      </c>
      <c r="E75" s="116">
        <v>297.8</v>
      </c>
      <c r="F75" s="116">
        <v>245.3</v>
      </c>
      <c r="G75" s="116">
        <v>236</v>
      </c>
      <c r="H75" s="116">
        <v>103.6</v>
      </c>
      <c r="I75" s="116">
        <v>106.8</v>
      </c>
      <c r="J75" s="116">
        <v>139.2</v>
      </c>
      <c r="K75" s="116">
        <v>146.3</v>
      </c>
      <c r="L75" s="116">
        <v>224.1</v>
      </c>
      <c r="M75" s="116">
        <v>169.6</v>
      </c>
      <c r="N75" s="116">
        <v>233.1</v>
      </c>
      <c r="O75" s="116">
        <f>AVERAGEA(C75:N75)</f>
        <v>185.66666666666663</v>
      </c>
      <c r="P75" s="107"/>
      <c r="Q75" s="168">
        <f t="shared" si="6"/>
        <v>58.35667600373482</v>
      </c>
    </row>
    <row r="76" spans="1:17" s="531" customFormat="1" ht="9.75" customHeight="1">
      <c r="A76" s="530"/>
      <c r="B76" s="465">
        <v>2006</v>
      </c>
      <c r="C76" s="467">
        <v>183.5</v>
      </c>
      <c r="D76" s="467">
        <v>255.4</v>
      </c>
      <c r="E76" s="467">
        <v>157.6</v>
      </c>
      <c r="F76" s="467">
        <v>116.1</v>
      </c>
      <c r="G76" s="467">
        <v>130.4</v>
      </c>
      <c r="H76" s="467">
        <v>141.4</v>
      </c>
      <c r="I76" s="467">
        <v>158.2</v>
      </c>
      <c r="J76" s="467">
        <v>194.8</v>
      </c>
      <c r="K76" s="467">
        <v>181.3</v>
      </c>
      <c r="L76" s="467">
        <v>145.8</v>
      </c>
      <c r="M76" s="467">
        <v>194.5</v>
      </c>
      <c r="N76" s="467">
        <v>189.6</v>
      </c>
      <c r="O76" s="467">
        <f>AVERAGE(C76:N76)</f>
        <v>170.71666666666667</v>
      </c>
      <c r="P76" s="468"/>
      <c r="Q76" s="168">
        <f t="shared" si="6"/>
        <v>14.681603773584918</v>
      </c>
    </row>
    <row r="77" spans="1:17" ht="9.75" customHeight="1">
      <c r="A77" s="109"/>
      <c r="B77" s="346">
        <v>2007</v>
      </c>
      <c r="C77" s="348">
        <v>229</v>
      </c>
      <c r="D77" s="348">
        <v>273.7</v>
      </c>
      <c r="E77" s="348">
        <v>238.3</v>
      </c>
      <c r="F77" s="348">
        <v>202.4</v>
      </c>
      <c r="G77" s="348">
        <v>117.9</v>
      </c>
      <c r="H77" s="348">
        <v>141.9</v>
      </c>
      <c r="I77" s="348">
        <v>135.4</v>
      </c>
      <c r="J77" s="348">
        <v>139.6</v>
      </c>
      <c r="K77" s="348">
        <v>187.3</v>
      </c>
      <c r="L77" s="348">
        <v>158</v>
      </c>
      <c r="M77" s="348">
        <v>215.4</v>
      </c>
      <c r="N77" s="348">
        <v>171.7</v>
      </c>
      <c r="O77" s="348">
        <f>AVERAGE(C77:N77)</f>
        <v>184.21666666666667</v>
      </c>
      <c r="P77" s="349"/>
      <c r="Q77" s="168">
        <f t="shared" si="6"/>
        <v>10.745501285347036</v>
      </c>
    </row>
    <row r="78" spans="1:17" ht="9.75" customHeight="1">
      <c r="A78" s="109"/>
      <c r="B78" s="346">
        <v>2008</v>
      </c>
      <c r="C78" s="348">
        <v>402.7</v>
      </c>
      <c r="D78" s="348">
        <v>131</v>
      </c>
      <c r="E78" s="348">
        <v>212.7</v>
      </c>
      <c r="F78" s="348">
        <v>184.8</v>
      </c>
      <c r="G78" s="348">
        <v>145.8</v>
      </c>
      <c r="H78" s="348">
        <v>161.7</v>
      </c>
      <c r="I78" s="348">
        <v>156.1</v>
      </c>
      <c r="J78" s="348">
        <v>180.1</v>
      </c>
      <c r="K78" s="348">
        <v>170.7</v>
      </c>
      <c r="L78" s="348">
        <v>138.7</v>
      </c>
      <c r="M78" s="348">
        <v>275.8</v>
      </c>
      <c r="N78" s="348"/>
      <c r="O78" s="348"/>
      <c r="P78" s="349"/>
      <c r="Q78" s="168">
        <f t="shared" si="6"/>
        <v>28.040854224698244</v>
      </c>
    </row>
    <row r="79" spans="1:16" ht="4.5" customHeight="1">
      <c r="A79" s="109"/>
      <c r="B79" s="115"/>
      <c r="C79" s="116"/>
      <c r="D79" s="116"/>
      <c r="E79" s="116"/>
      <c r="F79" s="116"/>
      <c r="G79" s="116"/>
      <c r="H79" s="116"/>
      <c r="I79" s="116"/>
      <c r="J79" s="116"/>
      <c r="K79" s="116"/>
      <c r="L79" s="116"/>
      <c r="M79" s="116"/>
      <c r="N79" s="116"/>
      <c r="O79" s="116"/>
      <c r="P79" s="107"/>
    </row>
    <row r="80" spans="1:17" ht="9.75" customHeight="1">
      <c r="A80" s="404" t="s">
        <v>252</v>
      </c>
      <c r="B80" s="115">
        <v>2002</v>
      </c>
      <c r="C80" s="116">
        <v>343</v>
      </c>
      <c r="D80" s="116">
        <v>221.9</v>
      </c>
      <c r="E80" s="116">
        <v>242.1</v>
      </c>
      <c r="F80" s="116">
        <v>121.1</v>
      </c>
      <c r="G80" s="116">
        <v>201.8</v>
      </c>
      <c r="H80" s="194" t="s">
        <v>254</v>
      </c>
      <c r="I80" s="116">
        <v>242.1</v>
      </c>
      <c r="J80" s="116">
        <v>211.8</v>
      </c>
      <c r="K80" s="116">
        <v>211.8</v>
      </c>
      <c r="L80" s="116">
        <v>206.8</v>
      </c>
      <c r="M80" s="116">
        <v>221.9</v>
      </c>
      <c r="N80" s="116">
        <v>201.8</v>
      </c>
      <c r="O80" s="116">
        <f>SUM(C80:N80)/11</f>
        <v>220.55454545454543</v>
      </c>
      <c r="P80" s="107"/>
      <c r="Q80" s="198" t="s">
        <v>151</v>
      </c>
    </row>
    <row r="81" spans="1:17" ht="9.75" customHeight="1">
      <c r="A81" s="109"/>
      <c r="B81" s="115">
        <v>2003</v>
      </c>
      <c r="C81" s="116">
        <v>211.8</v>
      </c>
      <c r="D81" s="116">
        <v>181.6</v>
      </c>
      <c r="E81" s="116">
        <v>141.2</v>
      </c>
      <c r="F81" s="116">
        <v>363.2</v>
      </c>
      <c r="G81" s="116">
        <v>211.8</v>
      </c>
      <c r="H81" s="194" t="s">
        <v>254</v>
      </c>
      <c r="I81" s="116">
        <v>242.1</v>
      </c>
      <c r="J81" s="116">
        <v>282.5</v>
      </c>
      <c r="K81" s="116">
        <v>322.8</v>
      </c>
      <c r="L81" s="116">
        <v>350.3</v>
      </c>
      <c r="M81" s="116">
        <v>286.5</v>
      </c>
      <c r="N81" s="116">
        <v>230</v>
      </c>
      <c r="O81" s="116">
        <f>SUM(C81:N81)/11</f>
        <v>256.7090909090909</v>
      </c>
      <c r="P81" s="107"/>
      <c r="Q81" s="168">
        <f aca="true" t="shared" si="7" ref="Q81:Q86">((+M81/M80)-1)*100</f>
        <v>29.112212708427208</v>
      </c>
    </row>
    <row r="82" spans="1:17" ht="9.75" customHeight="1">
      <c r="A82" s="109"/>
      <c r="B82" s="115">
        <v>2004</v>
      </c>
      <c r="C82" s="116">
        <v>227</v>
      </c>
      <c r="D82" s="116">
        <v>189.7</v>
      </c>
      <c r="E82" s="116">
        <v>210.6</v>
      </c>
      <c r="F82" s="116">
        <v>249.5</v>
      </c>
      <c r="G82" s="116">
        <v>276</v>
      </c>
      <c r="H82" s="194" t="s">
        <v>254</v>
      </c>
      <c r="I82" s="116">
        <v>329.1</v>
      </c>
      <c r="J82" s="116">
        <v>276</v>
      </c>
      <c r="K82" s="116">
        <v>276</v>
      </c>
      <c r="L82" s="116">
        <v>276</v>
      </c>
      <c r="M82" s="116">
        <v>267.8</v>
      </c>
      <c r="N82" s="116">
        <v>267.8</v>
      </c>
      <c r="O82" s="116">
        <f>SUM(C82:N82)/11</f>
        <v>258.68181818181824</v>
      </c>
      <c r="P82" s="107"/>
      <c r="Q82" s="168">
        <f t="shared" si="7"/>
        <v>-6.52705061082024</v>
      </c>
    </row>
    <row r="83" spans="1:17" ht="9.75" customHeight="1">
      <c r="A83" s="109"/>
      <c r="B83" s="115">
        <v>2005</v>
      </c>
      <c r="C83" s="116">
        <v>229.2</v>
      </c>
      <c r="D83" s="116">
        <v>244.4</v>
      </c>
      <c r="E83" s="116">
        <v>267.4</v>
      </c>
      <c r="F83" s="116">
        <v>268.5</v>
      </c>
      <c r="G83" s="116">
        <v>289</v>
      </c>
      <c r="H83" s="116">
        <v>281.5</v>
      </c>
      <c r="I83" s="116">
        <v>257.6</v>
      </c>
      <c r="J83" s="116">
        <v>300.9</v>
      </c>
      <c r="K83" s="116">
        <v>268.5</v>
      </c>
      <c r="L83" s="116">
        <v>290.6</v>
      </c>
      <c r="M83" s="116">
        <v>276.8</v>
      </c>
      <c r="N83" s="116">
        <v>276.8</v>
      </c>
      <c r="O83" s="116">
        <f>SUM(C83:N83)/12</f>
        <v>270.93333333333334</v>
      </c>
      <c r="P83" s="107"/>
      <c r="Q83" s="168">
        <f t="shared" si="7"/>
        <v>3.3607169529499714</v>
      </c>
    </row>
    <row r="84" spans="1:17" s="531" customFormat="1" ht="9.75" customHeight="1">
      <c r="A84" s="530"/>
      <c r="B84" s="465">
        <v>2006</v>
      </c>
      <c r="C84" s="467">
        <v>243.7</v>
      </c>
      <c r="D84" s="467">
        <v>321.5</v>
      </c>
      <c r="E84" s="467">
        <v>221</v>
      </c>
      <c r="F84" s="467">
        <v>203.2</v>
      </c>
      <c r="G84" s="467">
        <v>278.3</v>
      </c>
      <c r="H84" s="467">
        <v>376.7</v>
      </c>
      <c r="I84" s="467">
        <v>348.6</v>
      </c>
      <c r="J84" s="467">
        <v>306.4</v>
      </c>
      <c r="K84" s="467">
        <v>281.8</v>
      </c>
      <c r="L84" s="467">
        <v>277</v>
      </c>
      <c r="M84" s="467">
        <v>285.3</v>
      </c>
      <c r="N84" s="467">
        <v>264.3</v>
      </c>
      <c r="O84" s="467">
        <f>AVERAGE(C84:N84)</f>
        <v>283.9833333333334</v>
      </c>
      <c r="P84" s="468"/>
      <c r="Q84" s="168">
        <f t="shared" si="7"/>
        <v>3.0708092485549177</v>
      </c>
    </row>
    <row r="85" spans="1:17" ht="9.75" customHeight="1">
      <c r="A85" s="109"/>
      <c r="B85" s="346">
        <v>2007</v>
      </c>
      <c r="C85" s="348">
        <v>276.3</v>
      </c>
      <c r="D85" s="348">
        <v>370.8</v>
      </c>
      <c r="E85" s="348">
        <v>246.7</v>
      </c>
      <c r="F85" s="348">
        <v>264.9</v>
      </c>
      <c r="G85" s="348">
        <v>284.5</v>
      </c>
      <c r="H85" s="348">
        <v>256.5</v>
      </c>
      <c r="I85" s="348">
        <v>288</v>
      </c>
      <c r="J85" s="348">
        <v>311.4</v>
      </c>
      <c r="K85" s="348">
        <v>315.1</v>
      </c>
      <c r="L85" s="348">
        <v>339.2</v>
      </c>
      <c r="M85" s="348">
        <v>337.6</v>
      </c>
      <c r="N85" s="348">
        <v>249.1</v>
      </c>
      <c r="O85" s="348">
        <f>AVERAGE(C85:N85)</f>
        <v>295.00833333333327</v>
      </c>
      <c r="P85" s="349"/>
      <c r="Q85" s="168">
        <f t="shared" si="7"/>
        <v>18.33158079214863</v>
      </c>
    </row>
    <row r="86" spans="1:17" ht="9.75" customHeight="1">
      <c r="A86" s="109"/>
      <c r="B86" s="346">
        <v>2008</v>
      </c>
      <c r="C86" s="348">
        <v>366.1</v>
      </c>
      <c r="D86" s="348">
        <v>286.5</v>
      </c>
      <c r="E86" s="348">
        <v>282.9</v>
      </c>
      <c r="F86" s="348">
        <v>271.2</v>
      </c>
      <c r="G86" s="348">
        <v>321</v>
      </c>
      <c r="H86" s="347" t="s">
        <v>257</v>
      </c>
      <c r="I86" s="348">
        <v>305.6</v>
      </c>
      <c r="J86" s="348">
        <v>282.4</v>
      </c>
      <c r="K86" s="348">
        <v>305</v>
      </c>
      <c r="L86" s="348">
        <v>269.9</v>
      </c>
      <c r="M86" s="348">
        <v>231.3</v>
      </c>
      <c r="N86" s="348"/>
      <c r="O86" s="348"/>
      <c r="P86" s="349"/>
      <c r="Q86" s="168">
        <f t="shared" si="7"/>
        <v>-31.486966824644547</v>
      </c>
    </row>
    <row r="87" spans="1:17" ht="12.75" customHeight="1">
      <c r="A87" s="155" t="s">
        <v>414</v>
      </c>
      <c r="B87" s="156"/>
      <c r="C87" s="157"/>
      <c r="D87" s="157"/>
      <c r="E87" s="157"/>
      <c r="F87" s="157"/>
      <c r="G87" s="157"/>
      <c r="H87" s="157"/>
      <c r="I87" s="157"/>
      <c r="J87" s="157"/>
      <c r="K87" s="157"/>
      <c r="L87" s="157"/>
      <c r="M87" s="157"/>
      <c r="N87" s="157"/>
      <c r="O87" s="156"/>
      <c r="P87" s="107"/>
      <c r="Q87" s="156"/>
    </row>
    <row r="88" spans="1:17" ht="9" customHeight="1">
      <c r="A88" s="200" t="s">
        <v>256</v>
      </c>
      <c r="B88" s="109"/>
      <c r="C88" s="113"/>
      <c r="D88" s="113"/>
      <c r="E88" s="113"/>
      <c r="F88" s="113"/>
      <c r="G88" s="113"/>
      <c r="H88" s="113"/>
      <c r="I88" s="113"/>
      <c r="J88" s="113"/>
      <c r="K88" s="113"/>
      <c r="L88" s="113"/>
      <c r="M88" s="113"/>
      <c r="N88" s="113"/>
      <c r="O88" s="109"/>
      <c r="P88" s="107"/>
      <c r="Q88" s="109"/>
    </row>
    <row r="89" spans="1:16" ht="12.75" customHeight="1">
      <c r="A89" s="261" t="s">
        <v>354</v>
      </c>
      <c r="B89" s="109"/>
      <c r="C89" s="113"/>
      <c r="D89" s="113"/>
      <c r="E89" s="113"/>
      <c r="F89" s="113"/>
      <c r="G89" s="113"/>
      <c r="H89" s="113"/>
      <c r="I89" s="113"/>
      <c r="J89" s="113"/>
      <c r="K89" s="113"/>
      <c r="L89" s="113"/>
      <c r="M89" s="113"/>
      <c r="N89" s="113"/>
      <c r="O89" s="109"/>
      <c r="P89" s="107"/>
    </row>
  </sheetData>
  <printOptions horizontalCentered="1"/>
  <pageMargins left="0.167" right="0.167" top="0.32" bottom="0.75" header="0" footer="0.28"/>
  <pageSetup fitToHeight="1" fitToWidth="1" horizontalDpi="600" verticalDpi="600" orientation="portrait" scale="85" r:id="rId1"/>
  <headerFooter alignWithMargins="0">
    <oddFooter>&amp;C&amp;"Arial,Italic"&amp;9Vegetables and Melons Outlook&amp;"Arial,Regular"/VGS-330/December 16, 2008
Economic Research Service, USDA</oddFooter>
  </headerFooter>
</worksheet>
</file>

<file path=xl/worksheets/sheet12.xml><?xml version="1.0" encoding="utf-8"?>
<worksheet xmlns="http://schemas.openxmlformats.org/spreadsheetml/2006/main" xmlns:r="http://schemas.openxmlformats.org/officeDocument/2006/relationships">
  <sheetPr transitionEvaluation="1" transitionEntry="1">
    <tabColor indexed="13"/>
    <pageSetUpPr fitToPage="1"/>
  </sheetPr>
  <dimension ref="A1:R71"/>
  <sheetViews>
    <sheetView showGridLines="0" workbookViewId="0" topLeftCell="A1">
      <selection activeCell="A1" sqref="A1"/>
    </sheetView>
  </sheetViews>
  <sheetFormatPr defaultColWidth="12.7109375" defaultRowHeight="12.75"/>
  <cols>
    <col min="1" max="1" width="11.57421875" style="122" customWidth="1"/>
    <col min="2" max="2" width="4.8515625" style="122" customWidth="1"/>
    <col min="3" max="14" width="6.00390625" style="122" customWidth="1"/>
    <col min="15" max="15" width="6.140625" style="122" customWidth="1"/>
    <col min="16" max="16" width="2.00390625" style="122" customWidth="1"/>
    <col min="17" max="17" width="9.00390625" style="122" customWidth="1"/>
    <col min="18" max="16384" width="12.7109375" style="122" customWidth="1"/>
  </cols>
  <sheetData>
    <row r="1" spans="1:17" ht="17.25" customHeight="1">
      <c r="A1" s="187" t="s">
        <v>420</v>
      </c>
      <c r="B1" s="119"/>
      <c r="C1" s="120"/>
      <c r="D1" s="120"/>
      <c r="E1" s="120"/>
      <c r="F1" s="120"/>
      <c r="G1" s="120"/>
      <c r="H1" s="120"/>
      <c r="I1" s="120"/>
      <c r="J1" s="120"/>
      <c r="K1" s="120"/>
      <c r="L1" s="120"/>
      <c r="M1" s="120"/>
      <c r="N1" s="120"/>
      <c r="O1" s="120"/>
      <c r="P1" s="120"/>
      <c r="Q1" s="324" t="s">
        <v>159</v>
      </c>
    </row>
    <row r="2" spans="1:17" ht="15" customHeight="1">
      <c r="A2" s="351" t="s">
        <v>59</v>
      </c>
      <c r="B2" s="352" t="s">
        <v>119</v>
      </c>
      <c r="C2" s="341" t="s">
        <v>97</v>
      </c>
      <c r="D2" s="341" t="s">
        <v>98</v>
      </c>
      <c r="E2" s="341" t="s">
        <v>99</v>
      </c>
      <c r="F2" s="341" t="s">
        <v>100</v>
      </c>
      <c r="G2" s="341" t="s">
        <v>101</v>
      </c>
      <c r="H2" s="341" t="s">
        <v>102</v>
      </c>
      <c r="I2" s="341" t="s">
        <v>103</v>
      </c>
      <c r="J2" s="341" t="s">
        <v>104</v>
      </c>
      <c r="K2" s="341" t="s">
        <v>105</v>
      </c>
      <c r="L2" s="341" t="s">
        <v>106</v>
      </c>
      <c r="M2" s="341" t="s">
        <v>107</v>
      </c>
      <c r="N2" s="341" t="s">
        <v>108</v>
      </c>
      <c r="O2" s="344" t="s">
        <v>123</v>
      </c>
      <c r="P2" s="344"/>
      <c r="Q2" s="328" t="s">
        <v>573</v>
      </c>
    </row>
    <row r="3" spans="1:17" ht="12.75" customHeight="1">
      <c r="A3" s="123"/>
      <c r="B3" s="123"/>
      <c r="C3" s="512" t="s">
        <v>418</v>
      </c>
      <c r="D3" s="124"/>
      <c r="E3" s="124"/>
      <c r="F3" s="124"/>
      <c r="G3" s="125"/>
      <c r="H3" s="124"/>
      <c r="I3" s="124"/>
      <c r="J3" s="124"/>
      <c r="K3" s="124"/>
      <c r="L3" s="124"/>
      <c r="M3" s="124"/>
      <c r="N3" s="124"/>
      <c r="O3" s="124"/>
      <c r="P3" s="124"/>
      <c r="Q3" s="193" t="s">
        <v>30</v>
      </c>
    </row>
    <row r="4" spans="1:16" ht="3" customHeight="1">
      <c r="A4" s="123"/>
      <c r="B4" s="123"/>
      <c r="C4" s="126"/>
      <c r="D4" s="126"/>
      <c r="E4" s="126"/>
      <c r="F4" s="126"/>
      <c r="G4" s="126"/>
      <c r="H4" s="126"/>
      <c r="I4" s="126"/>
      <c r="J4" s="126"/>
      <c r="K4" s="126"/>
      <c r="L4" s="126"/>
      <c r="M4" s="126"/>
      <c r="N4" s="126"/>
      <c r="O4" s="126"/>
      <c r="P4" s="121"/>
    </row>
    <row r="5" spans="1:17" ht="10.5" customHeight="1">
      <c r="A5" s="408" t="s">
        <v>129</v>
      </c>
      <c r="B5" s="128">
        <v>2003</v>
      </c>
      <c r="C5" s="126">
        <v>253.7</v>
      </c>
      <c r="D5" s="126">
        <v>250.9</v>
      </c>
      <c r="E5" s="126">
        <v>250.7</v>
      </c>
      <c r="F5" s="126">
        <v>244.3</v>
      </c>
      <c r="G5" s="126">
        <v>246.3</v>
      </c>
      <c r="H5" s="126">
        <v>250.5</v>
      </c>
      <c r="I5" s="126">
        <v>248.3</v>
      </c>
      <c r="J5" s="126">
        <v>245.4</v>
      </c>
      <c r="K5" s="126">
        <v>247.2</v>
      </c>
      <c r="L5" s="126">
        <v>251.2</v>
      </c>
      <c r="M5" s="126">
        <v>253.5</v>
      </c>
      <c r="N5" s="126">
        <v>263.8</v>
      </c>
      <c r="O5" s="126">
        <f>SUM(C5:N5)/12</f>
        <v>250.48333333333332</v>
      </c>
      <c r="P5" s="129"/>
      <c r="Q5" s="198" t="s">
        <v>151</v>
      </c>
    </row>
    <row r="6" spans="1:17" ht="10.5" customHeight="1">
      <c r="A6" s="408" t="s">
        <v>130</v>
      </c>
      <c r="B6" s="128">
        <v>2004</v>
      </c>
      <c r="C6" s="126">
        <v>265.2</v>
      </c>
      <c r="D6" s="126">
        <v>262.8</v>
      </c>
      <c r="E6" s="126">
        <v>261.3</v>
      </c>
      <c r="F6" s="126">
        <v>251.7</v>
      </c>
      <c r="G6" s="126">
        <v>251</v>
      </c>
      <c r="H6" s="126">
        <v>247.2</v>
      </c>
      <c r="I6" s="126">
        <v>244.6</v>
      </c>
      <c r="J6" s="126">
        <v>245.6</v>
      </c>
      <c r="K6" s="126">
        <v>248.4</v>
      </c>
      <c r="L6" s="126">
        <v>270.7</v>
      </c>
      <c r="M6" s="126">
        <v>291</v>
      </c>
      <c r="N6" s="126">
        <v>295.1</v>
      </c>
      <c r="O6" s="126">
        <f>SUM(C6:N6)/12</f>
        <v>261.21666666666664</v>
      </c>
      <c r="P6" s="129"/>
      <c r="Q6" s="168">
        <f>((+M6/M5)-1)*100</f>
        <v>14.792899408284033</v>
      </c>
    </row>
    <row r="7" spans="1:17" ht="10.5" customHeight="1">
      <c r="A7" s="123"/>
      <c r="B7" s="128">
        <v>2005</v>
      </c>
      <c r="C7" s="126">
        <v>271</v>
      </c>
      <c r="D7" s="126">
        <v>263.2</v>
      </c>
      <c r="E7" s="126">
        <v>267</v>
      </c>
      <c r="F7" s="126">
        <v>280.1</v>
      </c>
      <c r="G7" s="126">
        <v>280.6</v>
      </c>
      <c r="H7" s="126">
        <v>266.9</v>
      </c>
      <c r="I7" s="126">
        <v>268.5</v>
      </c>
      <c r="J7" s="126">
        <v>261</v>
      </c>
      <c r="K7" s="126">
        <v>265.6</v>
      </c>
      <c r="L7" s="126">
        <v>274.1</v>
      </c>
      <c r="M7" s="126">
        <v>274.6</v>
      </c>
      <c r="N7" s="126">
        <v>288.3</v>
      </c>
      <c r="O7" s="126">
        <f>SUM(C7:N7)/12</f>
        <v>271.7416666666667</v>
      </c>
      <c r="P7" s="129"/>
      <c r="Q7" s="168">
        <f>((+M7/M6)-1)*100</f>
        <v>-5.635738831615111</v>
      </c>
    </row>
    <row r="8" spans="1:17" ht="10.5" customHeight="1">
      <c r="A8" s="123"/>
      <c r="B8" s="432">
        <v>2006</v>
      </c>
      <c r="C8" s="433">
        <v>300.6</v>
      </c>
      <c r="D8" s="433">
        <v>289.7</v>
      </c>
      <c r="E8" s="433">
        <v>279.7</v>
      </c>
      <c r="F8" s="433">
        <v>276.8</v>
      </c>
      <c r="G8" s="433">
        <v>275.6</v>
      </c>
      <c r="H8" s="433">
        <v>272.9</v>
      </c>
      <c r="I8" s="433">
        <v>271.5</v>
      </c>
      <c r="J8" s="433">
        <v>274.4</v>
      </c>
      <c r="K8" s="433">
        <v>294.2</v>
      </c>
      <c r="L8" s="433">
        <v>301.8</v>
      </c>
      <c r="M8" s="433">
        <v>288.6</v>
      </c>
      <c r="N8" s="433">
        <v>286.1</v>
      </c>
      <c r="O8" s="433">
        <f>SUM(C8:N8)/12</f>
        <v>284.325</v>
      </c>
      <c r="P8" s="434"/>
      <c r="Q8" s="168">
        <f>((+M8/M7)-1)*100</f>
        <v>5.0983248361252675</v>
      </c>
    </row>
    <row r="9" spans="1:17" ht="10.5" customHeight="1">
      <c r="A9" s="123"/>
      <c r="B9" s="353">
        <v>2007</v>
      </c>
      <c r="C9" s="354">
        <v>298.33</v>
      </c>
      <c r="D9" s="354">
        <v>308.62</v>
      </c>
      <c r="E9" s="354">
        <v>302.414</v>
      </c>
      <c r="F9" s="354">
        <v>299.307</v>
      </c>
      <c r="G9" s="354">
        <v>293.315</v>
      </c>
      <c r="H9" s="354">
        <v>283.536</v>
      </c>
      <c r="I9" s="354">
        <v>280.146</v>
      </c>
      <c r="J9" s="354">
        <v>274.4</v>
      </c>
      <c r="K9" s="354">
        <v>282.293</v>
      </c>
      <c r="L9" s="354">
        <v>292.67</v>
      </c>
      <c r="M9" s="354">
        <v>300.399</v>
      </c>
      <c r="N9" s="354">
        <v>306.142</v>
      </c>
      <c r="O9" s="354">
        <f>SUM(C9:N9)/12</f>
        <v>293.46433333333334</v>
      </c>
      <c r="P9" s="355"/>
      <c r="Q9" s="168">
        <f>((+M9/M8)-1)*100</f>
        <v>4.088357588357572</v>
      </c>
    </row>
    <row r="10" spans="1:17" ht="10.5" customHeight="1">
      <c r="A10" s="123"/>
      <c r="B10" s="353">
        <v>2008</v>
      </c>
      <c r="C10" s="354">
        <v>317.5</v>
      </c>
      <c r="D10" s="354">
        <v>304.996</v>
      </c>
      <c r="E10" s="354">
        <v>301.472</v>
      </c>
      <c r="F10" s="354">
        <v>299.77</v>
      </c>
      <c r="G10" s="354">
        <v>298.535</v>
      </c>
      <c r="H10" s="354">
        <v>307.2</v>
      </c>
      <c r="I10" s="354">
        <v>313.8</v>
      </c>
      <c r="J10" s="354">
        <v>313.4</v>
      </c>
      <c r="K10" s="354">
        <v>311.349</v>
      </c>
      <c r="L10" s="354">
        <v>314.5</v>
      </c>
      <c r="M10" s="354">
        <v>319.302</v>
      </c>
      <c r="N10" s="354"/>
      <c r="O10" s="354"/>
      <c r="P10" s="355"/>
      <c r="Q10" s="168">
        <f>((+M10/M9)-1)*100</f>
        <v>6.292630801034638</v>
      </c>
    </row>
    <row r="11" spans="1:17" ht="3" customHeight="1">
      <c r="A11" s="123"/>
      <c r="B11" s="123"/>
      <c r="C11" s="126"/>
      <c r="D11" s="126"/>
      <c r="E11" s="126"/>
      <c r="F11" s="126"/>
      <c r="G11" s="126"/>
      <c r="H11" s="126"/>
      <c r="I11" s="126"/>
      <c r="J11" s="126"/>
      <c r="K11" s="126"/>
      <c r="L11" s="126"/>
      <c r="M11" s="126"/>
      <c r="N11" s="126"/>
      <c r="O11" s="126"/>
      <c r="P11" s="129"/>
      <c r="Q11" s="198"/>
    </row>
    <row r="12" spans="1:17" ht="10.5" customHeight="1">
      <c r="A12" s="408" t="s">
        <v>131</v>
      </c>
      <c r="B12" s="128">
        <v>2003</v>
      </c>
      <c r="C12" s="126">
        <v>230.6</v>
      </c>
      <c r="D12" s="126">
        <v>226.9</v>
      </c>
      <c r="E12" s="126">
        <v>227.5</v>
      </c>
      <c r="F12" s="126">
        <v>225</v>
      </c>
      <c r="G12" s="126">
        <v>231.9</v>
      </c>
      <c r="H12" s="126">
        <v>231.4</v>
      </c>
      <c r="I12" s="126">
        <v>235.1</v>
      </c>
      <c r="J12" s="126">
        <v>238.8</v>
      </c>
      <c r="K12" s="126">
        <v>233.8</v>
      </c>
      <c r="L12" s="126">
        <v>223.7</v>
      </c>
      <c r="M12" s="126">
        <v>217.7</v>
      </c>
      <c r="N12" s="126">
        <v>214.5</v>
      </c>
      <c r="O12" s="126">
        <f>SUM(C12:N12)/12</f>
        <v>228.07499999999996</v>
      </c>
      <c r="P12" s="129"/>
      <c r="Q12" s="198" t="s">
        <v>151</v>
      </c>
    </row>
    <row r="13" spans="1:17" ht="10.5" customHeight="1">
      <c r="A13" s="408" t="s">
        <v>132</v>
      </c>
      <c r="B13" s="128">
        <v>2004</v>
      </c>
      <c r="C13" s="126">
        <v>228.2</v>
      </c>
      <c r="D13" s="126">
        <v>226</v>
      </c>
      <c r="E13" s="126">
        <v>230.5</v>
      </c>
      <c r="F13" s="126">
        <v>224.3</v>
      </c>
      <c r="G13" s="126">
        <v>229</v>
      </c>
      <c r="H13" s="126">
        <v>237.4</v>
      </c>
      <c r="I13" s="126">
        <v>240.7</v>
      </c>
      <c r="J13" s="126">
        <v>238.9</v>
      </c>
      <c r="K13" s="126">
        <v>228.5</v>
      </c>
      <c r="L13" s="126">
        <v>232</v>
      </c>
      <c r="M13" s="126">
        <v>226.9</v>
      </c>
      <c r="N13" s="126">
        <v>230.5</v>
      </c>
      <c r="O13" s="126">
        <f>SUM(C13:N13)/12</f>
        <v>231.07500000000002</v>
      </c>
      <c r="P13" s="129"/>
      <c r="Q13" s="168">
        <f>((+M13/M12)-1)*100</f>
        <v>4.225999081304566</v>
      </c>
    </row>
    <row r="14" spans="1:17" ht="10.5" customHeight="1">
      <c r="A14" s="123"/>
      <c r="B14" s="128">
        <v>2005</v>
      </c>
      <c r="C14" s="126">
        <v>237.5</v>
      </c>
      <c r="D14" s="126">
        <v>235.8</v>
      </c>
      <c r="E14" s="126">
        <v>228.3</v>
      </c>
      <c r="F14" s="126">
        <v>235</v>
      </c>
      <c r="G14" s="126">
        <v>239.1</v>
      </c>
      <c r="H14" s="126">
        <v>246.7</v>
      </c>
      <c r="I14" s="126">
        <v>256.7</v>
      </c>
      <c r="J14" s="126">
        <v>263.8</v>
      </c>
      <c r="K14" s="126">
        <v>258.6</v>
      </c>
      <c r="L14" s="126">
        <v>265.8</v>
      </c>
      <c r="M14" s="126">
        <v>253.5</v>
      </c>
      <c r="N14" s="126">
        <v>251.7</v>
      </c>
      <c r="O14" s="126">
        <f>SUM(C14:N14)/12</f>
        <v>247.70833333333334</v>
      </c>
      <c r="P14" s="129"/>
      <c r="Q14" s="168">
        <f>((+M14/M13)-1)*100</f>
        <v>11.723226090788884</v>
      </c>
    </row>
    <row r="15" spans="1:17" ht="10.5" customHeight="1">
      <c r="A15" s="123"/>
      <c r="B15" s="432">
        <v>2006</v>
      </c>
      <c r="C15" s="433">
        <v>261.1</v>
      </c>
      <c r="D15" s="433">
        <v>264.7</v>
      </c>
      <c r="E15" s="433">
        <v>264.6</v>
      </c>
      <c r="F15" s="433">
        <v>261.5</v>
      </c>
      <c r="G15" s="433">
        <v>270.4</v>
      </c>
      <c r="H15" s="433">
        <v>276</v>
      </c>
      <c r="I15" s="433">
        <v>282.5</v>
      </c>
      <c r="J15" s="433">
        <v>293.6</v>
      </c>
      <c r="K15" s="433">
        <v>290.4</v>
      </c>
      <c r="L15" s="433">
        <v>278.2</v>
      </c>
      <c r="M15" s="433">
        <v>267.8</v>
      </c>
      <c r="N15" s="433">
        <v>266.8</v>
      </c>
      <c r="O15" s="433">
        <f>SUM(C15:N15)/12</f>
        <v>273.1333333333334</v>
      </c>
      <c r="P15" s="434"/>
      <c r="Q15" s="168">
        <f>((+M15/M14)-1)*100</f>
        <v>5.641025641025643</v>
      </c>
    </row>
    <row r="16" spans="1:17" ht="10.5" customHeight="1">
      <c r="A16" s="123"/>
      <c r="B16" s="353">
        <v>2007</v>
      </c>
      <c r="C16" s="354">
        <v>272.44</v>
      </c>
      <c r="D16" s="354">
        <v>269.922</v>
      </c>
      <c r="E16" s="354">
        <v>275.973</v>
      </c>
      <c r="F16" s="354">
        <v>277.591</v>
      </c>
      <c r="G16" s="354">
        <v>284.691</v>
      </c>
      <c r="H16" s="354">
        <v>291.593</v>
      </c>
      <c r="I16" s="354">
        <v>294.472</v>
      </c>
      <c r="J16" s="354">
        <v>283.4</v>
      </c>
      <c r="K16" s="354">
        <v>282.974</v>
      </c>
      <c r="L16" s="354">
        <v>278.798</v>
      </c>
      <c r="M16" s="354">
        <v>278.652</v>
      </c>
      <c r="N16" s="354">
        <v>274.694</v>
      </c>
      <c r="O16" s="354">
        <f>SUM(C16:N16)/12</f>
        <v>280.43333333333334</v>
      </c>
      <c r="P16" s="355"/>
      <c r="Q16" s="168">
        <f>((+M16/M15)-1)*100</f>
        <v>4.052277819268091</v>
      </c>
    </row>
    <row r="17" spans="1:17" ht="10.5" customHeight="1">
      <c r="A17" s="123"/>
      <c r="B17" s="353">
        <v>2008</v>
      </c>
      <c r="C17" s="354">
        <v>282.9</v>
      </c>
      <c r="D17" s="354">
        <v>286.349</v>
      </c>
      <c r="E17" s="354">
        <v>285.386</v>
      </c>
      <c r="F17" s="354">
        <v>293.081</v>
      </c>
      <c r="G17" s="354">
        <v>294.579</v>
      </c>
      <c r="H17" s="354">
        <v>311.3</v>
      </c>
      <c r="I17" s="354">
        <v>347</v>
      </c>
      <c r="J17" s="354">
        <v>366.8</v>
      </c>
      <c r="K17" s="354">
        <v>376.349</v>
      </c>
      <c r="L17" s="354">
        <v>365.4</v>
      </c>
      <c r="M17" s="354">
        <v>351.075</v>
      </c>
      <c r="N17" s="354"/>
      <c r="O17" s="354"/>
      <c r="P17" s="355"/>
      <c r="Q17" s="168">
        <f>((+M17/M16)-1)*100</f>
        <v>25.990482752680766</v>
      </c>
    </row>
    <row r="18" spans="1:16" ht="3" customHeight="1">
      <c r="A18" s="123"/>
      <c r="B18" s="123"/>
      <c r="C18" s="126"/>
      <c r="D18" s="126"/>
      <c r="E18" s="126"/>
      <c r="F18" s="126"/>
      <c r="G18" s="126"/>
      <c r="H18" s="126"/>
      <c r="I18" s="126"/>
      <c r="J18" s="126"/>
      <c r="K18" s="126"/>
      <c r="L18" s="126"/>
      <c r="M18" s="126"/>
      <c r="N18" s="126"/>
      <c r="O18" s="126"/>
      <c r="P18" s="129"/>
    </row>
    <row r="19" spans="1:17" ht="10.5" customHeight="1">
      <c r="A19" s="408" t="s">
        <v>133</v>
      </c>
      <c r="B19" s="128">
        <v>2003</v>
      </c>
      <c r="C19" s="126">
        <v>223.8</v>
      </c>
      <c r="D19" s="126">
        <v>219.7</v>
      </c>
      <c r="E19" s="126">
        <v>222.9</v>
      </c>
      <c r="F19" s="126">
        <v>227.4</v>
      </c>
      <c r="G19" s="126">
        <v>253.1</v>
      </c>
      <c r="H19" s="126">
        <v>266</v>
      </c>
      <c r="I19" s="126">
        <v>243.1</v>
      </c>
      <c r="J19" s="126">
        <v>226.1</v>
      </c>
      <c r="K19" s="126">
        <v>260.9</v>
      </c>
      <c r="L19" s="126">
        <v>250.2</v>
      </c>
      <c r="M19" s="126">
        <v>259.4</v>
      </c>
      <c r="N19" s="126">
        <v>301.8</v>
      </c>
      <c r="O19" s="126">
        <f>SUM(C19:N19)/12</f>
        <v>246.19999999999996</v>
      </c>
      <c r="P19" s="129"/>
      <c r="Q19" s="198" t="s">
        <v>151</v>
      </c>
    </row>
    <row r="20" spans="1:17" ht="10.5" customHeight="1">
      <c r="A20" s="408" t="s">
        <v>134</v>
      </c>
      <c r="B20" s="128">
        <v>2004</v>
      </c>
      <c r="C20" s="126">
        <v>271.7</v>
      </c>
      <c r="D20" s="126">
        <v>245.8</v>
      </c>
      <c r="E20" s="126">
        <v>242.3</v>
      </c>
      <c r="F20" s="126">
        <v>232.1</v>
      </c>
      <c r="G20" s="126">
        <v>224.1</v>
      </c>
      <c r="H20" s="126">
        <v>221.7</v>
      </c>
      <c r="I20" s="126">
        <v>219.8</v>
      </c>
      <c r="J20" s="126">
        <v>228.4</v>
      </c>
      <c r="K20" s="126">
        <v>229.2</v>
      </c>
      <c r="L20" s="126">
        <v>236.2</v>
      </c>
      <c r="M20" s="126">
        <v>249</v>
      </c>
      <c r="N20" s="126">
        <v>276.9</v>
      </c>
      <c r="O20" s="126">
        <f>SUM(C20:N20)/12</f>
        <v>239.76666666666665</v>
      </c>
      <c r="P20" s="129"/>
      <c r="Q20" s="168">
        <f>((+M20/M19)-1)*100</f>
        <v>-4.0092521202775515</v>
      </c>
    </row>
    <row r="21" spans="1:17" ht="10.5" customHeight="1">
      <c r="A21" s="123"/>
      <c r="B21" s="128">
        <v>2005</v>
      </c>
      <c r="C21" s="126">
        <v>258.3</v>
      </c>
      <c r="D21" s="126">
        <v>237.9</v>
      </c>
      <c r="E21" s="126">
        <v>253.5</v>
      </c>
      <c r="F21" s="126">
        <v>287.5</v>
      </c>
      <c r="G21" s="126">
        <v>271.6</v>
      </c>
      <c r="H21" s="126">
        <v>257.6</v>
      </c>
      <c r="I21" s="126">
        <v>247.7</v>
      </c>
      <c r="J21" s="126">
        <v>247.4</v>
      </c>
      <c r="K21" s="126">
        <v>249.4</v>
      </c>
      <c r="L21" s="126">
        <v>258.4</v>
      </c>
      <c r="M21" s="126">
        <v>258.7</v>
      </c>
      <c r="N21" s="126">
        <v>260</v>
      </c>
      <c r="O21" s="126">
        <f>SUM(C21:N21)/12</f>
        <v>257.3333333333333</v>
      </c>
      <c r="P21" s="129"/>
      <c r="Q21" s="168">
        <f>((+M21/M20)-1)*100</f>
        <v>3.89558232931726</v>
      </c>
    </row>
    <row r="22" spans="1:18" ht="10.5" customHeight="1">
      <c r="A22" s="123"/>
      <c r="B22" s="432">
        <v>2006</v>
      </c>
      <c r="C22" s="433">
        <v>260.8</v>
      </c>
      <c r="D22" s="433">
        <v>258</v>
      </c>
      <c r="E22" s="433">
        <v>254.2</v>
      </c>
      <c r="F22" s="433">
        <v>267.2</v>
      </c>
      <c r="G22" s="433">
        <v>285.5</v>
      </c>
      <c r="H22" s="433">
        <v>264</v>
      </c>
      <c r="I22" s="433">
        <v>246.9</v>
      </c>
      <c r="J22" s="433">
        <v>265.8</v>
      </c>
      <c r="K22" s="433">
        <v>274.2</v>
      </c>
      <c r="L22" s="433">
        <v>269.7</v>
      </c>
      <c r="M22" s="433">
        <v>265.1</v>
      </c>
      <c r="N22" s="433">
        <v>281.9</v>
      </c>
      <c r="O22" s="433">
        <f>SUM(C22:N22)/12</f>
        <v>266.1083333333333</v>
      </c>
      <c r="P22" s="434"/>
      <c r="Q22" s="168">
        <f>((+M22/M21)-1)*100</f>
        <v>2.47390800154621</v>
      </c>
      <c r="R22" s="497"/>
    </row>
    <row r="23" spans="1:17" ht="10.5" customHeight="1">
      <c r="A23" s="123"/>
      <c r="B23" s="353">
        <v>2007</v>
      </c>
      <c r="C23" s="354">
        <v>292.179</v>
      </c>
      <c r="D23" s="354">
        <v>294.692</v>
      </c>
      <c r="E23" s="354">
        <v>287.574</v>
      </c>
      <c r="F23" s="354">
        <v>283.285</v>
      </c>
      <c r="G23" s="354">
        <v>265.641</v>
      </c>
      <c r="H23" s="354">
        <v>261.569</v>
      </c>
      <c r="I23" s="354">
        <v>254.667</v>
      </c>
      <c r="J23" s="354">
        <v>260.6</v>
      </c>
      <c r="K23" s="354">
        <v>273.276</v>
      </c>
      <c r="L23" s="354">
        <v>298.182</v>
      </c>
      <c r="M23" s="354">
        <v>295.748</v>
      </c>
      <c r="N23" s="354">
        <v>295.313</v>
      </c>
      <c r="O23" s="354">
        <f>SUM(C23:N23)/12</f>
        <v>280.2271666666667</v>
      </c>
      <c r="P23" s="355"/>
      <c r="Q23" s="168">
        <f>((+M23/M22)-1)*100</f>
        <v>11.560920407393427</v>
      </c>
    </row>
    <row r="24" spans="1:17" ht="10.5" customHeight="1">
      <c r="A24" s="123"/>
      <c r="B24" s="353">
        <v>2008</v>
      </c>
      <c r="C24" s="354">
        <v>292.9</v>
      </c>
      <c r="D24" s="354">
        <v>282.554</v>
      </c>
      <c r="E24" s="354">
        <v>278.34</v>
      </c>
      <c r="F24" s="354">
        <v>276.987</v>
      </c>
      <c r="G24" s="354">
        <v>268.253</v>
      </c>
      <c r="H24" s="354">
        <v>269.6</v>
      </c>
      <c r="I24" s="354">
        <v>276.6</v>
      </c>
      <c r="J24" s="354">
        <v>286</v>
      </c>
      <c r="K24" s="354">
        <v>297.399</v>
      </c>
      <c r="L24" s="354">
        <v>306.3</v>
      </c>
      <c r="M24" s="354">
        <v>303.214</v>
      </c>
      <c r="N24" s="354"/>
      <c r="O24" s="354"/>
      <c r="P24" s="355"/>
      <c r="Q24" s="168">
        <f>((+M24/M23)-1)*100</f>
        <v>2.5244464882264728</v>
      </c>
    </row>
    <row r="25" spans="1:17" ht="3" customHeight="1">
      <c r="A25" s="123"/>
      <c r="B25" s="123"/>
      <c r="C25" s="126"/>
      <c r="D25" s="126"/>
      <c r="E25" s="126"/>
      <c r="F25" s="126"/>
      <c r="G25" s="126"/>
      <c r="H25" s="126"/>
      <c r="I25" s="126"/>
      <c r="J25" s="126"/>
      <c r="K25" s="126"/>
      <c r="L25" s="126"/>
      <c r="M25" s="126"/>
      <c r="N25" s="126"/>
      <c r="O25" s="126"/>
      <c r="P25" s="129"/>
      <c r="Q25" s="333"/>
    </row>
    <row r="26" spans="1:17" ht="10.5" customHeight="1">
      <c r="A26" s="408" t="s">
        <v>135</v>
      </c>
      <c r="B26" s="128">
        <v>2003</v>
      </c>
      <c r="C26" s="126">
        <v>299.5</v>
      </c>
      <c r="D26" s="126">
        <v>275.3</v>
      </c>
      <c r="E26" s="126">
        <v>285.2</v>
      </c>
      <c r="F26" s="126">
        <v>272</v>
      </c>
      <c r="G26" s="126">
        <v>244.2</v>
      </c>
      <c r="H26" s="126">
        <v>252.9</v>
      </c>
      <c r="I26" s="126">
        <v>262.6</v>
      </c>
      <c r="J26" s="126">
        <v>271.5</v>
      </c>
      <c r="K26" s="126">
        <v>262.7</v>
      </c>
      <c r="L26" s="126">
        <v>261.2</v>
      </c>
      <c r="M26" s="126">
        <v>281</v>
      </c>
      <c r="N26" s="126">
        <v>284.2</v>
      </c>
      <c r="O26" s="126">
        <f>SUM(C26:N26)/12</f>
        <v>271.025</v>
      </c>
      <c r="P26" s="129"/>
      <c r="Q26" s="198" t="s">
        <v>151</v>
      </c>
    </row>
    <row r="27" spans="1:17" ht="10.5" customHeight="1">
      <c r="A27" s="408" t="s">
        <v>136</v>
      </c>
      <c r="B27" s="128">
        <v>2004</v>
      </c>
      <c r="C27" s="126">
        <v>283.2</v>
      </c>
      <c r="D27" s="126">
        <v>282.8</v>
      </c>
      <c r="E27" s="126">
        <v>285</v>
      </c>
      <c r="F27" s="126">
        <v>274.4</v>
      </c>
      <c r="G27" s="126">
        <v>272.3</v>
      </c>
      <c r="H27" s="126">
        <v>252.9</v>
      </c>
      <c r="I27" s="126">
        <v>243.5</v>
      </c>
      <c r="J27" s="126">
        <v>249.5</v>
      </c>
      <c r="K27" s="126">
        <v>253.8</v>
      </c>
      <c r="L27" s="126">
        <v>316.3</v>
      </c>
      <c r="M27" s="126">
        <v>422.7</v>
      </c>
      <c r="N27" s="126">
        <v>425</v>
      </c>
      <c r="O27" s="126">
        <f>SUM(C27:N27)/12</f>
        <v>296.78333333333336</v>
      </c>
      <c r="P27" s="129"/>
      <c r="Q27" s="168">
        <f>((+M27/M26)-1)*100</f>
        <v>50.4270462633452</v>
      </c>
    </row>
    <row r="28" spans="1:17" ht="10.5" customHeight="1">
      <c r="A28" s="123"/>
      <c r="B28" s="128">
        <v>2005</v>
      </c>
      <c r="C28" s="126">
        <v>309.6</v>
      </c>
      <c r="D28" s="126">
        <v>274.8</v>
      </c>
      <c r="E28" s="126">
        <v>297.1</v>
      </c>
      <c r="F28" s="126">
        <v>310.6</v>
      </c>
      <c r="G28" s="126">
        <v>333.6</v>
      </c>
      <c r="H28" s="126">
        <v>293</v>
      </c>
      <c r="I28" s="126">
        <v>287.3</v>
      </c>
      <c r="J28" s="126">
        <v>267.6</v>
      </c>
      <c r="K28" s="126">
        <v>273.5</v>
      </c>
      <c r="L28" s="126">
        <v>297.2</v>
      </c>
      <c r="M28" s="126">
        <v>299</v>
      </c>
      <c r="N28" s="126">
        <v>342.3</v>
      </c>
      <c r="O28" s="126">
        <f>SUM(C28:N28)/12</f>
        <v>298.8</v>
      </c>
      <c r="P28" s="129"/>
      <c r="Q28" s="168">
        <f>((+M28/M27)-1)*100</f>
        <v>-29.26425360775964</v>
      </c>
    </row>
    <row r="29" spans="1:17" s="497" customFormat="1" ht="10.5" customHeight="1">
      <c r="A29" s="496"/>
      <c r="B29" s="432">
        <v>2006</v>
      </c>
      <c r="C29" s="433">
        <v>393.1</v>
      </c>
      <c r="D29" s="433">
        <v>354.7</v>
      </c>
      <c r="E29" s="433">
        <v>311.5</v>
      </c>
      <c r="F29" s="433">
        <v>297.9</v>
      </c>
      <c r="G29" s="433">
        <v>293.9</v>
      </c>
      <c r="H29" s="433">
        <v>276.1</v>
      </c>
      <c r="I29" s="433">
        <v>271.8</v>
      </c>
      <c r="J29" s="433">
        <v>271.8</v>
      </c>
      <c r="K29" s="433">
        <v>336.5</v>
      </c>
      <c r="L29" s="433">
        <v>405.5</v>
      </c>
      <c r="M29" s="433">
        <v>347.8</v>
      </c>
      <c r="N29" s="433">
        <v>318.5</v>
      </c>
      <c r="O29" s="433">
        <f>SUM(C29:N29)/12</f>
        <v>323.2583333333334</v>
      </c>
      <c r="P29" s="434"/>
      <c r="Q29" s="168">
        <f>((+M29/M28)-1)*100</f>
        <v>16.321070234113712</v>
      </c>
    </row>
    <row r="30" spans="1:17" ht="10.5" customHeight="1">
      <c r="A30" s="123"/>
      <c r="B30" s="353">
        <v>2007</v>
      </c>
      <c r="C30" s="354">
        <v>307.24</v>
      </c>
      <c r="D30" s="354">
        <v>317.158</v>
      </c>
      <c r="E30" s="354">
        <v>291.882</v>
      </c>
      <c r="F30" s="354">
        <v>309.831</v>
      </c>
      <c r="G30" s="354">
        <v>309.691</v>
      </c>
      <c r="H30" s="354">
        <v>283.501</v>
      </c>
      <c r="I30" s="354">
        <v>278.69</v>
      </c>
      <c r="J30" s="354">
        <v>273.846</v>
      </c>
      <c r="K30" s="354">
        <v>280.804</v>
      </c>
      <c r="L30" s="354">
        <v>304.706</v>
      </c>
      <c r="M30" s="354">
        <v>341.347</v>
      </c>
      <c r="N30" s="354">
        <v>378.746</v>
      </c>
      <c r="O30" s="354">
        <f>SUM(C30:N30)/12</f>
        <v>306.4535</v>
      </c>
      <c r="P30" s="355"/>
      <c r="Q30" s="168">
        <f>((+M30/M29)-1)*100</f>
        <v>-1.855376653249008</v>
      </c>
    </row>
    <row r="31" spans="1:17" ht="10.5" customHeight="1">
      <c r="A31" s="123"/>
      <c r="B31" s="353">
        <v>2008</v>
      </c>
      <c r="C31" s="354">
        <v>385.2</v>
      </c>
      <c r="D31" s="354">
        <v>329.559</v>
      </c>
      <c r="E31" s="354">
        <v>345.108</v>
      </c>
      <c r="F31" s="354">
        <v>334.911</v>
      </c>
      <c r="G31" s="354">
        <v>322.097</v>
      </c>
      <c r="H31" s="354">
        <v>346.3</v>
      </c>
      <c r="I31" s="354">
        <v>330.7</v>
      </c>
      <c r="J31" s="354">
        <v>317.7</v>
      </c>
      <c r="K31" s="354">
        <v>303.012</v>
      </c>
      <c r="L31" s="354">
        <v>304.3</v>
      </c>
      <c r="M31" s="354">
        <v>334.618</v>
      </c>
      <c r="N31" s="354"/>
      <c r="O31" s="354"/>
      <c r="P31" s="355"/>
      <c r="Q31" s="168">
        <f>((+M31/M30)-1)*100</f>
        <v>-1.9713077894342068</v>
      </c>
    </row>
    <row r="32" spans="1:17" ht="3" customHeight="1">
      <c r="A32" s="123"/>
      <c r="B32" s="123"/>
      <c r="C32" s="126"/>
      <c r="D32" s="126"/>
      <c r="E32" s="126"/>
      <c r="F32" s="126"/>
      <c r="G32" s="126"/>
      <c r="H32" s="126"/>
      <c r="I32" s="126"/>
      <c r="J32" s="126"/>
      <c r="K32" s="126"/>
      <c r="L32" s="126"/>
      <c r="M32" s="126"/>
      <c r="N32" s="126"/>
      <c r="O32" s="126"/>
      <c r="P32" s="129"/>
      <c r="Q32" s="333">
        <f>((+C32/C29)-1)*100</f>
        <v>-100</v>
      </c>
    </row>
    <row r="33" spans="1:17" ht="10.5" customHeight="1">
      <c r="A33" s="408" t="s">
        <v>137</v>
      </c>
      <c r="B33" s="128">
        <v>2003</v>
      </c>
      <c r="C33" s="126">
        <v>258.7</v>
      </c>
      <c r="D33" s="126">
        <v>264.1</v>
      </c>
      <c r="E33" s="126">
        <v>259.2</v>
      </c>
      <c r="F33" s="126">
        <v>250.7</v>
      </c>
      <c r="G33" s="126">
        <v>255.6</v>
      </c>
      <c r="H33" s="126">
        <v>257.9</v>
      </c>
      <c r="I33" s="126">
        <v>254.2</v>
      </c>
      <c r="J33" s="126">
        <v>248.1</v>
      </c>
      <c r="K33" s="126">
        <v>248</v>
      </c>
      <c r="L33" s="126">
        <v>263.9</v>
      </c>
      <c r="M33" s="126">
        <v>260.9</v>
      </c>
      <c r="N33" s="126">
        <v>271</v>
      </c>
      <c r="O33" s="126">
        <f>SUM(C33:N33)/12</f>
        <v>257.69166666666666</v>
      </c>
      <c r="P33" s="129"/>
      <c r="Q33" s="198" t="s">
        <v>151</v>
      </c>
    </row>
    <row r="34" spans="1:17" ht="10.5" customHeight="1">
      <c r="A34" s="123"/>
      <c r="B34" s="128">
        <v>2004</v>
      </c>
      <c r="C34" s="126">
        <v>276.2</v>
      </c>
      <c r="D34" s="126">
        <v>279</v>
      </c>
      <c r="E34" s="126">
        <v>274.2</v>
      </c>
      <c r="F34" s="126">
        <v>263.7</v>
      </c>
      <c r="G34" s="126">
        <v>263</v>
      </c>
      <c r="H34" s="126">
        <v>259.8</v>
      </c>
      <c r="I34" s="126">
        <v>257.1</v>
      </c>
      <c r="J34" s="126">
        <v>255.3</v>
      </c>
      <c r="K34" s="126">
        <v>263.5</v>
      </c>
      <c r="L34" s="126">
        <v>282.8</v>
      </c>
      <c r="M34" s="126">
        <v>283.5</v>
      </c>
      <c r="N34" s="126">
        <v>282.5</v>
      </c>
      <c r="O34" s="126">
        <f>SUM(C34:N34)/12</f>
        <v>270.05</v>
      </c>
      <c r="P34" s="129"/>
      <c r="Q34" s="168">
        <f>((+M34/M33)-1)*100</f>
        <v>8.66232272901495</v>
      </c>
    </row>
    <row r="35" spans="1:17" ht="10.5" customHeight="1">
      <c r="A35" s="123"/>
      <c r="B35" s="128">
        <v>2005</v>
      </c>
      <c r="C35" s="126">
        <v>277.9</v>
      </c>
      <c r="D35" s="126">
        <v>280.8</v>
      </c>
      <c r="E35" s="126">
        <v>279.4</v>
      </c>
      <c r="F35" s="126">
        <v>289.9</v>
      </c>
      <c r="G35" s="126">
        <v>284.8</v>
      </c>
      <c r="H35" s="126">
        <v>272.2</v>
      </c>
      <c r="I35" s="126">
        <v>276</v>
      </c>
      <c r="J35" s="126">
        <v>265.2</v>
      </c>
      <c r="K35" s="126">
        <v>274</v>
      </c>
      <c r="L35" s="126">
        <v>277.4</v>
      </c>
      <c r="M35" s="126">
        <v>282.7</v>
      </c>
      <c r="N35" s="126">
        <v>295.2</v>
      </c>
      <c r="O35" s="126">
        <f>SUM(C35:N35)/12</f>
        <v>279.62499999999994</v>
      </c>
      <c r="P35" s="129"/>
      <c r="Q35" s="168">
        <f>((+M35/M34)-1)*100</f>
        <v>-0.2821869488536244</v>
      </c>
    </row>
    <row r="36" spans="1:17" s="497" customFormat="1" ht="10.5" customHeight="1">
      <c r="A36" s="496"/>
      <c r="B36" s="432">
        <v>2006</v>
      </c>
      <c r="C36" s="433">
        <v>298.2</v>
      </c>
      <c r="D36" s="433">
        <v>289.6</v>
      </c>
      <c r="E36" s="433">
        <v>285.8</v>
      </c>
      <c r="F36" s="433">
        <v>282.4</v>
      </c>
      <c r="G36" s="433">
        <v>273.5</v>
      </c>
      <c r="H36" s="433">
        <v>278.2</v>
      </c>
      <c r="I36" s="433">
        <v>279.1</v>
      </c>
      <c r="J36" s="433">
        <v>276.1</v>
      </c>
      <c r="K36" s="433">
        <v>291.5</v>
      </c>
      <c r="L36" s="433">
        <v>288.1</v>
      </c>
      <c r="M36" s="433">
        <v>286.8</v>
      </c>
      <c r="N36" s="433">
        <v>288</v>
      </c>
      <c r="O36" s="433">
        <f>SUM(C36:N36)/12</f>
        <v>284.77500000000003</v>
      </c>
      <c r="P36" s="434"/>
      <c r="Q36" s="168">
        <f>((+M36/M35)-1)*100</f>
        <v>1.4503006720905542</v>
      </c>
    </row>
    <row r="37" spans="1:17" ht="10.5" customHeight="1">
      <c r="A37" s="123"/>
      <c r="B37" s="353">
        <v>2007</v>
      </c>
      <c r="C37" s="354">
        <v>311.45</v>
      </c>
      <c r="D37" s="354">
        <v>328.564</v>
      </c>
      <c r="E37" s="354">
        <v>324.874</v>
      </c>
      <c r="F37" s="354">
        <v>313.044</v>
      </c>
      <c r="G37" s="354">
        <v>303.435</v>
      </c>
      <c r="H37" s="354">
        <v>291.895</v>
      </c>
      <c r="I37" s="354">
        <v>287.689</v>
      </c>
      <c r="J37" s="354">
        <v>280.369</v>
      </c>
      <c r="K37" s="354">
        <v>290.274</v>
      </c>
      <c r="L37" s="354">
        <v>297.346</v>
      </c>
      <c r="M37" s="354">
        <v>300.564</v>
      </c>
      <c r="N37" s="354">
        <v>300.382</v>
      </c>
      <c r="O37" s="354">
        <f>SUM(C37:N37)/12</f>
        <v>302.4905</v>
      </c>
      <c r="P37" s="355"/>
      <c r="Q37" s="168">
        <f>((+M37/M36)-1)*100</f>
        <v>4.79916317991631</v>
      </c>
    </row>
    <row r="38" spans="1:17" ht="10.5" customHeight="1">
      <c r="A38" s="123"/>
      <c r="B38" s="353">
        <v>2008</v>
      </c>
      <c r="C38" s="354">
        <v>318.2</v>
      </c>
      <c r="D38" s="354">
        <v>313.819</v>
      </c>
      <c r="E38" s="354">
        <v>303.34</v>
      </c>
      <c r="F38" s="354">
        <v>301.166</v>
      </c>
      <c r="G38" s="354">
        <v>304.826</v>
      </c>
      <c r="H38" s="354">
        <v>307.9</v>
      </c>
      <c r="I38" s="354">
        <v>312</v>
      </c>
      <c r="J38" s="354">
        <v>306.3</v>
      </c>
      <c r="K38" s="354">
        <v>300.857</v>
      </c>
      <c r="L38" s="354">
        <v>307.9</v>
      </c>
      <c r="M38" s="354">
        <v>312.843</v>
      </c>
      <c r="N38" s="354"/>
      <c r="O38" s="354"/>
      <c r="P38" s="355"/>
      <c r="Q38" s="168">
        <f>((+M38/M37)-1)*100</f>
        <v>4.085319599153592</v>
      </c>
    </row>
    <row r="39" spans="1:16" ht="3" customHeight="1">
      <c r="A39" s="123"/>
      <c r="B39" s="128"/>
      <c r="C39" s="126"/>
      <c r="D39" s="126"/>
      <c r="E39" s="126"/>
      <c r="F39" s="126"/>
      <c r="G39" s="126"/>
      <c r="H39" s="126"/>
      <c r="I39" s="126"/>
      <c r="J39" s="126"/>
      <c r="K39" s="126"/>
      <c r="L39" s="126"/>
      <c r="M39" s="126"/>
      <c r="N39" s="126"/>
      <c r="O39" s="126"/>
      <c r="P39" s="129"/>
    </row>
    <row r="40" spans="1:17" ht="10.5" customHeight="1">
      <c r="A40" s="408" t="s">
        <v>138</v>
      </c>
      <c r="B40" s="128">
        <v>2003</v>
      </c>
      <c r="C40" s="126">
        <v>169</v>
      </c>
      <c r="D40" s="126">
        <v>171</v>
      </c>
      <c r="E40" s="126">
        <v>170.6</v>
      </c>
      <c r="F40" s="126">
        <v>169</v>
      </c>
      <c r="G40" s="126">
        <v>172.7</v>
      </c>
      <c r="H40" s="126">
        <v>174.4</v>
      </c>
      <c r="I40" s="126">
        <v>174.2</v>
      </c>
      <c r="J40" s="126">
        <v>176</v>
      </c>
      <c r="K40" s="126">
        <v>175</v>
      </c>
      <c r="L40" s="126">
        <v>171.9</v>
      </c>
      <c r="M40" s="126">
        <v>173</v>
      </c>
      <c r="N40" s="126">
        <v>173.2</v>
      </c>
      <c r="O40" s="126">
        <f>SUM(C40:N40)/12</f>
        <v>172.5</v>
      </c>
      <c r="P40" s="129"/>
      <c r="Q40" s="198" t="s">
        <v>151</v>
      </c>
    </row>
    <row r="41" spans="1:17" ht="10.5" customHeight="1">
      <c r="A41" s="408" t="s">
        <v>139</v>
      </c>
      <c r="B41" s="128">
        <v>2004</v>
      </c>
      <c r="C41" s="126">
        <v>176.3</v>
      </c>
      <c r="D41" s="126">
        <v>177.6</v>
      </c>
      <c r="E41" s="126">
        <v>174.9</v>
      </c>
      <c r="F41" s="126">
        <v>173.5</v>
      </c>
      <c r="G41" s="126">
        <v>176.9</v>
      </c>
      <c r="H41" s="126">
        <v>174.5</v>
      </c>
      <c r="I41" s="126">
        <v>177</v>
      </c>
      <c r="J41" s="126">
        <v>178.1</v>
      </c>
      <c r="K41" s="126">
        <v>177.6</v>
      </c>
      <c r="L41" s="126">
        <v>177.5</v>
      </c>
      <c r="M41" s="126">
        <v>173.8</v>
      </c>
      <c r="N41" s="126">
        <v>171.4</v>
      </c>
      <c r="O41" s="126">
        <f>SUM(C41:N41)/12</f>
        <v>175.7583333333333</v>
      </c>
      <c r="P41" s="129"/>
      <c r="Q41" s="168">
        <f>((+M41/M40)-1)*100</f>
        <v>0.46242774566473965</v>
      </c>
    </row>
    <row r="42" spans="1:17" ht="10.5" customHeight="1">
      <c r="A42" s="123"/>
      <c r="B42" s="128">
        <v>2005</v>
      </c>
      <c r="C42" s="126">
        <v>177</v>
      </c>
      <c r="D42" s="126">
        <v>176.3</v>
      </c>
      <c r="E42" s="126">
        <v>174.7</v>
      </c>
      <c r="F42" s="126">
        <v>177.2</v>
      </c>
      <c r="G42" s="126">
        <v>178.6</v>
      </c>
      <c r="H42" s="126">
        <v>176.5</v>
      </c>
      <c r="I42" s="126">
        <v>180.2</v>
      </c>
      <c r="J42" s="126">
        <v>177.7</v>
      </c>
      <c r="K42" s="126">
        <v>181.5</v>
      </c>
      <c r="L42" s="126">
        <v>179.1</v>
      </c>
      <c r="M42" s="126">
        <v>176.8</v>
      </c>
      <c r="N42" s="126">
        <v>177.5</v>
      </c>
      <c r="O42" s="126">
        <f>SUM(C42:N42)/12</f>
        <v>177.75833333333335</v>
      </c>
      <c r="P42" s="129"/>
      <c r="Q42" s="168">
        <f>((+M42/M41)-1)*100</f>
        <v>1.7261219792865434</v>
      </c>
    </row>
    <row r="43" spans="1:17" s="497" customFormat="1" ht="10.5" customHeight="1">
      <c r="A43" s="496"/>
      <c r="B43" s="432">
        <v>2006</v>
      </c>
      <c r="C43" s="433">
        <v>179.4</v>
      </c>
      <c r="D43" s="433">
        <v>182.9</v>
      </c>
      <c r="E43" s="433">
        <v>179.7</v>
      </c>
      <c r="F43" s="433">
        <v>179.7</v>
      </c>
      <c r="G43" s="433">
        <v>178.1</v>
      </c>
      <c r="H43" s="433">
        <v>175.7</v>
      </c>
      <c r="I43" s="433">
        <v>178.8</v>
      </c>
      <c r="J43" s="433">
        <v>181.3</v>
      </c>
      <c r="K43" s="433">
        <v>179.6</v>
      </c>
      <c r="L43" s="433">
        <v>177.7</v>
      </c>
      <c r="M43" s="433">
        <v>178.1</v>
      </c>
      <c r="N43" s="433">
        <v>178.7</v>
      </c>
      <c r="O43" s="433">
        <f>SUM(C43:N43)/12</f>
        <v>179.14166666666665</v>
      </c>
      <c r="P43" s="434"/>
      <c r="Q43" s="168">
        <f>((+M43/M42)-1)*100</f>
        <v>0.7352941176470562</v>
      </c>
    </row>
    <row r="44" spans="1:17" ht="10.5" customHeight="1">
      <c r="A44" s="123"/>
      <c r="B44" s="353">
        <v>2007</v>
      </c>
      <c r="C44" s="354">
        <v>178.99</v>
      </c>
      <c r="D44" s="354">
        <v>182.084</v>
      </c>
      <c r="E44" s="354">
        <v>180.43</v>
      </c>
      <c r="F44" s="354">
        <v>178.197</v>
      </c>
      <c r="G44" s="354">
        <v>181.156</v>
      </c>
      <c r="H44" s="354">
        <v>178.629</v>
      </c>
      <c r="I44" s="354">
        <v>182.635</v>
      </c>
      <c r="J44" s="354">
        <v>182.493</v>
      </c>
      <c r="K44" s="354">
        <v>183.393</v>
      </c>
      <c r="L44" s="354">
        <v>181.129</v>
      </c>
      <c r="M44" s="354">
        <v>180.16</v>
      </c>
      <c r="N44" s="354">
        <v>179.76</v>
      </c>
      <c r="O44" s="354">
        <f>SUM(C44:N44)/12</f>
        <v>180.75466666666662</v>
      </c>
      <c r="P44" s="355"/>
      <c r="Q44" s="168">
        <f>((+M44/M43)-1)*100</f>
        <v>1.1566535654126797</v>
      </c>
    </row>
    <row r="45" spans="1:17" ht="10.5" customHeight="1">
      <c r="A45" s="123"/>
      <c r="B45" s="353">
        <v>2008</v>
      </c>
      <c r="C45" s="354">
        <v>184.1</v>
      </c>
      <c r="D45" s="354">
        <v>183.961</v>
      </c>
      <c r="E45" s="354">
        <v>184.006</v>
      </c>
      <c r="F45" s="354">
        <v>187.209</v>
      </c>
      <c r="G45" s="354">
        <v>190.36</v>
      </c>
      <c r="H45" s="354">
        <v>192.6</v>
      </c>
      <c r="I45" s="354">
        <v>193.1</v>
      </c>
      <c r="J45" s="354">
        <v>192.7</v>
      </c>
      <c r="K45" s="354">
        <v>193.595</v>
      </c>
      <c r="L45" s="354">
        <v>195.4</v>
      </c>
      <c r="M45" s="354">
        <v>195.025</v>
      </c>
      <c r="N45" s="354"/>
      <c r="O45" s="354"/>
      <c r="P45" s="355"/>
      <c r="Q45" s="168">
        <f>((+M45/M44)-1)*100</f>
        <v>8.250999111900548</v>
      </c>
    </row>
    <row r="46" spans="1:17" ht="3" customHeight="1">
      <c r="A46" s="123"/>
      <c r="B46" s="128"/>
      <c r="C46" s="126"/>
      <c r="D46" s="126"/>
      <c r="E46" s="126"/>
      <c r="F46" s="126"/>
      <c r="G46" s="126"/>
      <c r="H46" s="126"/>
      <c r="I46" s="126"/>
      <c r="J46" s="126"/>
      <c r="K46" s="126"/>
      <c r="L46" s="126"/>
      <c r="M46" s="126"/>
      <c r="N46" s="126"/>
      <c r="O46" s="126"/>
      <c r="P46" s="129"/>
      <c r="Q46" s="168"/>
    </row>
    <row r="47" spans="1:16" ht="10.5" customHeight="1">
      <c r="A47" s="123"/>
      <c r="C47" s="512" t="s">
        <v>419</v>
      </c>
      <c r="D47" s="124"/>
      <c r="E47" s="124"/>
      <c r="F47" s="124"/>
      <c r="G47" s="130"/>
      <c r="H47" s="125"/>
      <c r="I47" s="124"/>
      <c r="J47" s="124"/>
      <c r="K47" s="124"/>
      <c r="L47" s="124"/>
      <c r="M47" s="124"/>
      <c r="N47" s="124"/>
      <c r="O47" s="124"/>
      <c r="P47" s="129"/>
    </row>
    <row r="48" spans="1:16" ht="10.5" customHeight="1">
      <c r="A48" s="123"/>
      <c r="B48" s="123"/>
      <c r="C48" s="126"/>
      <c r="D48" s="126"/>
      <c r="E48" s="126"/>
      <c r="F48" s="126"/>
      <c r="G48" s="126"/>
      <c r="H48" s="126"/>
      <c r="I48" s="126"/>
      <c r="J48" s="126"/>
      <c r="K48" s="126"/>
      <c r="L48" s="126"/>
      <c r="M48" s="126"/>
      <c r="N48" s="126"/>
      <c r="O48" s="126"/>
      <c r="P48" s="129"/>
    </row>
    <row r="49" spans="1:17" ht="10.5" customHeight="1">
      <c r="A49" s="408" t="s">
        <v>140</v>
      </c>
      <c r="B49" s="128">
        <v>2003</v>
      </c>
      <c r="C49" s="126">
        <v>113</v>
      </c>
      <c r="D49" s="126">
        <v>113.7</v>
      </c>
      <c r="E49" s="126">
        <v>113.6</v>
      </c>
      <c r="F49" s="126">
        <v>112</v>
      </c>
      <c r="G49" s="126">
        <v>115.3</v>
      </c>
      <c r="H49" s="126">
        <v>115.5</v>
      </c>
      <c r="I49" s="126">
        <v>115.6</v>
      </c>
      <c r="J49" s="126">
        <v>116.1</v>
      </c>
      <c r="K49" s="126">
        <v>114.4</v>
      </c>
      <c r="L49" s="126">
        <v>114.6</v>
      </c>
      <c r="M49" s="126">
        <v>113</v>
      </c>
      <c r="N49" s="126">
        <v>112.4</v>
      </c>
      <c r="O49" s="126">
        <f>SUM(C49:N49)/12</f>
        <v>114.10000000000001</v>
      </c>
      <c r="P49" s="129"/>
      <c r="Q49" s="198" t="s">
        <v>151</v>
      </c>
    </row>
    <row r="50" spans="1:17" ht="10.5" customHeight="1">
      <c r="A50" s="408" t="s">
        <v>141</v>
      </c>
      <c r="B50" s="128">
        <v>2004</v>
      </c>
      <c r="C50" s="126">
        <v>115.1</v>
      </c>
      <c r="D50" s="126">
        <v>115.4</v>
      </c>
      <c r="E50" s="126">
        <v>115.4</v>
      </c>
      <c r="F50" s="126">
        <v>114.2</v>
      </c>
      <c r="G50" s="126">
        <v>115.9</v>
      </c>
      <c r="H50" s="126">
        <v>115.3</v>
      </c>
      <c r="I50" s="126">
        <v>116.6</v>
      </c>
      <c r="J50" s="126">
        <v>117.2</v>
      </c>
      <c r="K50" s="126">
        <v>115.6</v>
      </c>
      <c r="L50" s="126">
        <v>116.2</v>
      </c>
      <c r="M50" s="126">
        <v>115</v>
      </c>
      <c r="N50" s="126">
        <v>114.2</v>
      </c>
      <c r="O50" s="126">
        <f>SUM(C50:N50)/12</f>
        <v>115.50833333333334</v>
      </c>
      <c r="P50" s="129"/>
      <c r="Q50" s="168">
        <f>((+M50/M49)-1)*100</f>
        <v>1.7699115044247815</v>
      </c>
    </row>
    <row r="51" spans="1:17" ht="10.5" customHeight="1">
      <c r="A51" s="408" t="s">
        <v>266</v>
      </c>
      <c r="B51" s="128">
        <v>2005</v>
      </c>
      <c r="C51" s="126">
        <v>117.9</v>
      </c>
      <c r="D51" s="126">
        <v>117.1</v>
      </c>
      <c r="E51" s="126">
        <v>116.3</v>
      </c>
      <c r="F51" s="126">
        <v>118.8</v>
      </c>
      <c r="G51" s="126">
        <v>119.3</v>
      </c>
      <c r="H51" s="126">
        <v>119.7</v>
      </c>
      <c r="I51" s="126">
        <v>121.3</v>
      </c>
      <c r="J51" s="126">
        <v>120.6</v>
      </c>
      <c r="K51" s="126">
        <v>121.2</v>
      </c>
      <c r="L51" s="126">
        <v>120.6</v>
      </c>
      <c r="M51" s="126">
        <v>118.8</v>
      </c>
      <c r="N51" s="126">
        <v>120.3</v>
      </c>
      <c r="O51" s="126">
        <f>SUM(C51:N51)/12</f>
        <v>119.32499999999999</v>
      </c>
      <c r="P51" s="129"/>
      <c r="Q51" s="168">
        <f>((+M51/M50)-1)*100</f>
        <v>3.3043478260869508</v>
      </c>
    </row>
    <row r="52" spans="1:17" s="497" customFormat="1" ht="10.5" customHeight="1">
      <c r="A52" s="500"/>
      <c r="B52" s="432">
        <v>2006</v>
      </c>
      <c r="C52" s="433">
        <v>121.8</v>
      </c>
      <c r="D52" s="433">
        <v>122.5</v>
      </c>
      <c r="E52" s="433">
        <v>122.4</v>
      </c>
      <c r="F52" s="433">
        <v>121.3</v>
      </c>
      <c r="G52" s="433">
        <v>122.6</v>
      </c>
      <c r="H52" s="433">
        <v>122.8</v>
      </c>
      <c r="I52" s="433">
        <v>123.8</v>
      </c>
      <c r="J52" s="433">
        <v>124.1</v>
      </c>
      <c r="K52" s="433">
        <v>123.3</v>
      </c>
      <c r="L52" s="433">
        <v>122.8</v>
      </c>
      <c r="M52" s="433">
        <v>122.7</v>
      </c>
      <c r="N52" s="433">
        <v>123.5</v>
      </c>
      <c r="O52" s="433">
        <f>SUM(C52:N52)/12</f>
        <v>122.8</v>
      </c>
      <c r="P52" s="434"/>
      <c r="Q52" s="168">
        <f>((+M52/M51)-1)*100</f>
        <v>3.2828282828282873</v>
      </c>
    </row>
    <row r="53" spans="1:17" ht="10.5" customHeight="1">
      <c r="A53" s="127"/>
      <c r="B53" s="353">
        <v>2007</v>
      </c>
      <c r="C53" s="354">
        <v>124.85</v>
      </c>
      <c r="D53" s="354">
        <v>125.512</v>
      </c>
      <c r="E53" s="354">
        <v>125.418</v>
      </c>
      <c r="F53" s="354">
        <v>124.851</v>
      </c>
      <c r="G53" s="354">
        <v>126.179</v>
      </c>
      <c r="H53" s="354">
        <v>127.746</v>
      </c>
      <c r="I53" s="354">
        <v>128.974</v>
      </c>
      <c r="J53" s="354">
        <v>129.219</v>
      </c>
      <c r="K53" s="354">
        <v>129.637</v>
      </c>
      <c r="L53" s="354">
        <v>129.345</v>
      </c>
      <c r="M53" s="354">
        <v>126.672</v>
      </c>
      <c r="N53" s="354">
        <v>128.488</v>
      </c>
      <c r="O53" s="354">
        <f>SUM(C53:N53)/12</f>
        <v>127.24091666666668</v>
      </c>
      <c r="P53" s="355"/>
      <c r="Q53" s="168">
        <f>((+M53/M52)-1)*100</f>
        <v>3.2371638141809322</v>
      </c>
    </row>
    <row r="54" spans="1:17" ht="10.5" customHeight="1">
      <c r="A54" s="127"/>
      <c r="B54" s="353">
        <v>2008</v>
      </c>
      <c r="C54" s="354">
        <v>130.8</v>
      </c>
      <c r="D54" s="354">
        <v>132.949</v>
      </c>
      <c r="E54" s="354">
        <v>131.506</v>
      </c>
      <c r="F54" s="354">
        <v>134.731</v>
      </c>
      <c r="G54" s="354">
        <v>136.775</v>
      </c>
      <c r="H54" s="354">
        <v>138.7</v>
      </c>
      <c r="I54" s="354">
        <v>140.5</v>
      </c>
      <c r="J54" s="354">
        <v>142.8</v>
      </c>
      <c r="K54" s="354">
        <v>145.18</v>
      </c>
      <c r="L54" s="354">
        <v>146.6</v>
      </c>
      <c r="M54" s="354">
        <v>145.567</v>
      </c>
      <c r="N54" s="354"/>
      <c r="O54" s="354"/>
      <c r="P54" s="355"/>
      <c r="Q54" s="168">
        <f>((+M54/M53)-1)*100</f>
        <v>14.916477200959966</v>
      </c>
    </row>
    <row r="55" spans="1:16" ht="3" customHeight="1">
      <c r="A55" s="123"/>
      <c r="B55" s="128"/>
      <c r="C55" s="126"/>
      <c r="D55" s="126"/>
      <c r="E55" s="126"/>
      <c r="F55" s="126"/>
      <c r="G55" s="126"/>
      <c r="H55" s="126"/>
      <c r="I55" s="126"/>
      <c r="J55" s="126"/>
      <c r="K55" s="126"/>
      <c r="L55" s="126"/>
      <c r="M55" s="126"/>
      <c r="N55" s="126"/>
      <c r="O55" s="126"/>
      <c r="P55" s="129"/>
    </row>
    <row r="56" spans="1:17" ht="10.5" customHeight="1">
      <c r="A56" s="408" t="s">
        <v>142</v>
      </c>
      <c r="B56" s="128">
        <v>2003</v>
      </c>
      <c r="C56" s="131">
        <v>114.2</v>
      </c>
      <c r="D56" s="131">
        <v>115</v>
      </c>
      <c r="E56" s="131">
        <v>115.9</v>
      </c>
      <c r="F56" s="131">
        <v>114.8</v>
      </c>
      <c r="G56" s="131">
        <v>118.2</v>
      </c>
      <c r="H56" s="131">
        <v>116.7</v>
      </c>
      <c r="I56" s="131">
        <v>117.9</v>
      </c>
      <c r="J56" s="131">
        <v>118.6</v>
      </c>
      <c r="K56" s="131">
        <v>115.8</v>
      </c>
      <c r="L56" s="131">
        <v>115.3</v>
      </c>
      <c r="M56" s="131">
        <v>114.9</v>
      </c>
      <c r="N56" s="131">
        <v>112.2</v>
      </c>
      <c r="O56" s="126">
        <f>SUM(C56:N56)/12</f>
        <v>115.79166666666669</v>
      </c>
      <c r="P56" s="129"/>
      <c r="Q56" s="198" t="s">
        <v>151</v>
      </c>
    </row>
    <row r="57" spans="1:17" ht="10.5" customHeight="1">
      <c r="A57" s="408" t="s">
        <v>266</v>
      </c>
      <c r="B57" s="128">
        <v>2004</v>
      </c>
      <c r="C57" s="131">
        <v>116.1</v>
      </c>
      <c r="D57" s="131">
        <v>116</v>
      </c>
      <c r="E57" s="131">
        <v>115.7</v>
      </c>
      <c r="F57" s="131">
        <v>115.8</v>
      </c>
      <c r="G57" s="131">
        <v>118</v>
      </c>
      <c r="H57" s="131">
        <v>116.9</v>
      </c>
      <c r="I57" s="131">
        <v>118.3</v>
      </c>
      <c r="J57" s="131">
        <v>119.7</v>
      </c>
      <c r="K57" s="131">
        <v>117</v>
      </c>
      <c r="L57" s="131">
        <v>117.7</v>
      </c>
      <c r="M57" s="131">
        <v>115.9</v>
      </c>
      <c r="N57" s="131">
        <v>116.5</v>
      </c>
      <c r="O57" s="126">
        <f>SUM(C57:N57)/12</f>
        <v>116.96666666666668</v>
      </c>
      <c r="P57" s="129"/>
      <c r="Q57" s="168">
        <f>((+M57/M56)-1)*100</f>
        <v>0.870322019147074</v>
      </c>
    </row>
    <row r="58" spans="1:17" ht="10.5" customHeight="1">
      <c r="A58" s="132"/>
      <c r="B58" s="128">
        <v>2005</v>
      </c>
      <c r="C58" s="131">
        <v>119.3</v>
      </c>
      <c r="D58" s="131">
        <v>117.5</v>
      </c>
      <c r="E58" s="131">
        <v>117.9</v>
      </c>
      <c r="F58" s="131">
        <v>120.5</v>
      </c>
      <c r="G58" s="131">
        <v>121</v>
      </c>
      <c r="H58" s="131">
        <v>121</v>
      </c>
      <c r="I58" s="131">
        <v>125.6</v>
      </c>
      <c r="J58" s="131">
        <v>125.5</v>
      </c>
      <c r="K58" s="131">
        <v>124.8</v>
      </c>
      <c r="L58" s="131">
        <v>126</v>
      </c>
      <c r="M58" s="131">
        <v>121.9</v>
      </c>
      <c r="N58" s="131">
        <v>124.4</v>
      </c>
      <c r="O58" s="126">
        <f>SUM(C58:N58)/12</f>
        <v>122.11666666666669</v>
      </c>
      <c r="P58" s="129"/>
      <c r="Q58" s="168">
        <f>((+M58/M57)-1)*100</f>
        <v>5.176876617773951</v>
      </c>
    </row>
    <row r="59" spans="1:17" s="497" customFormat="1" ht="10.5" customHeight="1">
      <c r="A59" s="498"/>
      <c r="B59" s="432">
        <v>2006</v>
      </c>
      <c r="C59" s="499">
        <v>124.8</v>
      </c>
      <c r="D59" s="499">
        <v>125</v>
      </c>
      <c r="E59" s="499">
        <v>126.6</v>
      </c>
      <c r="F59" s="499">
        <v>124.1</v>
      </c>
      <c r="G59" s="499">
        <v>126</v>
      </c>
      <c r="H59" s="499">
        <v>126.5</v>
      </c>
      <c r="I59" s="499">
        <v>128.1</v>
      </c>
      <c r="J59" s="499">
        <v>127.9</v>
      </c>
      <c r="K59" s="499">
        <v>125.3</v>
      </c>
      <c r="L59" s="499">
        <v>124.7</v>
      </c>
      <c r="M59" s="499">
        <v>125.5</v>
      </c>
      <c r="N59" s="499">
        <v>125.9</v>
      </c>
      <c r="O59" s="433">
        <f>SUM(C59:N59)/12</f>
        <v>125.86666666666667</v>
      </c>
      <c r="P59" s="434"/>
      <c r="Q59" s="168">
        <f>((+M59/M58)-1)*100</f>
        <v>2.9532403609515923</v>
      </c>
    </row>
    <row r="60" spans="1:17" ht="10.5" customHeight="1">
      <c r="A60" s="132"/>
      <c r="B60" s="353">
        <v>2007</v>
      </c>
      <c r="C60" s="354">
        <v>127.08</v>
      </c>
      <c r="D60" s="356">
        <v>127.004</v>
      </c>
      <c r="E60" s="356">
        <v>127.604</v>
      </c>
      <c r="F60" s="356">
        <v>126.234</v>
      </c>
      <c r="G60" s="356">
        <v>126.659</v>
      </c>
      <c r="H60" s="356">
        <v>130.495</v>
      </c>
      <c r="I60" s="356">
        <v>131.213</v>
      </c>
      <c r="J60" s="356">
        <v>131.714</v>
      </c>
      <c r="K60" s="356">
        <v>133.236</v>
      </c>
      <c r="L60" s="356">
        <v>132.846</v>
      </c>
      <c r="M60" s="356">
        <v>128.398</v>
      </c>
      <c r="N60" s="356">
        <v>131.871</v>
      </c>
      <c r="O60" s="354">
        <f>SUM(C60:N60)/12</f>
        <v>129.5295</v>
      </c>
      <c r="P60" s="355"/>
      <c r="Q60" s="168">
        <f>((+M60/M59)-1)*100</f>
        <v>2.309163346613552</v>
      </c>
    </row>
    <row r="61" spans="1:17" ht="10.5" customHeight="1">
      <c r="A61" s="132"/>
      <c r="B61" s="353">
        <v>2008</v>
      </c>
      <c r="C61" s="354">
        <v>133.1</v>
      </c>
      <c r="D61" s="356">
        <v>136.914</v>
      </c>
      <c r="E61" s="356">
        <v>134.901</v>
      </c>
      <c r="F61" s="356">
        <v>141.158</v>
      </c>
      <c r="G61" s="356">
        <v>142.056</v>
      </c>
      <c r="H61" s="356">
        <v>144.5</v>
      </c>
      <c r="I61" s="356">
        <v>148.1</v>
      </c>
      <c r="J61" s="356">
        <v>153.7</v>
      </c>
      <c r="K61" s="356">
        <v>157.294</v>
      </c>
      <c r="L61" s="356">
        <v>159.2</v>
      </c>
      <c r="M61" s="356">
        <v>156.24</v>
      </c>
      <c r="N61" s="356"/>
      <c r="O61" s="354"/>
      <c r="P61" s="355"/>
      <c r="Q61" s="168">
        <f>((+M61/M60)-1)*100</f>
        <v>21.68413838221781</v>
      </c>
    </row>
    <row r="62" spans="1:17" ht="3" customHeight="1">
      <c r="A62" s="132"/>
      <c r="B62" s="128"/>
      <c r="C62" s="126"/>
      <c r="D62" s="357"/>
      <c r="E62" s="357"/>
      <c r="F62" s="357"/>
      <c r="G62" s="357"/>
      <c r="H62" s="357"/>
      <c r="I62" s="357"/>
      <c r="J62" s="357"/>
      <c r="K62" s="357"/>
      <c r="L62" s="357"/>
      <c r="M62" s="357"/>
      <c r="N62" s="357"/>
      <c r="O62" s="357"/>
      <c r="P62" s="355"/>
      <c r="Q62" s="168"/>
    </row>
    <row r="63" spans="1:17" ht="10.5" customHeight="1">
      <c r="A63" s="408" t="s">
        <v>143</v>
      </c>
      <c r="B63" s="128">
        <v>2003</v>
      </c>
      <c r="C63" s="126">
        <v>109.8</v>
      </c>
      <c r="D63" s="126">
        <v>109.1</v>
      </c>
      <c r="E63" s="126">
        <v>108.9</v>
      </c>
      <c r="F63" s="126">
        <v>109.6</v>
      </c>
      <c r="G63" s="126">
        <v>108.3</v>
      </c>
      <c r="H63" s="126">
        <v>109.1</v>
      </c>
      <c r="I63" s="126">
        <v>109.3</v>
      </c>
      <c r="J63" s="126">
        <v>108.9</v>
      </c>
      <c r="K63" s="126">
        <v>109.3</v>
      </c>
      <c r="L63" s="126">
        <v>109.4</v>
      </c>
      <c r="M63" s="126">
        <v>109.2</v>
      </c>
      <c r="N63" s="126">
        <v>108.9</v>
      </c>
      <c r="O63" s="126">
        <f>SUM(C63:N63)/12</f>
        <v>109.14999999999999</v>
      </c>
      <c r="P63" s="129"/>
      <c r="Q63" s="198" t="s">
        <v>151</v>
      </c>
    </row>
    <row r="64" spans="1:17" ht="10.5" customHeight="1">
      <c r="A64" s="408" t="s">
        <v>265</v>
      </c>
      <c r="B64" s="128">
        <v>2004</v>
      </c>
      <c r="C64" s="126">
        <v>108.6</v>
      </c>
      <c r="D64" s="126">
        <v>109.9</v>
      </c>
      <c r="E64" s="126">
        <v>110.6</v>
      </c>
      <c r="F64" s="126">
        <v>110</v>
      </c>
      <c r="G64" s="126">
        <v>109.4</v>
      </c>
      <c r="H64" s="126">
        <v>110.2</v>
      </c>
      <c r="I64" s="126">
        <v>110.1</v>
      </c>
      <c r="J64" s="126">
        <v>110.7</v>
      </c>
      <c r="K64" s="126">
        <v>108.3</v>
      </c>
      <c r="L64" s="126">
        <v>111.2</v>
      </c>
      <c r="M64" s="126">
        <v>111.9</v>
      </c>
      <c r="N64" s="126">
        <v>113.8</v>
      </c>
      <c r="O64" s="126">
        <f>SUM(C64:N64)/12</f>
        <v>110.39166666666667</v>
      </c>
      <c r="P64" s="129"/>
      <c r="Q64" s="168">
        <f>((+M64/M63)-1)*100</f>
        <v>2.472527472527486</v>
      </c>
    </row>
    <row r="65" spans="1:17" ht="10.5" customHeight="1">
      <c r="A65" s="123"/>
      <c r="B65" s="128">
        <v>2005</v>
      </c>
      <c r="C65" s="126">
        <v>115.2</v>
      </c>
      <c r="D65" s="126">
        <v>116</v>
      </c>
      <c r="E65" s="126">
        <v>116.4</v>
      </c>
      <c r="F65" s="126">
        <v>118.4</v>
      </c>
      <c r="G65" s="126">
        <v>117.5</v>
      </c>
      <c r="H65" s="126">
        <v>118.3</v>
      </c>
      <c r="I65" s="126">
        <v>118.3</v>
      </c>
      <c r="J65" s="126">
        <v>118.1</v>
      </c>
      <c r="K65" s="126">
        <v>118.3</v>
      </c>
      <c r="L65" s="126">
        <v>118.7</v>
      </c>
      <c r="M65" s="126">
        <v>118.9</v>
      </c>
      <c r="N65" s="126">
        <v>116.6</v>
      </c>
      <c r="O65" s="126">
        <f>SUM(C65:N65)/12</f>
        <v>117.55833333333334</v>
      </c>
      <c r="P65" s="129"/>
      <c r="Q65" s="168">
        <f>((+M65/M64)-1)*100</f>
        <v>6.255585344057191</v>
      </c>
    </row>
    <row r="66" spans="1:17" s="497" customFormat="1" ht="10.5" customHeight="1">
      <c r="A66" s="496"/>
      <c r="B66" s="432">
        <v>2006</v>
      </c>
      <c r="C66" s="433">
        <v>117.2</v>
      </c>
      <c r="D66" s="433">
        <v>117.3</v>
      </c>
      <c r="E66" s="433">
        <v>117.1</v>
      </c>
      <c r="F66" s="433">
        <v>119.4</v>
      </c>
      <c r="G66" s="433">
        <v>118.7</v>
      </c>
      <c r="H66" s="433">
        <v>119.3</v>
      </c>
      <c r="I66" s="433">
        <v>120.7</v>
      </c>
      <c r="J66" s="433">
        <v>121.3</v>
      </c>
      <c r="K66" s="433">
        <v>120.8</v>
      </c>
      <c r="L66" s="433">
        <v>120.5</v>
      </c>
      <c r="M66" s="433">
        <v>121</v>
      </c>
      <c r="N66" s="433">
        <v>123.6</v>
      </c>
      <c r="O66" s="433">
        <f>SUM(C66:N66)/12</f>
        <v>119.74166666666666</v>
      </c>
      <c r="P66" s="434"/>
      <c r="Q66" s="168">
        <f>((+M66/M65)-1)*100</f>
        <v>1.766190075693852</v>
      </c>
    </row>
    <row r="67" spans="1:17" ht="10.5" customHeight="1">
      <c r="A67" s="123"/>
      <c r="B67" s="353">
        <v>2007</v>
      </c>
      <c r="C67" s="354">
        <v>126.12</v>
      </c>
      <c r="D67" s="354">
        <v>124.531</v>
      </c>
      <c r="E67" s="354">
        <v>126.769</v>
      </c>
      <c r="F67" s="354">
        <v>129.281</v>
      </c>
      <c r="G67" s="354">
        <v>131.635</v>
      </c>
      <c r="H67" s="354">
        <v>133.013</v>
      </c>
      <c r="I67" s="354">
        <v>134.569</v>
      </c>
      <c r="J67" s="354">
        <v>135.312</v>
      </c>
      <c r="K67" s="354">
        <v>136.252</v>
      </c>
      <c r="L67" s="354">
        <v>136.335</v>
      </c>
      <c r="M67" s="354">
        <v>136.943</v>
      </c>
      <c r="N67" s="354">
        <v>139.039</v>
      </c>
      <c r="O67" s="354">
        <f>SUM(C67:N67)/12</f>
        <v>132.48325</v>
      </c>
      <c r="P67" s="355"/>
      <c r="Q67" s="168">
        <f>((+M67/M66)-1)*100</f>
        <v>13.176033057851244</v>
      </c>
    </row>
    <row r="68" spans="1:17" ht="10.5" customHeight="1">
      <c r="A68" s="123"/>
      <c r="B68" s="353">
        <v>2008</v>
      </c>
      <c r="C68" s="354">
        <v>141.3</v>
      </c>
      <c r="D68" s="354">
        <v>145.457</v>
      </c>
      <c r="E68" s="354">
        <v>141.118</v>
      </c>
      <c r="F68" s="354">
        <v>147.193</v>
      </c>
      <c r="G68" s="354">
        <v>151.788</v>
      </c>
      <c r="H68" s="354">
        <v>160</v>
      </c>
      <c r="I68" s="354">
        <v>162.6</v>
      </c>
      <c r="J68" s="354">
        <v>165</v>
      </c>
      <c r="K68" s="354">
        <v>167.994</v>
      </c>
      <c r="L68" s="354">
        <v>172.2</v>
      </c>
      <c r="M68" s="354">
        <v>176.985</v>
      </c>
      <c r="N68" s="354"/>
      <c r="O68" s="354"/>
      <c r="P68" s="355"/>
      <c r="Q68" s="168">
        <f>((+M68/M67)-1)*100</f>
        <v>29.239902733253984</v>
      </c>
    </row>
    <row r="69" spans="1:17" ht="12">
      <c r="A69" s="158" t="s">
        <v>267</v>
      </c>
      <c r="B69" s="159"/>
      <c r="C69" s="160"/>
      <c r="D69" s="160"/>
      <c r="E69" s="160"/>
      <c r="F69" s="160"/>
      <c r="G69" s="160"/>
      <c r="H69" s="160"/>
      <c r="I69" s="160"/>
      <c r="J69" s="160"/>
      <c r="K69" s="160"/>
      <c r="L69" s="160"/>
      <c r="M69" s="160"/>
      <c r="N69" s="160"/>
      <c r="O69" s="160"/>
      <c r="P69" s="161"/>
      <c r="Q69" s="161"/>
    </row>
    <row r="70" spans="1:16" ht="12.75" customHeight="1">
      <c r="A70" s="426" t="s">
        <v>368</v>
      </c>
      <c r="B70" s="133"/>
      <c r="C70" s="134"/>
      <c r="D70" s="134"/>
      <c r="E70" s="134"/>
      <c r="F70" s="134"/>
      <c r="G70" s="134"/>
      <c r="H70" s="134"/>
      <c r="I70" s="134"/>
      <c r="J70" s="134"/>
      <c r="K70" s="134"/>
      <c r="L70" s="134"/>
      <c r="M70" s="134"/>
      <c r="N70" s="134"/>
      <c r="O70" s="134"/>
      <c r="P70" s="121"/>
    </row>
    <row r="71" spans="1:16" ht="12">
      <c r="A71" s="121"/>
      <c r="B71" s="121"/>
      <c r="C71" s="135"/>
      <c r="D71" s="135"/>
      <c r="E71" s="135"/>
      <c r="F71" s="135"/>
      <c r="G71" s="135"/>
      <c r="H71" s="135"/>
      <c r="I71" s="135"/>
      <c r="J71" s="135"/>
      <c r="K71" s="135"/>
      <c r="L71" s="135"/>
      <c r="M71" s="135"/>
      <c r="N71" s="135"/>
      <c r="O71" s="135"/>
      <c r="P71" s="121"/>
    </row>
  </sheetData>
  <printOptions horizontalCentered="1"/>
  <pageMargins left="0.167" right="0.167" top="0.43" bottom="0.75" header="0" footer="0.28"/>
  <pageSetup fitToHeight="1" fitToWidth="1" horizontalDpi="600" verticalDpi="600" orientation="portrait" r:id="rId1"/>
  <headerFooter alignWithMargins="0">
    <oddFooter>&amp;C&amp;"Arial,Italic"&amp;9Vegetables and Melons Outlook&amp;"Arial,Regular"/VGS-330/December 16, 2008
Economic Research Service, USDA</oddFooter>
  </headerFooter>
</worksheet>
</file>

<file path=xl/worksheets/sheet13.xml><?xml version="1.0" encoding="utf-8"?>
<worksheet xmlns="http://schemas.openxmlformats.org/spreadsheetml/2006/main" xmlns:r="http://schemas.openxmlformats.org/officeDocument/2006/relationships">
  <sheetPr transitionEvaluation="1" transitionEntry="1">
    <tabColor indexed="13"/>
    <pageSetUpPr fitToPage="1"/>
  </sheetPr>
  <dimension ref="A1:Q67"/>
  <sheetViews>
    <sheetView showGridLines="0" workbookViewId="0" topLeftCell="A1">
      <pane xSplit="2" ySplit="5" topLeftCell="C6" activePane="bottomRight" state="frozen"/>
      <selection pane="topLeft" activeCell="A1" sqref="A1"/>
      <selection pane="topRight" activeCell="A1" sqref="A1"/>
      <selection pane="bottomLeft" activeCell="A1" sqref="A1"/>
      <selection pane="bottomRight" activeCell="C5" sqref="C5"/>
    </sheetView>
  </sheetViews>
  <sheetFormatPr defaultColWidth="9.7109375" defaultRowHeight="12.75"/>
  <cols>
    <col min="1" max="1" width="10.140625" style="138" customWidth="1"/>
    <col min="2" max="2" width="5.00390625" style="138" customWidth="1"/>
    <col min="3" max="14" width="6.00390625" style="138" customWidth="1"/>
    <col min="15" max="15" width="6.140625" style="138" customWidth="1"/>
    <col min="16" max="16" width="1.1484375" style="138" customWidth="1"/>
    <col min="17" max="17" width="8.57421875" style="138" customWidth="1"/>
    <col min="18" max="16384" width="9.7109375" style="138" customWidth="1"/>
  </cols>
  <sheetData>
    <row r="1" spans="1:17" ht="15.75" customHeight="1">
      <c r="A1" s="188" t="s">
        <v>422</v>
      </c>
      <c r="B1" s="136"/>
      <c r="C1" s="137"/>
      <c r="D1" s="137"/>
      <c r="E1" s="137"/>
      <c r="F1" s="137"/>
      <c r="G1" s="137"/>
      <c r="H1" s="137"/>
      <c r="I1" s="137"/>
      <c r="J1" s="137"/>
      <c r="K1" s="137"/>
      <c r="L1" s="137"/>
      <c r="M1" s="137"/>
      <c r="N1" s="137"/>
      <c r="O1" s="136"/>
      <c r="Q1" s="136"/>
    </row>
    <row r="2" spans="1:17" ht="12" customHeight="1">
      <c r="A2" s="358"/>
      <c r="B2" s="359"/>
      <c r="C2" s="360"/>
      <c r="D2" s="360"/>
      <c r="E2" s="360"/>
      <c r="F2" s="360"/>
      <c r="G2" s="360"/>
      <c r="H2" s="360"/>
      <c r="I2" s="360"/>
      <c r="J2" s="360"/>
      <c r="K2" s="360"/>
      <c r="L2" s="360"/>
      <c r="M2" s="360"/>
      <c r="N2" s="360"/>
      <c r="O2" s="359"/>
      <c r="P2" s="361"/>
      <c r="Q2" s="362" t="s">
        <v>29</v>
      </c>
    </row>
    <row r="3" spans="1:17" ht="10.5" customHeight="1">
      <c r="A3" s="363" t="s">
        <v>144</v>
      </c>
      <c r="B3" s="364" t="s">
        <v>119</v>
      </c>
      <c r="C3" s="341" t="s">
        <v>97</v>
      </c>
      <c r="D3" s="341" t="s">
        <v>98</v>
      </c>
      <c r="E3" s="341" t="s">
        <v>99</v>
      </c>
      <c r="F3" s="341" t="s">
        <v>100</v>
      </c>
      <c r="G3" s="341" t="s">
        <v>101</v>
      </c>
      <c r="H3" s="341" t="s">
        <v>102</v>
      </c>
      <c r="I3" s="341" t="s">
        <v>103</v>
      </c>
      <c r="J3" s="341" t="s">
        <v>104</v>
      </c>
      <c r="K3" s="341" t="s">
        <v>105</v>
      </c>
      <c r="L3" s="341" t="s">
        <v>106</v>
      </c>
      <c r="M3" s="341" t="s">
        <v>107</v>
      </c>
      <c r="N3" s="341" t="s">
        <v>108</v>
      </c>
      <c r="O3" s="344" t="s">
        <v>22</v>
      </c>
      <c r="P3" s="361"/>
      <c r="Q3" s="328" t="s">
        <v>573</v>
      </c>
    </row>
    <row r="4" spans="1:17" ht="12" customHeight="1">
      <c r="A4" s="139"/>
      <c r="B4" s="139"/>
      <c r="C4" s="195" t="s">
        <v>421</v>
      </c>
      <c r="D4" s="140"/>
      <c r="E4" s="140"/>
      <c r="F4" s="140"/>
      <c r="G4" s="140"/>
      <c r="H4" s="141"/>
      <c r="I4" s="140"/>
      <c r="J4" s="140"/>
      <c r="K4" s="140"/>
      <c r="L4" s="140"/>
      <c r="M4" s="140"/>
      <c r="N4" s="140"/>
      <c r="O4" s="142"/>
      <c r="Q4" s="196" t="s">
        <v>30</v>
      </c>
    </row>
    <row r="5" spans="1:15" ht="6" customHeight="1">
      <c r="A5" s="139"/>
      <c r="B5" s="139"/>
      <c r="C5" s="143"/>
      <c r="D5" s="143"/>
      <c r="E5" s="143"/>
      <c r="F5" s="143"/>
      <c r="G5" s="143"/>
      <c r="H5" s="143"/>
      <c r="I5" s="143"/>
      <c r="J5" s="143"/>
      <c r="K5" s="143"/>
      <c r="L5" s="143"/>
      <c r="M5" s="143"/>
      <c r="N5" s="143"/>
      <c r="O5" s="139"/>
    </row>
    <row r="6" spans="1:17" ht="9.75" customHeight="1">
      <c r="A6" s="409" t="s">
        <v>131</v>
      </c>
      <c r="B6" s="144">
        <v>2000</v>
      </c>
      <c r="C6" s="145">
        <v>39.2</v>
      </c>
      <c r="D6" s="145">
        <v>40.1</v>
      </c>
      <c r="E6" s="145">
        <v>39.3</v>
      </c>
      <c r="F6" s="145">
        <v>38.8</v>
      </c>
      <c r="G6" s="145">
        <v>37.9</v>
      </c>
      <c r="H6" s="145">
        <v>37.6</v>
      </c>
      <c r="I6" s="145">
        <v>39</v>
      </c>
      <c r="J6" s="145">
        <v>40</v>
      </c>
      <c r="K6" s="145">
        <v>37.4</v>
      </c>
      <c r="L6" s="145">
        <v>36.7</v>
      </c>
      <c r="M6" s="145">
        <v>35.1</v>
      </c>
      <c r="N6" s="145">
        <v>34.7</v>
      </c>
      <c r="O6" s="145">
        <f aca="true" t="shared" si="0" ref="O6:O13">AVERAGEA(C6:N6)</f>
        <v>37.98333333333333</v>
      </c>
      <c r="Q6" s="535" t="s">
        <v>352</v>
      </c>
    </row>
    <row r="7" spans="1:17" ht="9.75" customHeight="1">
      <c r="A7" s="411" t="s">
        <v>145</v>
      </c>
      <c r="B7" s="144">
        <v>2001</v>
      </c>
      <c r="C7" s="145">
        <v>35.5</v>
      </c>
      <c r="D7" s="145">
        <v>34.8</v>
      </c>
      <c r="E7" s="145">
        <v>35.6</v>
      </c>
      <c r="F7" s="145">
        <v>36.2</v>
      </c>
      <c r="G7" s="145">
        <v>36.3</v>
      </c>
      <c r="H7" s="145">
        <v>38.8</v>
      </c>
      <c r="I7" s="145">
        <v>40.9</v>
      </c>
      <c r="J7" s="145">
        <v>43.9</v>
      </c>
      <c r="K7" s="145">
        <v>42.2</v>
      </c>
      <c r="L7" s="145">
        <v>41.8</v>
      </c>
      <c r="M7" s="145">
        <v>41</v>
      </c>
      <c r="N7" s="145">
        <v>41</v>
      </c>
      <c r="O7" s="145">
        <f t="shared" si="0"/>
        <v>39</v>
      </c>
      <c r="Q7" s="149">
        <f aca="true" t="shared" si="1" ref="Q7:Q14">+((M7/M6)-1)*100</f>
        <v>16.80911680911681</v>
      </c>
    </row>
    <row r="8" spans="1:17" ht="9.75" customHeight="1">
      <c r="A8" s="139"/>
      <c r="B8" s="144">
        <v>2002</v>
      </c>
      <c r="C8" s="145">
        <v>42.6</v>
      </c>
      <c r="D8" s="145">
        <v>44.7</v>
      </c>
      <c r="E8" s="145">
        <v>46.5</v>
      </c>
      <c r="F8" s="145">
        <v>49.3</v>
      </c>
      <c r="G8" s="145">
        <v>50.8</v>
      </c>
      <c r="H8" s="145">
        <v>51.7</v>
      </c>
      <c r="I8" s="145">
        <v>54.9</v>
      </c>
      <c r="J8" s="145">
        <v>55.9</v>
      </c>
      <c r="K8" s="145">
        <v>51.1</v>
      </c>
      <c r="L8" s="145">
        <v>49.2</v>
      </c>
      <c r="M8" s="145">
        <v>47.3</v>
      </c>
      <c r="N8" s="145">
        <v>47.9</v>
      </c>
      <c r="O8" s="145">
        <f t="shared" si="0"/>
        <v>49.324999999999996</v>
      </c>
      <c r="Q8" s="149">
        <f t="shared" si="1"/>
        <v>15.365853658536576</v>
      </c>
    </row>
    <row r="9" spans="1:17" ht="9.75" customHeight="1">
      <c r="A9" s="139"/>
      <c r="B9" s="144">
        <v>2003</v>
      </c>
      <c r="C9" s="145">
        <v>48.3</v>
      </c>
      <c r="D9" s="145">
        <v>47.2</v>
      </c>
      <c r="E9" s="145">
        <v>46.3</v>
      </c>
      <c r="F9" s="145">
        <v>46.6</v>
      </c>
      <c r="G9" s="145">
        <v>46.6</v>
      </c>
      <c r="H9" s="145">
        <v>46.2</v>
      </c>
      <c r="I9" s="145">
        <v>46.4</v>
      </c>
      <c r="J9" s="145">
        <v>46.4</v>
      </c>
      <c r="K9" s="145">
        <v>44.4</v>
      </c>
      <c r="L9" s="145">
        <v>44.1</v>
      </c>
      <c r="M9" s="145">
        <v>43.8</v>
      </c>
      <c r="N9" s="145">
        <v>43.9</v>
      </c>
      <c r="O9" s="145">
        <f t="shared" si="0"/>
        <v>45.849999999999994</v>
      </c>
      <c r="Q9" s="149">
        <f t="shared" si="1"/>
        <v>-7.3995771670190225</v>
      </c>
    </row>
    <row r="10" spans="1:17" ht="9.75" customHeight="1">
      <c r="A10" s="139"/>
      <c r="B10" s="144">
        <v>2004</v>
      </c>
      <c r="C10" s="145">
        <v>45.7</v>
      </c>
      <c r="D10" s="145">
        <v>44.6</v>
      </c>
      <c r="E10" s="145">
        <v>45.9</v>
      </c>
      <c r="F10" s="145">
        <v>46.1</v>
      </c>
      <c r="G10" s="145">
        <v>43.5</v>
      </c>
      <c r="H10" s="145">
        <v>46.2</v>
      </c>
      <c r="I10" s="145">
        <v>47.1</v>
      </c>
      <c r="J10" s="145">
        <v>46.4</v>
      </c>
      <c r="K10" s="145">
        <v>44.6</v>
      </c>
      <c r="L10" s="145">
        <v>45</v>
      </c>
      <c r="M10" s="145">
        <v>44.3</v>
      </c>
      <c r="N10" s="145">
        <v>44.9</v>
      </c>
      <c r="O10" s="145">
        <f t="shared" si="0"/>
        <v>45.35833333333334</v>
      </c>
      <c r="Q10" s="149">
        <f t="shared" si="1"/>
        <v>1.1415525114155223</v>
      </c>
    </row>
    <row r="11" spans="1:17" ht="9.75" customHeight="1">
      <c r="A11" s="139"/>
      <c r="B11" s="144">
        <v>2005</v>
      </c>
      <c r="C11" s="145">
        <v>45.8</v>
      </c>
      <c r="D11" s="145">
        <v>44.8</v>
      </c>
      <c r="E11" s="145">
        <v>44</v>
      </c>
      <c r="F11" s="145">
        <v>45</v>
      </c>
      <c r="G11" s="145">
        <v>45.2</v>
      </c>
      <c r="H11" s="145">
        <v>45.5</v>
      </c>
      <c r="I11" s="145">
        <v>47.7</v>
      </c>
      <c r="J11" s="145">
        <v>49.1</v>
      </c>
      <c r="K11" s="145">
        <v>48.2</v>
      </c>
      <c r="L11" s="145">
        <v>50.5</v>
      </c>
      <c r="M11" s="145">
        <v>49.9</v>
      </c>
      <c r="N11" s="145">
        <v>49.8</v>
      </c>
      <c r="O11" s="145">
        <f t="shared" si="0"/>
        <v>47.125</v>
      </c>
      <c r="Q11" s="149">
        <f t="shared" si="1"/>
        <v>12.641083521444706</v>
      </c>
    </row>
    <row r="12" spans="1:17" s="473" customFormat="1" ht="9.75" customHeight="1">
      <c r="A12" s="513"/>
      <c r="B12" s="470">
        <v>2006</v>
      </c>
      <c r="C12" s="472">
        <v>50.4</v>
      </c>
      <c r="D12" s="472">
        <v>51.7</v>
      </c>
      <c r="E12" s="472">
        <v>51.7</v>
      </c>
      <c r="F12" s="472">
        <v>52.2</v>
      </c>
      <c r="G12" s="472">
        <v>53.3</v>
      </c>
      <c r="H12" s="472">
        <v>54.1</v>
      </c>
      <c r="I12" s="472">
        <v>55.6</v>
      </c>
      <c r="J12" s="472">
        <v>57.2</v>
      </c>
      <c r="K12" s="472">
        <v>56.3</v>
      </c>
      <c r="L12" s="472">
        <v>54.5</v>
      </c>
      <c r="M12" s="472">
        <v>51.7</v>
      </c>
      <c r="N12" s="472">
        <v>51.7</v>
      </c>
      <c r="O12" s="472">
        <f t="shared" si="0"/>
        <v>53.366666666666674</v>
      </c>
      <c r="Q12" s="149">
        <f t="shared" si="1"/>
        <v>3.607214428857719</v>
      </c>
    </row>
    <row r="13" spans="1:17" ht="9.75" customHeight="1">
      <c r="A13" s="139"/>
      <c r="B13" s="365">
        <v>2007</v>
      </c>
      <c r="C13" s="366">
        <v>51.7</v>
      </c>
      <c r="D13" s="366">
        <v>51.4</v>
      </c>
      <c r="E13" s="366">
        <v>51.8</v>
      </c>
      <c r="F13" s="366">
        <v>52.9</v>
      </c>
      <c r="G13" s="366">
        <v>53</v>
      </c>
      <c r="H13" s="366">
        <v>53.8</v>
      </c>
      <c r="I13" s="366">
        <v>54.5</v>
      </c>
      <c r="J13" s="366">
        <v>52.2</v>
      </c>
      <c r="K13" s="366">
        <v>52</v>
      </c>
      <c r="L13" s="366">
        <v>51.7</v>
      </c>
      <c r="M13" s="366">
        <v>52.7</v>
      </c>
      <c r="N13" s="366">
        <v>52</v>
      </c>
      <c r="O13" s="366">
        <f t="shared" si="0"/>
        <v>52.475</v>
      </c>
      <c r="P13" s="367"/>
      <c r="Q13" s="149">
        <f t="shared" si="1"/>
        <v>1.934235976789167</v>
      </c>
    </row>
    <row r="14" spans="1:17" ht="9.75" customHeight="1">
      <c r="A14" s="139"/>
      <c r="B14" s="365">
        <v>2008</v>
      </c>
      <c r="C14" s="366">
        <v>52.5</v>
      </c>
      <c r="D14" s="366">
        <v>53.1</v>
      </c>
      <c r="E14" s="366">
        <v>54.2</v>
      </c>
      <c r="F14" s="366">
        <v>54.6</v>
      </c>
      <c r="G14" s="366">
        <v>56.2</v>
      </c>
      <c r="H14" s="366">
        <v>59.8</v>
      </c>
      <c r="I14" s="366">
        <v>67.2</v>
      </c>
      <c r="J14" s="366">
        <v>72.4</v>
      </c>
      <c r="K14" s="366">
        <v>76.3</v>
      </c>
      <c r="L14" s="366">
        <v>73</v>
      </c>
      <c r="M14" s="366">
        <v>69.9</v>
      </c>
      <c r="N14" s="366"/>
      <c r="O14" s="366"/>
      <c r="P14" s="367"/>
      <c r="Q14" s="149">
        <f t="shared" si="1"/>
        <v>32.63757115749526</v>
      </c>
    </row>
    <row r="15" spans="1:15" ht="8.25" customHeight="1">
      <c r="A15" s="139"/>
      <c r="B15" s="139"/>
      <c r="C15" s="145"/>
      <c r="D15" s="145"/>
      <c r="E15" s="145"/>
      <c r="F15" s="145"/>
      <c r="G15" s="145"/>
      <c r="H15" s="145"/>
      <c r="I15" s="145"/>
      <c r="J15" s="145"/>
      <c r="K15" s="145"/>
      <c r="L15" s="145"/>
      <c r="M15" s="145"/>
      <c r="N15" s="145"/>
      <c r="O15" s="145"/>
    </row>
    <row r="16" spans="1:17" ht="9.75" customHeight="1">
      <c r="A16" s="412" t="s">
        <v>146</v>
      </c>
      <c r="B16" s="139">
        <v>2000</v>
      </c>
      <c r="C16" s="145">
        <v>118.2</v>
      </c>
      <c r="D16" s="145">
        <v>98.9</v>
      </c>
      <c r="E16" s="145">
        <v>106.9</v>
      </c>
      <c r="F16" s="145">
        <v>101.3</v>
      </c>
      <c r="G16" s="145">
        <v>117.4</v>
      </c>
      <c r="H16" s="145">
        <v>123.6</v>
      </c>
      <c r="I16" s="145">
        <v>113.9</v>
      </c>
      <c r="J16" s="145">
        <v>112</v>
      </c>
      <c r="K16" s="145">
        <v>105.2</v>
      </c>
      <c r="L16" s="145">
        <v>108</v>
      </c>
      <c r="M16" s="145">
        <v>108.5</v>
      </c>
      <c r="N16" s="145">
        <v>151.8</v>
      </c>
      <c r="O16" s="145">
        <f aca="true" t="shared" si="2" ref="O16:O23">AVERAGEA(C16:N16)</f>
        <v>113.80833333333334</v>
      </c>
      <c r="Q16" s="535" t="s">
        <v>352</v>
      </c>
    </row>
    <row r="17" spans="1:17" ht="9.75" customHeight="1">
      <c r="A17" s="139"/>
      <c r="B17" s="139">
        <v>2001</v>
      </c>
      <c r="C17" s="145">
        <v>98.7</v>
      </c>
      <c r="D17" s="145">
        <v>97.8</v>
      </c>
      <c r="E17" s="145">
        <v>108.3</v>
      </c>
      <c r="F17" s="145">
        <v>95.4</v>
      </c>
      <c r="G17" s="145">
        <v>99.9</v>
      </c>
      <c r="H17" s="145">
        <v>100.5</v>
      </c>
      <c r="I17" s="145">
        <v>98.1</v>
      </c>
      <c r="J17" s="145">
        <v>97.8</v>
      </c>
      <c r="K17" s="145">
        <v>96.9</v>
      </c>
      <c r="L17" s="145">
        <v>101.1</v>
      </c>
      <c r="M17" s="145">
        <v>89.7</v>
      </c>
      <c r="N17" s="145">
        <v>97.3</v>
      </c>
      <c r="O17" s="145">
        <f t="shared" si="2"/>
        <v>98.45833333333333</v>
      </c>
      <c r="Q17" s="149">
        <f aca="true" t="shared" si="3" ref="Q17:Q24">+((M17/M16)-1)*100</f>
        <v>-17.327188940092164</v>
      </c>
    </row>
    <row r="18" spans="1:17" ht="9.75" customHeight="1">
      <c r="A18" s="139"/>
      <c r="B18" s="139">
        <v>2002</v>
      </c>
      <c r="C18" s="145">
        <v>137.4</v>
      </c>
      <c r="D18" s="145">
        <v>168.1</v>
      </c>
      <c r="E18" s="145">
        <v>114.7</v>
      </c>
      <c r="F18" s="145">
        <v>120.4</v>
      </c>
      <c r="G18" s="145">
        <v>103.6</v>
      </c>
      <c r="H18" s="145">
        <v>109.3</v>
      </c>
      <c r="I18" s="145">
        <v>111.9</v>
      </c>
      <c r="J18" s="145">
        <v>113.5</v>
      </c>
      <c r="K18" s="145">
        <v>124.7</v>
      </c>
      <c r="L18" s="145">
        <v>107.3</v>
      </c>
      <c r="M18" s="145">
        <v>116.5</v>
      </c>
      <c r="N18" s="145">
        <v>105.2</v>
      </c>
      <c r="O18" s="145">
        <f t="shared" si="2"/>
        <v>119.38333333333333</v>
      </c>
      <c r="Q18" s="149">
        <f t="shared" si="3"/>
        <v>29.87736900780378</v>
      </c>
    </row>
    <row r="19" spans="1:17" ht="9.75" customHeight="1">
      <c r="A19" s="139"/>
      <c r="B19" s="144">
        <v>2003</v>
      </c>
      <c r="C19" s="145">
        <v>112.2</v>
      </c>
      <c r="D19" s="145">
        <v>110.1</v>
      </c>
      <c r="E19" s="145">
        <v>119.9</v>
      </c>
      <c r="F19" s="145">
        <v>113.9</v>
      </c>
      <c r="G19" s="145">
        <v>115.1</v>
      </c>
      <c r="H19" s="145">
        <v>112.7</v>
      </c>
      <c r="I19" s="145">
        <v>113.3</v>
      </c>
      <c r="J19" s="145">
        <v>109.3</v>
      </c>
      <c r="K19" s="145">
        <v>130.3</v>
      </c>
      <c r="L19" s="145">
        <v>135.8</v>
      </c>
      <c r="M19" s="145">
        <v>131.2</v>
      </c>
      <c r="N19" s="145">
        <v>135.6</v>
      </c>
      <c r="O19" s="145">
        <f t="shared" si="2"/>
        <v>119.94999999999999</v>
      </c>
      <c r="Q19" s="149">
        <f t="shared" si="3"/>
        <v>12.61802575107296</v>
      </c>
    </row>
    <row r="20" spans="1:17" ht="9.75" customHeight="1">
      <c r="A20" s="139"/>
      <c r="B20" s="144">
        <v>2004</v>
      </c>
      <c r="C20" s="145">
        <v>131.9</v>
      </c>
      <c r="D20" s="145">
        <v>121.6</v>
      </c>
      <c r="E20" s="145">
        <v>112.5</v>
      </c>
      <c r="F20" s="145">
        <v>102.2</v>
      </c>
      <c r="G20" s="145">
        <v>110.7</v>
      </c>
      <c r="H20" s="145">
        <v>106</v>
      </c>
      <c r="I20" s="145">
        <v>106.9</v>
      </c>
      <c r="J20" s="145">
        <v>106.7</v>
      </c>
      <c r="K20" s="145">
        <v>120.8</v>
      </c>
      <c r="L20" s="145">
        <v>139.9</v>
      </c>
      <c r="M20" s="145">
        <v>133.5</v>
      </c>
      <c r="N20" s="145">
        <v>141.4</v>
      </c>
      <c r="O20" s="145">
        <f t="shared" si="2"/>
        <v>119.50833333333334</v>
      </c>
      <c r="Q20" s="149">
        <f t="shared" si="3"/>
        <v>1.7530487804878092</v>
      </c>
    </row>
    <row r="21" spans="1:17" ht="9.75" customHeight="1">
      <c r="A21" s="139"/>
      <c r="B21" s="144">
        <v>2005</v>
      </c>
      <c r="C21" s="145">
        <v>123.5</v>
      </c>
      <c r="D21" s="145">
        <v>134.6</v>
      </c>
      <c r="E21" s="145">
        <v>131.8</v>
      </c>
      <c r="F21" s="145">
        <v>148.9</v>
      </c>
      <c r="G21" s="145">
        <v>129.9</v>
      </c>
      <c r="H21" s="145">
        <v>130.7</v>
      </c>
      <c r="I21" s="145">
        <v>144.2</v>
      </c>
      <c r="J21" s="145">
        <v>132</v>
      </c>
      <c r="K21" s="145">
        <v>135.2</v>
      </c>
      <c r="L21" s="145">
        <v>119.6</v>
      </c>
      <c r="M21" s="145">
        <v>128.8</v>
      </c>
      <c r="N21" s="145">
        <v>122.9</v>
      </c>
      <c r="O21" s="145">
        <f t="shared" si="2"/>
        <v>131.84166666666667</v>
      </c>
      <c r="Q21" s="149">
        <f t="shared" si="3"/>
        <v>-3.520599250936318</v>
      </c>
    </row>
    <row r="22" spans="1:17" s="473" customFormat="1" ht="9.75" customHeight="1">
      <c r="A22" s="513"/>
      <c r="B22" s="470">
        <v>2006</v>
      </c>
      <c r="C22" s="472">
        <v>135.5</v>
      </c>
      <c r="D22" s="472">
        <v>149.3</v>
      </c>
      <c r="E22" s="472">
        <v>135.8</v>
      </c>
      <c r="F22" s="472">
        <v>136.7</v>
      </c>
      <c r="G22" s="472">
        <v>137.3</v>
      </c>
      <c r="H22" s="472">
        <v>143.2</v>
      </c>
      <c r="I22" s="472">
        <v>151.1</v>
      </c>
      <c r="J22" s="472">
        <v>152.1</v>
      </c>
      <c r="K22" s="472">
        <v>168.9</v>
      </c>
      <c r="L22" s="472">
        <v>140.9</v>
      </c>
      <c r="M22" s="472">
        <v>138.9</v>
      </c>
      <c r="N22" s="472">
        <v>146</v>
      </c>
      <c r="O22" s="472">
        <f t="shared" si="2"/>
        <v>144.64166666666668</v>
      </c>
      <c r="Q22" s="149">
        <f t="shared" si="3"/>
        <v>7.841614906832284</v>
      </c>
    </row>
    <row r="23" spans="1:17" ht="9.75" customHeight="1">
      <c r="A23" s="139"/>
      <c r="B23" s="365">
        <v>2007</v>
      </c>
      <c r="C23" s="366">
        <v>182.8</v>
      </c>
      <c r="D23" s="366">
        <v>172</v>
      </c>
      <c r="E23" s="366">
        <v>145.8</v>
      </c>
      <c r="F23" s="366">
        <v>154.1</v>
      </c>
      <c r="G23" s="366">
        <v>141.2</v>
      </c>
      <c r="H23" s="366">
        <v>137.3</v>
      </c>
      <c r="I23" s="366">
        <v>147.5</v>
      </c>
      <c r="J23" s="366">
        <v>154.2</v>
      </c>
      <c r="K23" s="366">
        <v>153.6</v>
      </c>
      <c r="L23" s="366">
        <v>174.9</v>
      </c>
      <c r="M23" s="366">
        <v>174.1</v>
      </c>
      <c r="N23" s="366">
        <v>165.5</v>
      </c>
      <c r="O23" s="366">
        <f t="shared" si="2"/>
        <v>158.58333333333334</v>
      </c>
      <c r="P23" s="367"/>
      <c r="Q23" s="149">
        <f t="shared" si="3"/>
        <v>25.341972642188626</v>
      </c>
    </row>
    <row r="24" spans="1:17" ht="9.75" customHeight="1">
      <c r="A24" s="139"/>
      <c r="B24" s="365">
        <v>2008</v>
      </c>
      <c r="C24" s="366">
        <v>173.3</v>
      </c>
      <c r="D24" s="366">
        <v>163.9</v>
      </c>
      <c r="E24" s="366">
        <v>157.4</v>
      </c>
      <c r="F24" s="366">
        <v>173.7</v>
      </c>
      <c r="G24" s="366">
        <v>165.2</v>
      </c>
      <c r="H24" s="366">
        <v>160</v>
      </c>
      <c r="I24" s="366">
        <v>167</v>
      </c>
      <c r="J24" s="366">
        <v>160.1</v>
      </c>
      <c r="K24" s="366">
        <v>158.3</v>
      </c>
      <c r="L24" s="366">
        <v>181.2</v>
      </c>
      <c r="M24" s="366">
        <v>179.1</v>
      </c>
      <c r="N24" s="366"/>
      <c r="O24" s="366"/>
      <c r="P24" s="367"/>
      <c r="Q24" s="149">
        <f t="shared" si="3"/>
        <v>2.8719126938541173</v>
      </c>
    </row>
    <row r="25" spans="1:15" ht="6" customHeight="1">
      <c r="A25" s="139"/>
      <c r="B25" s="139"/>
      <c r="C25" s="145"/>
      <c r="D25" s="145"/>
      <c r="E25" s="145"/>
      <c r="F25" s="145"/>
      <c r="G25" s="145"/>
      <c r="H25" s="145"/>
      <c r="I25" s="145"/>
      <c r="J25" s="145"/>
      <c r="K25" s="145"/>
      <c r="L25" s="145"/>
      <c r="M25" s="145"/>
      <c r="N25" s="145"/>
      <c r="O25" s="145"/>
    </row>
    <row r="26" spans="1:17" ht="9.75" customHeight="1">
      <c r="A26" s="409" t="s">
        <v>133</v>
      </c>
      <c r="B26" s="144">
        <v>2000</v>
      </c>
      <c r="C26" s="145">
        <v>74.8</v>
      </c>
      <c r="D26" s="145">
        <v>65</v>
      </c>
      <c r="E26" s="145">
        <v>67.1</v>
      </c>
      <c r="F26" s="145">
        <v>65</v>
      </c>
      <c r="G26" s="145">
        <v>80.3</v>
      </c>
      <c r="H26" s="145">
        <v>68.6</v>
      </c>
      <c r="I26" s="145">
        <v>65.6</v>
      </c>
      <c r="J26" s="145">
        <v>67.3</v>
      </c>
      <c r="K26" s="145">
        <v>89.7</v>
      </c>
      <c r="L26" s="145">
        <v>77.2</v>
      </c>
      <c r="M26" s="145">
        <v>77.4</v>
      </c>
      <c r="N26" s="145">
        <v>85.1</v>
      </c>
      <c r="O26" s="145">
        <f aca="true" t="shared" si="4" ref="O26:O33">AVERAGEA(C26:N26)</f>
        <v>73.59166666666667</v>
      </c>
      <c r="Q26" s="535" t="s">
        <v>352</v>
      </c>
    </row>
    <row r="27" spans="1:17" ht="9.75" customHeight="1">
      <c r="A27" s="411" t="s">
        <v>147</v>
      </c>
      <c r="B27" s="144">
        <v>2001</v>
      </c>
      <c r="C27" s="145">
        <v>73.6</v>
      </c>
      <c r="D27" s="145">
        <v>84.7</v>
      </c>
      <c r="E27" s="145">
        <v>89.5</v>
      </c>
      <c r="F27" s="145">
        <v>76.7</v>
      </c>
      <c r="G27" s="145">
        <v>87</v>
      </c>
      <c r="H27" s="145">
        <v>72.2</v>
      </c>
      <c r="I27" s="145">
        <v>66.3</v>
      </c>
      <c r="J27" s="145">
        <v>78.4</v>
      </c>
      <c r="K27" s="145">
        <v>89.7</v>
      </c>
      <c r="L27" s="145">
        <v>81.1</v>
      </c>
      <c r="M27" s="145">
        <v>73.4</v>
      </c>
      <c r="N27" s="145">
        <v>78.8</v>
      </c>
      <c r="O27" s="145">
        <f t="shared" si="4"/>
        <v>79.28333333333333</v>
      </c>
      <c r="Q27" s="149">
        <f aca="true" t="shared" si="5" ref="Q27:Q34">+((M27/M26)-1)*100</f>
        <v>-5.167958656330751</v>
      </c>
    </row>
    <row r="28" spans="1:17" ht="9.75" customHeight="1">
      <c r="A28" s="139"/>
      <c r="B28" s="144">
        <v>2002</v>
      </c>
      <c r="C28" s="145">
        <v>100.3</v>
      </c>
      <c r="D28" s="145">
        <v>106.1</v>
      </c>
      <c r="E28" s="145">
        <v>154.2</v>
      </c>
      <c r="F28" s="145">
        <v>114.7</v>
      </c>
      <c r="G28" s="145">
        <v>72</v>
      </c>
      <c r="H28" s="145">
        <v>67.5</v>
      </c>
      <c r="I28" s="145">
        <v>67.4</v>
      </c>
      <c r="J28" s="145">
        <v>68.9</v>
      </c>
      <c r="K28" s="145">
        <v>70.2</v>
      </c>
      <c r="L28" s="145">
        <v>68.7</v>
      </c>
      <c r="M28" s="145">
        <v>75.4</v>
      </c>
      <c r="N28" s="145">
        <v>68</v>
      </c>
      <c r="O28" s="145">
        <f t="shared" si="4"/>
        <v>86.11666666666667</v>
      </c>
      <c r="Q28" s="149">
        <f t="shared" si="5"/>
        <v>2.7247956403269713</v>
      </c>
    </row>
    <row r="29" spans="1:17" ht="9.75" customHeight="1">
      <c r="A29" s="139"/>
      <c r="B29" s="144">
        <v>2003</v>
      </c>
      <c r="C29" s="145">
        <v>73.4</v>
      </c>
      <c r="D29" s="145">
        <v>68.2</v>
      </c>
      <c r="E29" s="145">
        <v>65.5</v>
      </c>
      <c r="F29" s="145">
        <v>72.3</v>
      </c>
      <c r="G29" s="145">
        <v>79.5</v>
      </c>
      <c r="H29" s="145">
        <v>83.2</v>
      </c>
      <c r="I29" s="145">
        <v>80.8</v>
      </c>
      <c r="J29" s="145">
        <v>70.9</v>
      </c>
      <c r="K29" s="145">
        <v>89.8</v>
      </c>
      <c r="L29" s="145">
        <v>85.8</v>
      </c>
      <c r="M29" s="145">
        <v>92.7</v>
      </c>
      <c r="N29" s="145">
        <v>125.5</v>
      </c>
      <c r="O29" s="145">
        <f t="shared" si="4"/>
        <v>82.3</v>
      </c>
      <c r="Q29" s="149">
        <f t="shared" si="5"/>
        <v>22.944297082228115</v>
      </c>
    </row>
    <row r="30" spans="1:17" ht="9.75" customHeight="1">
      <c r="A30" s="139"/>
      <c r="B30" s="144">
        <v>2004</v>
      </c>
      <c r="C30" s="145">
        <v>87.6</v>
      </c>
      <c r="D30" s="145">
        <v>80.5</v>
      </c>
      <c r="E30" s="145">
        <v>81.3</v>
      </c>
      <c r="F30" s="145">
        <v>80.1</v>
      </c>
      <c r="G30" s="145">
        <v>71</v>
      </c>
      <c r="H30" s="145">
        <v>75.1</v>
      </c>
      <c r="I30" s="145">
        <v>73.7</v>
      </c>
      <c r="J30" s="145">
        <v>80.8</v>
      </c>
      <c r="K30" s="145">
        <v>77.1</v>
      </c>
      <c r="L30" s="145">
        <v>83</v>
      </c>
      <c r="M30" s="145">
        <v>84.9</v>
      </c>
      <c r="N30" s="145">
        <v>82.3</v>
      </c>
      <c r="O30" s="145">
        <f t="shared" si="4"/>
        <v>79.78333333333333</v>
      </c>
      <c r="Q30" s="149">
        <f t="shared" si="5"/>
        <v>-8.414239482200648</v>
      </c>
    </row>
    <row r="31" spans="1:17" ht="9.75" customHeight="1">
      <c r="A31" s="139"/>
      <c r="B31" s="144">
        <v>2005</v>
      </c>
      <c r="C31" s="145">
        <v>81.7</v>
      </c>
      <c r="D31" s="145">
        <v>73</v>
      </c>
      <c r="E31" s="145">
        <v>82.9</v>
      </c>
      <c r="F31" s="145">
        <v>100.4</v>
      </c>
      <c r="G31" s="145">
        <v>92.6</v>
      </c>
      <c r="H31" s="145">
        <v>89.5</v>
      </c>
      <c r="I31" s="145">
        <v>88.5</v>
      </c>
      <c r="J31" s="145">
        <v>85.5</v>
      </c>
      <c r="K31" s="145">
        <v>84.8</v>
      </c>
      <c r="L31" s="145">
        <v>92.6</v>
      </c>
      <c r="M31" s="145">
        <v>87.3</v>
      </c>
      <c r="N31" s="145">
        <v>85.4</v>
      </c>
      <c r="O31" s="145">
        <f t="shared" si="4"/>
        <v>87.01666666666667</v>
      </c>
      <c r="Q31" s="149">
        <f t="shared" si="5"/>
        <v>2.8268551236749095</v>
      </c>
    </row>
    <row r="32" spans="1:17" s="473" customFormat="1" ht="9.75" customHeight="1">
      <c r="A32" s="513"/>
      <c r="B32" s="470">
        <v>2006</v>
      </c>
      <c r="C32" s="472">
        <v>87.4</v>
      </c>
      <c r="D32" s="472">
        <v>79.4</v>
      </c>
      <c r="E32" s="472">
        <v>81.5</v>
      </c>
      <c r="F32" s="472">
        <v>86.9</v>
      </c>
      <c r="G32" s="472">
        <v>96.7</v>
      </c>
      <c r="H32" s="472">
        <v>84.8</v>
      </c>
      <c r="I32" s="472">
        <v>78.3</v>
      </c>
      <c r="J32" s="472">
        <v>86.4</v>
      </c>
      <c r="K32" s="472">
        <v>95.3</v>
      </c>
      <c r="L32" s="472">
        <v>87.3</v>
      </c>
      <c r="M32" s="472">
        <v>85</v>
      </c>
      <c r="N32" s="472">
        <v>89.6</v>
      </c>
      <c r="O32" s="472">
        <f t="shared" si="4"/>
        <v>86.55</v>
      </c>
      <c r="Q32" s="149">
        <f t="shared" si="5"/>
        <v>-2.6345933562428425</v>
      </c>
    </row>
    <row r="33" spans="1:17" ht="9.75" customHeight="1">
      <c r="A33" s="139"/>
      <c r="B33" s="365">
        <v>2007</v>
      </c>
      <c r="C33" s="366">
        <v>92.6</v>
      </c>
      <c r="D33" s="366">
        <v>92</v>
      </c>
      <c r="E33" s="366">
        <v>91.5</v>
      </c>
      <c r="F33" s="366">
        <v>98.6</v>
      </c>
      <c r="G33" s="366">
        <v>87.9</v>
      </c>
      <c r="H33" s="366">
        <v>85.6</v>
      </c>
      <c r="I33" s="366">
        <v>84.9</v>
      </c>
      <c r="J33" s="366">
        <v>87.9</v>
      </c>
      <c r="K33" s="366">
        <v>92.7</v>
      </c>
      <c r="L33" s="366">
        <v>106.6</v>
      </c>
      <c r="M33" s="366">
        <v>98.8</v>
      </c>
      <c r="N33" s="366">
        <v>94.9</v>
      </c>
      <c r="O33" s="366">
        <f t="shared" si="4"/>
        <v>92.83333333333333</v>
      </c>
      <c r="P33" s="367"/>
      <c r="Q33" s="149">
        <f t="shared" si="5"/>
        <v>16.235294117647058</v>
      </c>
    </row>
    <row r="34" spans="1:17" ht="9.75" customHeight="1">
      <c r="A34" s="139"/>
      <c r="B34" s="365">
        <v>2008</v>
      </c>
      <c r="C34" s="366">
        <v>95</v>
      </c>
      <c r="D34" s="366">
        <v>89.5</v>
      </c>
      <c r="E34" s="366">
        <v>87.3</v>
      </c>
      <c r="F34" s="366">
        <v>90.2</v>
      </c>
      <c r="G34" s="366">
        <v>86.8</v>
      </c>
      <c r="H34" s="366">
        <v>86</v>
      </c>
      <c r="I34" s="366">
        <v>87.5</v>
      </c>
      <c r="J34" s="366">
        <v>87.8</v>
      </c>
      <c r="K34" s="366">
        <v>90.6</v>
      </c>
      <c r="L34" s="366">
        <v>99.8</v>
      </c>
      <c r="M34" s="366">
        <v>97.9</v>
      </c>
      <c r="N34" s="366"/>
      <c r="O34" s="366"/>
      <c r="P34" s="367"/>
      <c r="Q34" s="149">
        <f t="shared" si="5"/>
        <v>-0.910931174089058</v>
      </c>
    </row>
    <row r="35" spans="1:15" ht="8.25" customHeight="1">
      <c r="A35" s="139"/>
      <c r="B35" s="139"/>
      <c r="C35" s="145"/>
      <c r="D35" s="145"/>
      <c r="E35" s="145"/>
      <c r="F35" s="145"/>
      <c r="G35" s="145"/>
      <c r="H35" s="145"/>
      <c r="I35" s="145"/>
      <c r="J35" s="145"/>
      <c r="K35" s="145"/>
      <c r="L35" s="145"/>
      <c r="M35" s="145"/>
      <c r="N35" s="145"/>
      <c r="O35" s="145"/>
    </row>
    <row r="36" spans="1:17" ht="9.75" customHeight="1">
      <c r="A36" s="409" t="s">
        <v>148</v>
      </c>
      <c r="B36" s="144">
        <v>2000</v>
      </c>
      <c r="C36" s="145">
        <v>144.3</v>
      </c>
      <c r="D36" s="145">
        <v>128.6</v>
      </c>
      <c r="E36" s="145">
        <v>136.4</v>
      </c>
      <c r="F36" s="145">
        <v>148.7</v>
      </c>
      <c r="G36" s="145">
        <v>136.6</v>
      </c>
      <c r="H36" s="145">
        <v>131.8</v>
      </c>
      <c r="I36" s="145">
        <v>128.2</v>
      </c>
      <c r="J36" s="145">
        <v>126.2</v>
      </c>
      <c r="K36" s="145">
        <v>131.9</v>
      </c>
      <c r="L36" s="145">
        <v>138.7</v>
      </c>
      <c r="M36" s="145">
        <v>150.3</v>
      </c>
      <c r="N36" s="145">
        <v>156.7</v>
      </c>
      <c r="O36" s="145">
        <f aca="true" t="shared" si="6" ref="O36:O43">AVERAGEA(C36:N36)</f>
        <v>138.20000000000002</v>
      </c>
      <c r="Q36" s="535" t="s">
        <v>352</v>
      </c>
    </row>
    <row r="37" spans="1:17" ht="9.75" customHeight="1">
      <c r="A37" s="410" t="s">
        <v>149</v>
      </c>
      <c r="B37" s="144">
        <v>2001</v>
      </c>
      <c r="C37" s="145">
        <v>141.4</v>
      </c>
      <c r="D37" s="145">
        <v>131.3</v>
      </c>
      <c r="E37" s="145">
        <v>133.6</v>
      </c>
      <c r="F37" s="145">
        <v>143.3</v>
      </c>
      <c r="G37" s="145">
        <v>124.3</v>
      </c>
      <c r="H37" s="145">
        <v>135.6</v>
      </c>
      <c r="I37" s="145">
        <v>125.7</v>
      </c>
      <c r="J37" s="145">
        <v>118.5</v>
      </c>
      <c r="K37" s="145">
        <v>116.8</v>
      </c>
      <c r="L37" s="145">
        <v>126.7</v>
      </c>
      <c r="M37" s="145">
        <v>146.8</v>
      </c>
      <c r="N37" s="145">
        <v>140.4</v>
      </c>
      <c r="O37" s="145">
        <f t="shared" si="6"/>
        <v>132.03333333333336</v>
      </c>
      <c r="P37" s="145"/>
      <c r="Q37" s="149">
        <f aca="true" t="shared" si="7" ref="Q37:Q44">+((M37/M36)-1)*100</f>
        <v>-2.328675981370587</v>
      </c>
    </row>
    <row r="38" spans="1:17" ht="9.75" customHeight="1">
      <c r="A38" s="144"/>
      <c r="B38" s="144">
        <v>2002</v>
      </c>
      <c r="C38" s="145">
        <v>145.1</v>
      </c>
      <c r="D38" s="145">
        <v>129.8</v>
      </c>
      <c r="E38" s="145">
        <v>129.2</v>
      </c>
      <c r="F38" s="145">
        <v>131.9</v>
      </c>
      <c r="G38" s="145">
        <v>133.2</v>
      </c>
      <c r="H38" s="145">
        <v>129.9</v>
      </c>
      <c r="I38" s="145">
        <v>124.3</v>
      </c>
      <c r="J38" s="145">
        <v>118.1</v>
      </c>
      <c r="K38" s="145">
        <v>115.8</v>
      </c>
      <c r="L38" s="145">
        <v>123.6</v>
      </c>
      <c r="M38" s="145">
        <v>143</v>
      </c>
      <c r="N38" s="145">
        <v>165.5</v>
      </c>
      <c r="O38" s="145">
        <f t="shared" si="6"/>
        <v>132.45</v>
      </c>
      <c r="P38" s="145"/>
      <c r="Q38" s="149">
        <f t="shared" si="7"/>
        <v>-2.588555858310637</v>
      </c>
    </row>
    <row r="39" spans="1:17" ht="9.75" customHeight="1">
      <c r="A39" s="144"/>
      <c r="B39" s="144">
        <v>2003</v>
      </c>
      <c r="C39" s="145">
        <v>171.1</v>
      </c>
      <c r="D39" s="145">
        <v>156.5</v>
      </c>
      <c r="E39" s="145">
        <v>161.9</v>
      </c>
      <c r="F39" s="145">
        <v>155.5</v>
      </c>
      <c r="G39" s="145">
        <v>140.1</v>
      </c>
      <c r="H39" s="145">
        <v>139.8</v>
      </c>
      <c r="I39" s="145">
        <v>146</v>
      </c>
      <c r="J39" s="145">
        <v>151.3</v>
      </c>
      <c r="K39" s="145">
        <v>143.8</v>
      </c>
      <c r="L39" s="145">
        <v>143.6</v>
      </c>
      <c r="M39" s="145">
        <v>148</v>
      </c>
      <c r="N39" s="145">
        <v>153.3</v>
      </c>
      <c r="O39" s="145">
        <f t="shared" si="6"/>
        <v>150.90833333333333</v>
      </c>
      <c r="P39" s="145"/>
      <c r="Q39" s="149">
        <f t="shared" si="7"/>
        <v>3.4965034965035002</v>
      </c>
    </row>
    <row r="40" spans="1:17" ht="9.75" customHeight="1">
      <c r="A40" s="144"/>
      <c r="B40" s="144">
        <v>2004</v>
      </c>
      <c r="C40" s="145">
        <v>147.2</v>
      </c>
      <c r="D40" s="145">
        <v>151</v>
      </c>
      <c r="E40" s="145">
        <v>152.9</v>
      </c>
      <c r="F40" s="145">
        <v>151.9</v>
      </c>
      <c r="G40" s="145">
        <v>151</v>
      </c>
      <c r="H40" s="145">
        <v>133.1</v>
      </c>
      <c r="I40" s="145">
        <v>125.3</v>
      </c>
      <c r="J40" s="145">
        <v>131.2</v>
      </c>
      <c r="K40" s="145">
        <v>132.1</v>
      </c>
      <c r="L40" s="145">
        <v>171.5</v>
      </c>
      <c r="M40" s="145">
        <v>233.7</v>
      </c>
      <c r="N40" s="145">
        <v>246.7</v>
      </c>
      <c r="O40" s="145">
        <f t="shared" si="6"/>
        <v>160.63333333333333</v>
      </c>
      <c r="P40" s="145"/>
      <c r="Q40" s="149">
        <f t="shared" si="7"/>
        <v>57.90540540540541</v>
      </c>
    </row>
    <row r="41" spans="1:17" ht="9.75" customHeight="1">
      <c r="A41" s="144"/>
      <c r="B41" s="144">
        <v>2005</v>
      </c>
      <c r="C41" s="145">
        <v>166</v>
      </c>
      <c r="D41" s="145">
        <v>142.8</v>
      </c>
      <c r="E41" s="145">
        <v>154.8</v>
      </c>
      <c r="F41" s="145">
        <v>171</v>
      </c>
      <c r="G41" s="145">
        <v>191.1</v>
      </c>
      <c r="H41" s="145">
        <v>165.5</v>
      </c>
      <c r="I41" s="145">
        <v>160.7</v>
      </c>
      <c r="J41" s="145">
        <v>141.6</v>
      </c>
      <c r="K41" s="145">
        <v>142.9</v>
      </c>
      <c r="L41" s="145">
        <v>154.7</v>
      </c>
      <c r="M41" s="145">
        <v>157.4</v>
      </c>
      <c r="N41" s="145">
        <v>184.8</v>
      </c>
      <c r="O41" s="145">
        <f t="shared" si="6"/>
        <v>161.10833333333335</v>
      </c>
      <c r="P41" s="145"/>
      <c r="Q41" s="149">
        <f t="shared" si="7"/>
        <v>-32.64869490800171</v>
      </c>
    </row>
    <row r="42" spans="1:17" s="473" customFormat="1" ht="9.75" customHeight="1">
      <c r="A42" s="470"/>
      <c r="B42" s="470">
        <v>2006</v>
      </c>
      <c r="C42" s="472">
        <v>216.2</v>
      </c>
      <c r="D42" s="472">
        <v>191</v>
      </c>
      <c r="E42" s="472">
        <v>164.9</v>
      </c>
      <c r="F42" s="472">
        <v>157.3</v>
      </c>
      <c r="G42" s="472">
        <v>154.3</v>
      </c>
      <c r="H42" s="472">
        <v>145.7</v>
      </c>
      <c r="I42" s="472">
        <v>147.9</v>
      </c>
      <c r="J42" s="472">
        <v>148.8</v>
      </c>
      <c r="K42" s="472">
        <v>190.8</v>
      </c>
      <c r="L42" s="472">
        <v>218.8</v>
      </c>
      <c r="M42" s="472">
        <v>178.4</v>
      </c>
      <c r="N42" s="472">
        <v>163.9</v>
      </c>
      <c r="O42" s="472">
        <f t="shared" si="6"/>
        <v>173.16666666666666</v>
      </c>
      <c r="P42" s="472"/>
      <c r="Q42" s="149">
        <f t="shared" si="7"/>
        <v>13.341804320203309</v>
      </c>
    </row>
    <row r="43" spans="1:17" ht="9.75" customHeight="1">
      <c r="A43" s="144"/>
      <c r="B43" s="365">
        <v>2007</v>
      </c>
      <c r="C43" s="366">
        <v>162.1</v>
      </c>
      <c r="D43" s="366">
        <v>164.4</v>
      </c>
      <c r="E43" s="366">
        <v>155.5</v>
      </c>
      <c r="F43" s="366">
        <v>163</v>
      </c>
      <c r="G43" s="366">
        <v>168.5</v>
      </c>
      <c r="H43" s="366">
        <v>151</v>
      </c>
      <c r="I43" s="366">
        <v>148.6</v>
      </c>
      <c r="J43" s="366">
        <v>148.5</v>
      </c>
      <c r="K43" s="366">
        <v>149.6</v>
      </c>
      <c r="L43" s="366">
        <v>164.9</v>
      </c>
      <c r="M43" s="366">
        <v>185.1</v>
      </c>
      <c r="N43" s="366">
        <v>214.7</v>
      </c>
      <c r="O43" s="366">
        <f t="shared" si="6"/>
        <v>164.65833333333333</v>
      </c>
      <c r="P43" s="366"/>
      <c r="Q43" s="149">
        <f t="shared" si="7"/>
        <v>3.755605381165905</v>
      </c>
    </row>
    <row r="44" spans="1:17" ht="9.75" customHeight="1">
      <c r="A44" s="144"/>
      <c r="B44" s="365">
        <v>2008</v>
      </c>
      <c r="C44" s="366">
        <v>203.2</v>
      </c>
      <c r="D44" s="366">
        <v>173.5</v>
      </c>
      <c r="E44" s="366">
        <v>183.5</v>
      </c>
      <c r="F44" s="366">
        <v>177.3</v>
      </c>
      <c r="G44" s="366">
        <v>167.5</v>
      </c>
      <c r="H44" s="366">
        <v>181.4</v>
      </c>
      <c r="I44" s="366">
        <v>171.3</v>
      </c>
      <c r="J44" s="366">
        <v>169.4</v>
      </c>
      <c r="K44" s="366">
        <v>159.1</v>
      </c>
      <c r="L44" s="366">
        <v>161.2</v>
      </c>
      <c r="M44" s="366">
        <v>172.2</v>
      </c>
      <c r="N44" s="366"/>
      <c r="O44" s="366"/>
      <c r="P44" s="366"/>
      <c r="Q44" s="149">
        <f t="shared" si="7"/>
        <v>-6.969205834683956</v>
      </c>
    </row>
    <row r="45" spans="1:17" ht="10.5" customHeight="1">
      <c r="A45" s="144"/>
      <c r="B45" s="144"/>
      <c r="C45" s="145"/>
      <c r="D45" s="145"/>
      <c r="E45" s="145"/>
      <c r="F45" s="145"/>
      <c r="G45" s="145"/>
      <c r="H45" s="145"/>
      <c r="I45" s="145"/>
      <c r="J45" s="145"/>
      <c r="K45" s="145"/>
      <c r="L45" s="145"/>
      <c r="M45" s="145"/>
      <c r="N45" s="145"/>
      <c r="O45" s="145"/>
      <c r="P45" s="145"/>
      <c r="Q45" s="149"/>
    </row>
    <row r="46" spans="1:17" s="473" customFormat="1" ht="10.5" customHeight="1">
      <c r="A46" s="514" t="s">
        <v>133</v>
      </c>
      <c r="B46" s="470">
        <v>2006</v>
      </c>
      <c r="C46" s="472">
        <v>134.1</v>
      </c>
      <c r="D46" s="472">
        <v>140.5</v>
      </c>
      <c r="E46" s="472">
        <v>138.3</v>
      </c>
      <c r="F46" s="472">
        <v>147.6</v>
      </c>
      <c r="G46" s="472">
        <v>147.6</v>
      </c>
      <c r="H46" s="472">
        <v>132</v>
      </c>
      <c r="I46" s="472">
        <v>123.7</v>
      </c>
      <c r="J46" s="472">
        <v>135.9</v>
      </c>
      <c r="K46" s="472">
        <v>143</v>
      </c>
      <c r="L46" s="472">
        <v>141</v>
      </c>
      <c r="M46" s="472">
        <v>142.9</v>
      </c>
      <c r="N46" s="472">
        <v>145.5</v>
      </c>
      <c r="O46" s="472">
        <f>AVERAGEA(C46:N46)</f>
        <v>139.34166666666667</v>
      </c>
      <c r="P46" s="472"/>
      <c r="Q46" s="471" t="s">
        <v>352</v>
      </c>
    </row>
    <row r="47" spans="1:17" ht="10.5" customHeight="1">
      <c r="A47" s="410" t="s">
        <v>336</v>
      </c>
      <c r="B47" s="365">
        <v>2007</v>
      </c>
      <c r="C47" s="366">
        <v>161.2</v>
      </c>
      <c r="D47" s="366">
        <v>181.7</v>
      </c>
      <c r="E47" s="366">
        <v>163.1</v>
      </c>
      <c r="F47" s="366">
        <v>154.5</v>
      </c>
      <c r="G47" s="366">
        <v>150.4</v>
      </c>
      <c r="H47" s="366">
        <v>142.5</v>
      </c>
      <c r="I47" s="366">
        <v>134.4</v>
      </c>
      <c r="J47" s="366">
        <v>137.3</v>
      </c>
      <c r="K47" s="366">
        <v>149.4</v>
      </c>
      <c r="L47" s="366">
        <v>157.1</v>
      </c>
      <c r="M47" s="366">
        <v>175.7</v>
      </c>
      <c r="N47" s="366">
        <v>177.5</v>
      </c>
      <c r="O47" s="366">
        <f>AVERAGEA(C47:N47)</f>
        <v>157.06666666666666</v>
      </c>
      <c r="P47" s="366"/>
      <c r="Q47" s="149">
        <f>+((M47/M46)-1)*100</f>
        <v>22.953114065780245</v>
      </c>
    </row>
    <row r="48" spans="1:17" ht="10.5" customHeight="1">
      <c r="A48" s="410"/>
      <c r="B48" s="365">
        <v>2008</v>
      </c>
      <c r="C48" s="366">
        <v>172.4</v>
      </c>
      <c r="D48" s="366">
        <v>168.2</v>
      </c>
      <c r="E48" s="366">
        <v>158.7</v>
      </c>
      <c r="F48" s="366">
        <v>155.7</v>
      </c>
      <c r="G48" s="366">
        <v>158.1</v>
      </c>
      <c r="H48" s="366">
        <v>159</v>
      </c>
      <c r="I48" s="366">
        <v>160.9</v>
      </c>
      <c r="J48" s="366">
        <v>174.8</v>
      </c>
      <c r="K48" s="366">
        <v>188.4</v>
      </c>
      <c r="L48" s="366">
        <v>183.6</v>
      </c>
      <c r="M48" s="366">
        <v>191.2</v>
      </c>
      <c r="N48" s="366"/>
      <c r="O48" s="366"/>
      <c r="P48" s="366"/>
      <c r="Q48" s="149">
        <f>+((M48/M47)-1)*100</f>
        <v>8.821855435401261</v>
      </c>
    </row>
    <row r="49" spans="1:17" ht="8.25" customHeight="1">
      <c r="A49" s="146"/>
      <c r="B49" s="144"/>
      <c r="C49" s="145"/>
      <c r="D49" s="145"/>
      <c r="E49" s="145"/>
      <c r="F49" s="145"/>
      <c r="G49" s="145"/>
      <c r="H49" s="145"/>
      <c r="I49" s="145"/>
      <c r="J49" s="145"/>
      <c r="K49" s="145"/>
      <c r="L49" s="145"/>
      <c r="M49" s="145"/>
      <c r="N49" s="145"/>
      <c r="O49" s="145"/>
      <c r="P49" s="145"/>
      <c r="Q49" s="149"/>
    </row>
    <row r="50" spans="1:17" ht="9.75" customHeight="1">
      <c r="A50" s="410" t="s">
        <v>340</v>
      </c>
      <c r="B50" s="144">
        <v>2005</v>
      </c>
      <c r="C50" s="267" t="s">
        <v>297</v>
      </c>
      <c r="D50" s="267" t="s">
        <v>297</v>
      </c>
      <c r="E50" s="267" t="s">
        <v>297</v>
      </c>
      <c r="F50" s="267" t="s">
        <v>297</v>
      </c>
      <c r="G50" s="267" t="s">
        <v>297</v>
      </c>
      <c r="H50" s="267" t="s">
        <v>297</v>
      </c>
      <c r="I50" s="267" t="s">
        <v>297</v>
      </c>
      <c r="J50" s="267" t="s">
        <v>297</v>
      </c>
      <c r="K50" s="267" t="s">
        <v>297</v>
      </c>
      <c r="L50" s="145">
        <v>192.7</v>
      </c>
      <c r="M50" s="267" t="s">
        <v>297</v>
      </c>
      <c r="N50" s="267" t="s">
        <v>297</v>
      </c>
      <c r="O50" s="267" t="s">
        <v>297</v>
      </c>
      <c r="P50" s="145"/>
      <c r="Q50" s="471" t="s">
        <v>352</v>
      </c>
    </row>
    <row r="51" spans="1:17" s="473" customFormat="1" ht="9.75" customHeight="1">
      <c r="A51" s="515" t="s">
        <v>364</v>
      </c>
      <c r="B51" s="470">
        <v>2006</v>
      </c>
      <c r="C51" s="471" t="s">
        <v>297</v>
      </c>
      <c r="D51" s="471" t="s">
        <v>297</v>
      </c>
      <c r="E51" s="471" t="s">
        <v>297</v>
      </c>
      <c r="F51" s="471" t="s">
        <v>297</v>
      </c>
      <c r="G51" s="472">
        <v>163.8</v>
      </c>
      <c r="H51" s="472">
        <v>169.5</v>
      </c>
      <c r="I51" s="472">
        <v>176.8</v>
      </c>
      <c r="J51" s="472">
        <v>171.3</v>
      </c>
      <c r="K51" s="472">
        <v>171</v>
      </c>
      <c r="L51" s="472">
        <v>208</v>
      </c>
      <c r="M51" s="472">
        <v>195.5</v>
      </c>
      <c r="N51" s="472">
        <v>189</v>
      </c>
      <c r="O51" s="472">
        <f>AVERAGEA(G51:N51)</f>
        <v>180.6125</v>
      </c>
      <c r="P51" s="472"/>
      <c r="Q51" s="471" t="s">
        <v>352</v>
      </c>
    </row>
    <row r="52" spans="1:17" ht="9.75" customHeight="1">
      <c r="A52" s="410"/>
      <c r="B52" s="365">
        <v>2007</v>
      </c>
      <c r="C52" s="366">
        <v>190.5</v>
      </c>
      <c r="D52" s="366">
        <v>211.9</v>
      </c>
      <c r="E52" s="368">
        <v>218.2</v>
      </c>
      <c r="F52" s="368">
        <v>235.2</v>
      </c>
      <c r="G52" s="366">
        <v>222.6</v>
      </c>
      <c r="H52" s="366">
        <v>221.9</v>
      </c>
      <c r="I52" s="366">
        <v>195.3</v>
      </c>
      <c r="J52" s="366">
        <v>181.6</v>
      </c>
      <c r="K52" s="366">
        <v>188.7</v>
      </c>
      <c r="L52" s="366">
        <v>208</v>
      </c>
      <c r="M52" s="366">
        <v>219.8</v>
      </c>
      <c r="N52" s="366">
        <v>218.7</v>
      </c>
      <c r="O52" s="366">
        <f>AVERAGEA(C52:N52)</f>
        <v>209.36666666666665</v>
      </c>
      <c r="P52" s="366"/>
      <c r="Q52" s="149">
        <f>+((M52/M51)-1)*100</f>
        <v>12.429667519181598</v>
      </c>
    </row>
    <row r="53" spans="1:17" ht="9.75" customHeight="1">
      <c r="A53" s="410"/>
      <c r="B53" s="365">
        <v>2008</v>
      </c>
      <c r="C53" s="366">
        <v>216.6</v>
      </c>
      <c r="D53" s="366">
        <v>233</v>
      </c>
      <c r="E53" s="368">
        <v>271</v>
      </c>
      <c r="F53" s="368">
        <v>234.6</v>
      </c>
      <c r="G53" s="366">
        <v>239.5</v>
      </c>
      <c r="H53" s="366">
        <v>242.7</v>
      </c>
      <c r="I53" s="366">
        <v>262.9</v>
      </c>
      <c r="J53" s="366">
        <v>220.2</v>
      </c>
      <c r="K53" s="366">
        <v>205.5</v>
      </c>
      <c r="L53" s="670" t="s">
        <v>257</v>
      </c>
      <c r="M53" s="670" t="s">
        <v>257</v>
      </c>
      <c r="N53" s="366"/>
      <c r="O53" s="366"/>
      <c r="P53" s="366"/>
      <c r="Q53" s="471" t="s">
        <v>352</v>
      </c>
    </row>
    <row r="54" spans="1:17" ht="8.25" customHeight="1">
      <c r="A54" s="146"/>
      <c r="B54" s="144"/>
      <c r="C54" s="145"/>
      <c r="D54" s="145"/>
      <c r="E54" s="145"/>
      <c r="F54" s="145"/>
      <c r="G54" s="145"/>
      <c r="H54" s="145"/>
      <c r="I54" s="145"/>
      <c r="J54" s="145"/>
      <c r="K54" s="145"/>
      <c r="L54" s="145"/>
      <c r="M54" s="145"/>
      <c r="N54" s="145"/>
      <c r="O54" s="145"/>
      <c r="P54" s="145"/>
      <c r="Q54" s="149"/>
    </row>
    <row r="55" spans="1:17" s="473" customFormat="1" ht="9.75" customHeight="1">
      <c r="A55" s="515" t="s">
        <v>5</v>
      </c>
      <c r="B55" s="470">
        <v>2006</v>
      </c>
      <c r="C55" s="471" t="s">
        <v>297</v>
      </c>
      <c r="D55" s="471" t="s">
        <v>297</v>
      </c>
      <c r="E55" s="471" t="s">
        <v>297</v>
      </c>
      <c r="F55" s="471" t="s">
        <v>297</v>
      </c>
      <c r="G55" s="471" t="s">
        <v>297</v>
      </c>
      <c r="H55" s="471" t="s">
        <v>297</v>
      </c>
      <c r="I55" s="471" t="s">
        <v>297</v>
      </c>
      <c r="J55" s="472">
        <v>56.1</v>
      </c>
      <c r="K55" s="472">
        <v>60</v>
      </c>
      <c r="L55" s="472">
        <v>58.5</v>
      </c>
      <c r="M55" s="472">
        <v>59.5</v>
      </c>
      <c r="N55" s="472">
        <v>60.6</v>
      </c>
      <c r="O55" s="472">
        <f>AVERAGEA(J55:N55)</f>
        <v>58.94</v>
      </c>
      <c r="P55" s="472"/>
      <c r="Q55" s="471" t="s">
        <v>352</v>
      </c>
    </row>
    <row r="56" spans="1:17" ht="9.75" customHeight="1">
      <c r="A56" s="410"/>
      <c r="B56" s="365">
        <v>2007</v>
      </c>
      <c r="C56" s="366">
        <v>61</v>
      </c>
      <c r="D56" s="366">
        <v>66.5</v>
      </c>
      <c r="E56" s="366">
        <v>68.9</v>
      </c>
      <c r="F56" s="368">
        <v>65.1</v>
      </c>
      <c r="G56" s="368">
        <v>61</v>
      </c>
      <c r="H56" s="368">
        <v>58.1</v>
      </c>
      <c r="I56" s="368">
        <v>58.6</v>
      </c>
      <c r="J56" s="366">
        <v>57.1</v>
      </c>
      <c r="K56" s="366">
        <v>56.8</v>
      </c>
      <c r="L56" s="366">
        <v>62.6</v>
      </c>
      <c r="M56" s="366">
        <v>60.6</v>
      </c>
      <c r="N56" s="366">
        <v>61.3</v>
      </c>
      <c r="O56" s="366">
        <f>AVERAGEA(C56:N56)</f>
        <v>61.46666666666667</v>
      </c>
      <c r="P56" s="366"/>
      <c r="Q56" s="149">
        <f>+((M56/M55)-1)*100</f>
        <v>1.8487394957983128</v>
      </c>
    </row>
    <row r="57" spans="1:17" ht="9.75" customHeight="1">
      <c r="A57" s="410"/>
      <c r="B57" s="365">
        <v>2008</v>
      </c>
      <c r="C57" s="366">
        <v>62.6</v>
      </c>
      <c r="D57" s="366">
        <v>58.3</v>
      </c>
      <c r="E57" s="366">
        <v>58.7</v>
      </c>
      <c r="F57" s="368">
        <v>59.5</v>
      </c>
      <c r="G57" s="368">
        <v>62.5</v>
      </c>
      <c r="H57" s="368">
        <v>66.9</v>
      </c>
      <c r="I57" s="368">
        <v>70.8</v>
      </c>
      <c r="J57" s="366">
        <v>65.8</v>
      </c>
      <c r="K57" s="366">
        <v>67.4</v>
      </c>
      <c r="L57" s="366">
        <v>71.1</v>
      </c>
      <c r="M57" s="366">
        <v>61.9</v>
      </c>
      <c r="N57" s="366"/>
      <c r="O57" s="366"/>
      <c r="P57" s="366"/>
      <c r="Q57" s="149">
        <f>+((M57/M56)-1)*100</f>
        <v>2.1452145214521323</v>
      </c>
    </row>
    <row r="58" spans="1:17" s="473" customFormat="1" ht="9.75" customHeight="1">
      <c r="A58" s="515"/>
      <c r="B58" s="470"/>
      <c r="C58" s="472"/>
      <c r="D58" s="472"/>
      <c r="E58" s="471"/>
      <c r="F58" s="471"/>
      <c r="G58" s="471"/>
      <c r="H58" s="471"/>
      <c r="I58" s="471"/>
      <c r="J58" s="472"/>
      <c r="K58" s="472"/>
      <c r="L58" s="472"/>
      <c r="M58" s="472"/>
      <c r="N58" s="472"/>
      <c r="O58" s="472"/>
      <c r="P58" s="472"/>
      <c r="Q58" s="471"/>
    </row>
    <row r="59" spans="1:17" ht="9.75" customHeight="1">
      <c r="A59" s="410" t="s">
        <v>68</v>
      </c>
      <c r="B59" s="365">
        <v>2007</v>
      </c>
      <c r="C59" s="368" t="s">
        <v>297</v>
      </c>
      <c r="D59" s="366">
        <v>128.3</v>
      </c>
      <c r="E59" s="368" t="s">
        <v>297</v>
      </c>
      <c r="F59" s="368">
        <v>92.1</v>
      </c>
      <c r="G59" s="368" t="s">
        <v>297</v>
      </c>
      <c r="H59" s="368">
        <v>82.9</v>
      </c>
      <c r="I59" s="368" t="s">
        <v>297</v>
      </c>
      <c r="J59" s="366">
        <v>75.1</v>
      </c>
      <c r="K59" s="366">
        <v>78</v>
      </c>
      <c r="L59" s="368" t="s">
        <v>297</v>
      </c>
      <c r="M59" s="368" t="s">
        <v>297</v>
      </c>
      <c r="N59" s="368" t="s">
        <v>297</v>
      </c>
      <c r="O59" s="366">
        <f>SUM(D59:K59)/5</f>
        <v>91.28</v>
      </c>
      <c r="P59" s="366"/>
      <c r="Q59" s="471" t="s">
        <v>352</v>
      </c>
    </row>
    <row r="60" spans="1:17" ht="9.75" customHeight="1">
      <c r="A60" s="410"/>
      <c r="B60" s="365">
        <v>2008</v>
      </c>
      <c r="C60" s="368" t="s">
        <v>297</v>
      </c>
      <c r="D60" s="368" t="s">
        <v>297</v>
      </c>
      <c r="E60" s="368" t="s">
        <v>297</v>
      </c>
      <c r="F60" s="368" t="s">
        <v>297</v>
      </c>
      <c r="G60" s="368" t="s">
        <v>297</v>
      </c>
      <c r="H60" s="368" t="s">
        <v>447</v>
      </c>
      <c r="I60" s="368" t="s">
        <v>297</v>
      </c>
      <c r="J60" s="368" t="s">
        <v>297</v>
      </c>
      <c r="K60" s="368" t="s">
        <v>297</v>
      </c>
      <c r="L60" s="368" t="s">
        <v>297</v>
      </c>
      <c r="M60" s="368" t="s">
        <v>297</v>
      </c>
      <c r="N60" s="368" t="s">
        <v>297</v>
      </c>
      <c r="O60" s="368" t="s">
        <v>297</v>
      </c>
      <c r="P60" s="366"/>
      <c r="Q60" s="471" t="s">
        <v>352</v>
      </c>
    </row>
    <row r="61" spans="1:17" ht="4.5" customHeight="1">
      <c r="A61" s="410"/>
      <c r="B61" s="365"/>
      <c r="C61" s="368"/>
      <c r="D61" s="366"/>
      <c r="E61" s="368"/>
      <c r="F61" s="368"/>
      <c r="G61" s="368"/>
      <c r="H61" s="368"/>
      <c r="I61" s="368"/>
      <c r="J61" s="366"/>
      <c r="K61" s="366"/>
      <c r="L61" s="366"/>
      <c r="M61" s="366"/>
      <c r="N61" s="366"/>
      <c r="O61" s="366"/>
      <c r="P61" s="366"/>
      <c r="Q61" s="471"/>
    </row>
    <row r="62" spans="1:17" ht="9.75" customHeight="1">
      <c r="A62" s="410" t="s">
        <v>399</v>
      </c>
      <c r="B62" s="365">
        <v>2007</v>
      </c>
      <c r="C62" s="368" t="s">
        <v>297</v>
      </c>
      <c r="D62" s="368" t="s">
        <v>297</v>
      </c>
      <c r="E62" s="368" t="s">
        <v>297</v>
      </c>
      <c r="F62" s="368" t="s">
        <v>297</v>
      </c>
      <c r="G62" s="368" t="s">
        <v>297</v>
      </c>
      <c r="H62" s="368">
        <v>80.5</v>
      </c>
      <c r="I62" s="368">
        <v>77.8</v>
      </c>
      <c r="J62" s="366">
        <v>77.6</v>
      </c>
      <c r="K62" s="366">
        <v>78.2</v>
      </c>
      <c r="L62" s="368" t="s">
        <v>297</v>
      </c>
      <c r="M62" s="366">
        <v>75.3</v>
      </c>
      <c r="N62" s="366">
        <v>75</v>
      </c>
      <c r="O62" s="366">
        <f>SUM(H62:N62)/6</f>
        <v>77.4</v>
      </c>
      <c r="P62" s="366"/>
      <c r="Q62" s="471" t="s">
        <v>352</v>
      </c>
    </row>
    <row r="63" spans="1:17" ht="9.75" customHeight="1">
      <c r="A63" s="410"/>
      <c r="B63" s="365">
        <v>2008</v>
      </c>
      <c r="C63" s="366">
        <v>78</v>
      </c>
      <c r="D63" s="366">
        <v>77.7</v>
      </c>
      <c r="E63" s="366">
        <v>76.8</v>
      </c>
      <c r="F63" s="368">
        <v>76.8</v>
      </c>
      <c r="G63" s="368">
        <v>79.3</v>
      </c>
      <c r="H63" s="368">
        <v>86.8</v>
      </c>
      <c r="I63" s="368">
        <v>80.1</v>
      </c>
      <c r="J63" s="366">
        <v>79.7</v>
      </c>
      <c r="K63" s="366">
        <v>79.4</v>
      </c>
      <c r="L63" s="366">
        <v>80.2</v>
      </c>
      <c r="M63" s="368" t="s">
        <v>297</v>
      </c>
      <c r="N63" s="366"/>
      <c r="O63" s="366"/>
      <c r="P63" s="366"/>
      <c r="Q63" s="471" t="s">
        <v>352</v>
      </c>
    </row>
    <row r="64" spans="1:17" ht="6" customHeight="1">
      <c r="A64" s="144"/>
      <c r="B64" s="144"/>
      <c r="C64" s="145"/>
      <c r="D64" s="145"/>
      <c r="E64" s="145"/>
      <c r="F64" s="145"/>
      <c r="G64" s="145"/>
      <c r="H64" s="145"/>
      <c r="I64" s="145"/>
      <c r="J64" s="145"/>
      <c r="K64" s="145"/>
      <c r="L64" s="145"/>
      <c r="M64" s="145"/>
      <c r="N64" s="145"/>
      <c r="O64" s="145"/>
      <c r="P64" s="145"/>
      <c r="Q64" s="149"/>
    </row>
    <row r="65" spans="1:17" ht="5.25" customHeight="1">
      <c r="A65" s="162"/>
      <c r="B65" s="147"/>
      <c r="C65" s="148"/>
      <c r="D65" s="148"/>
      <c r="E65" s="148"/>
      <c r="F65" s="163"/>
      <c r="G65" s="163"/>
      <c r="H65" s="163"/>
      <c r="I65" s="163"/>
      <c r="J65" s="163"/>
      <c r="K65" s="163"/>
      <c r="L65" s="163"/>
      <c r="M65" s="163"/>
      <c r="N65" s="163"/>
      <c r="O65" s="163"/>
      <c r="P65" s="150"/>
      <c r="Q65" s="163"/>
    </row>
    <row r="66" spans="1:17" ht="11.25" customHeight="1">
      <c r="A66" s="261" t="s">
        <v>369</v>
      </c>
      <c r="B66" s="139"/>
      <c r="C66" s="143"/>
      <c r="D66" s="143"/>
      <c r="E66" s="143"/>
      <c r="F66" s="132"/>
      <c r="G66" s="132"/>
      <c r="H66" s="132"/>
      <c r="I66" s="132"/>
      <c r="J66" s="132"/>
      <c r="K66" s="132"/>
      <c r="L66" s="132"/>
      <c r="M66" s="132"/>
      <c r="N66" s="132"/>
      <c r="O66" s="132"/>
      <c r="P66" s="262"/>
      <c r="Q66" s="132"/>
    </row>
    <row r="67" spans="1:15" ht="15" customHeight="1">
      <c r="A67" s="426" t="s">
        <v>368</v>
      </c>
      <c r="B67" s="139"/>
      <c r="C67" s="143"/>
      <c r="D67" s="143"/>
      <c r="E67" s="143"/>
      <c r="F67" s="143"/>
      <c r="G67" s="143"/>
      <c r="H67" s="143"/>
      <c r="I67" s="143"/>
      <c r="J67" s="143"/>
      <c r="K67" s="143"/>
      <c r="L67" s="143"/>
      <c r="M67" s="143"/>
      <c r="N67" s="143"/>
      <c r="O67" s="139"/>
    </row>
  </sheetData>
  <printOptions horizontalCentered="1"/>
  <pageMargins left="0.167" right="0.167" top="0.52" bottom="0.75" header="0" footer="0.28"/>
  <pageSetup fitToHeight="1" fitToWidth="1" horizontalDpi="600" verticalDpi="600" orientation="portrait" r:id="rId1"/>
  <headerFooter alignWithMargins="0">
    <oddFooter>&amp;C&amp;"Arial,Italic"&amp;9Vegetables and Melons Outlook&amp;"Arial,Regular"/VGS-330/December 16, 2008
Economic Research Service, USDA</oddFooter>
  </headerFooter>
</worksheet>
</file>

<file path=xl/worksheets/sheet14.xml><?xml version="1.0" encoding="utf-8"?>
<worksheet xmlns="http://schemas.openxmlformats.org/spreadsheetml/2006/main" xmlns:r="http://schemas.openxmlformats.org/officeDocument/2006/relationships">
  <sheetPr transitionEvaluation="1" transitionEntry="1">
    <tabColor indexed="13"/>
    <pageSetUpPr fitToPage="1"/>
  </sheetPr>
  <dimension ref="A1:T86"/>
  <sheetViews>
    <sheetView showGridLines="0" workbookViewId="0" topLeftCell="A1">
      <selection activeCell="D6" sqref="D6"/>
    </sheetView>
  </sheetViews>
  <sheetFormatPr defaultColWidth="9.7109375" defaultRowHeight="12.75"/>
  <cols>
    <col min="1" max="1" width="11.8515625" style="138" customWidth="1"/>
    <col min="2" max="2" width="7.421875" style="138" customWidth="1"/>
    <col min="3" max="3" width="1.57421875" style="138" customWidth="1"/>
    <col min="4" max="4" width="5.00390625" style="138" customWidth="1"/>
    <col min="5" max="16" width="5.421875" style="138" customWidth="1"/>
    <col min="17" max="17" width="1.28515625" style="138" customWidth="1"/>
    <col min="18" max="18" width="7.7109375" style="138" customWidth="1"/>
    <col min="19" max="16384" width="9.7109375" style="138" customWidth="1"/>
  </cols>
  <sheetData>
    <row r="1" spans="1:18" ht="15.75" customHeight="1">
      <c r="A1" s="188" t="s">
        <v>492</v>
      </c>
      <c r="B1" s="188"/>
      <c r="C1" s="188"/>
      <c r="D1" s="136"/>
      <c r="E1" s="137"/>
      <c r="F1" s="137"/>
      <c r="G1" s="137"/>
      <c r="H1" s="137"/>
      <c r="I1" s="137"/>
      <c r="J1" s="137"/>
      <c r="K1" s="137"/>
      <c r="L1" s="137"/>
      <c r="M1" s="137"/>
      <c r="N1" s="137"/>
      <c r="O1" s="137"/>
      <c r="P1" s="137"/>
      <c r="R1" s="136"/>
    </row>
    <row r="2" spans="1:18" ht="12" customHeight="1">
      <c r="A2" s="358"/>
      <c r="B2" s="358"/>
      <c r="C2" s="358"/>
      <c r="D2" s="359"/>
      <c r="E2" s="360"/>
      <c r="F2" s="360"/>
      <c r="G2" s="360"/>
      <c r="H2" s="360"/>
      <c r="I2" s="360"/>
      <c r="J2" s="360"/>
      <c r="K2" s="360"/>
      <c r="L2" s="360"/>
      <c r="M2" s="360"/>
      <c r="N2" s="360"/>
      <c r="O2" s="360"/>
      <c r="P2" s="360"/>
      <c r="Q2" s="361"/>
      <c r="R2" s="362" t="s">
        <v>29</v>
      </c>
    </row>
    <row r="3" spans="1:18" ht="10.5" customHeight="1">
      <c r="A3" s="363" t="s">
        <v>144</v>
      </c>
      <c r="B3" s="363" t="s">
        <v>477</v>
      </c>
      <c r="C3" s="363"/>
      <c r="D3" s="364" t="s">
        <v>119</v>
      </c>
      <c r="E3" s="341" t="s">
        <v>97</v>
      </c>
      <c r="F3" s="341" t="s">
        <v>98</v>
      </c>
      <c r="G3" s="341" t="s">
        <v>99</v>
      </c>
      <c r="H3" s="341" t="s">
        <v>100</v>
      </c>
      <c r="I3" s="341" t="s">
        <v>101</v>
      </c>
      <c r="J3" s="341" t="s">
        <v>508</v>
      </c>
      <c r="K3" s="341" t="s">
        <v>103</v>
      </c>
      <c r="L3" s="341" t="s">
        <v>507</v>
      </c>
      <c r="M3" s="341" t="s">
        <v>105</v>
      </c>
      <c r="N3" s="341" t="s">
        <v>106</v>
      </c>
      <c r="O3" s="341" t="s">
        <v>107</v>
      </c>
      <c r="P3" s="341" t="s">
        <v>108</v>
      </c>
      <c r="Q3" s="361"/>
      <c r="R3" s="328" t="s">
        <v>574</v>
      </c>
    </row>
    <row r="4" spans="1:18" ht="12" customHeight="1">
      <c r="A4" s="139"/>
      <c r="B4" s="139"/>
      <c r="C4" s="139"/>
      <c r="D4" s="139"/>
      <c r="E4" s="195" t="s">
        <v>487</v>
      </c>
      <c r="F4" s="140"/>
      <c r="G4" s="140"/>
      <c r="H4" s="140"/>
      <c r="I4" s="140"/>
      <c r="J4" s="141"/>
      <c r="K4" s="140"/>
      <c r="L4" s="140"/>
      <c r="M4" s="140"/>
      <c r="N4" s="140"/>
      <c r="O4" s="140"/>
      <c r="P4" s="140"/>
      <c r="R4" s="196" t="s">
        <v>30</v>
      </c>
    </row>
    <row r="5" spans="1:16" ht="3.75" customHeight="1">
      <c r="A5" s="139"/>
      <c r="B5" s="139"/>
      <c r="C5" s="139"/>
      <c r="D5" s="139"/>
      <c r="E5" s="143"/>
      <c r="F5" s="143"/>
      <c r="G5" s="143"/>
      <c r="H5" s="143"/>
      <c r="I5" s="143"/>
      <c r="J5" s="143"/>
      <c r="K5" s="143"/>
      <c r="L5" s="143"/>
      <c r="M5" s="143"/>
      <c r="N5" s="143"/>
      <c r="O5" s="143"/>
      <c r="P5" s="143"/>
    </row>
    <row r="6" spans="1:18" ht="9.75" customHeight="1">
      <c r="A6" s="409" t="s">
        <v>450</v>
      </c>
      <c r="B6" s="563" t="s">
        <v>478</v>
      </c>
      <c r="C6" s="562"/>
      <c r="D6" s="144">
        <v>2007</v>
      </c>
      <c r="E6" s="558" t="s">
        <v>112</v>
      </c>
      <c r="F6" s="558" t="s">
        <v>112</v>
      </c>
      <c r="G6" s="558" t="s">
        <v>112</v>
      </c>
      <c r="H6" s="558" t="s">
        <v>112</v>
      </c>
      <c r="I6" s="558" t="s">
        <v>112</v>
      </c>
      <c r="J6" s="558" t="s">
        <v>112</v>
      </c>
      <c r="K6" s="558" t="s">
        <v>112</v>
      </c>
      <c r="L6" s="558" t="s">
        <v>112</v>
      </c>
      <c r="M6" s="558" t="s">
        <v>112</v>
      </c>
      <c r="N6" s="559">
        <v>2.58</v>
      </c>
      <c r="O6" s="559">
        <v>2.63</v>
      </c>
      <c r="P6" s="559">
        <v>2.84</v>
      </c>
      <c r="R6" s="535" t="s">
        <v>258</v>
      </c>
    </row>
    <row r="7" spans="1:18" ht="9.75" customHeight="1">
      <c r="A7" s="411"/>
      <c r="B7" s="411"/>
      <c r="C7" s="411"/>
      <c r="D7" s="144">
        <v>2008</v>
      </c>
      <c r="E7" s="559">
        <v>2.97</v>
      </c>
      <c r="F7" s="559">
        <v>2.41</v>
      </c>
      <c r="G7" s="559">
        <v>2.23</v>
      </c>
      <c r="H7" s="559">
        <v>2.46</v>
      </c>
      <c r="I7" s="559">
        <v>2.68</v>
      </c>
      <c r="J7" s="559">
        <v>2.55</v>
      </c>
      <c r="K7" s="559">
        <v>2.61</v>
      </c>
      <c r="L7" s="559">
        <v>2.92</v>
      </c>
      <c r="M7" s="559">
        <v>2.76</v>
      </c>
      <c r="N7" s="559">
        <v>2.68</v>
      </c>
      <c r="O7" s="559">
        <v>2.68</v>
      </c>
      <c r="P7" s="559">
        <v>3</v>
      </c>
      <c r="R7" s="149">
        <f>+((O7/O6)-1)*100</f>
        <v>1.9011406844106515</v>
      </c>
    </row>
    <row r="8" spans="1:18" ht="4.5" customHeight="1">
      <c r="A8" s="139"/>
      <c r="B8" s="139"/>
      <c r="C8" s="139"/>
      <c r="D8" s="144"/>
      <c r="E8" s="559"/>
      <c r="F8" s="559"/>
      <c r="G8" s="559"/>
      <c r="H8" s="559"/>
      <c r="I8" s="559"/>
      <c r="J8" s="559"/>
      <c r="K8" s="559"/>
      <c r="L8" s="559"/>
      <c r="M8" s="559"/>
      <c r="N8" s="559"/>
      <c r="O8" s="559"/>
      <c r="P8" s="559"/>
      <c r="R8" s="149"/>
    </row>
    <row r="9" spans="1:18" ht="9.75" customHeight="1">
      <c r="A9" s="409" t="s">
        <v>451</v>
      </c>
      <c r="B9" s="563" t="s">
        <v>478</v>
      </c>
      <c r="C9" s="409"/>
      <c r="D9" s="144">
        <v>2007</v>
      </c>
      <c r="E9" s="558" t="s">
        <v>112</v>
      </c>
      <c r="F9" s="558" t="s">
        <v>112</v>
      </c>
      <c r="G9" s="558" t="s">
        <v>112</v>
      </c>
      <c r="H9" s="558" t="s">
        <v>112</v>
      </c>
      <c r="I9" s="558" t="s">
        <v>112</v>
      </c>
      <c r="J9" s="558" t="s">
        <v>112</v>
      </c>
      <c r="K9" s="558" t="s">
        <v>112</v>
      </c>
      <c r="L9" s="558" t="s">
        <v>112</v>
      </c>
      <c r="M9" s="558" t="s">
        <v>112</v>
      </c>
      <c r="N9" s="559">
        <v>1.33</v>
      </c>
      <c r="O9" s="559">
        <v>1.47</v>
      </c>
      <c r="P9" s="559">
        <v>1.37</v>
      </c>
      <c r="R9" s="535" t="s">
        <v>258</v>
      </c>
    </row>
    <row r="10" spans="1:18" ht="9.75" customHeight="1">
      <c r="A10" s="409" t="s">
        <v>452</v>
      </c>
      <c r="B10" s="409"/>
      <c r="C10" s="409"/>
      <c r="D10" s="144">
        <v>2008</v>
      </c>
      <c r="E10" s="559">
        <v>1.46</v>
      </c>
      <c r="F10" s="559">
        <v>1.65</v>
      </c>
      <c r="G10" s="559">
        <v>1.42</v>
      </c>
      <c r="H10" s="559">
        <v>1.27</v>
      </c>
      <c r="I10" s="559">
        <v>1.35</v>
      </c>
      <c r="J10" s="559">
        <v>1.33</v>
      </c>
      <c r="K10" s="559">
        <v>1.36</v>
      </c>
      <c r="L10" s="559">
        <v>1.22</v>
      </c>
      <c r="M10" s="559">
        <v>1.28</v>
      </c>
      <c r="N10" s="559">
        <v>1.46</v>
      </c>
      <c r="O10" s="559">
        <v>1.41</v>
      </c>
      <c r="P10" s="559">
        <v>1.52</v>
      </c>
      <c r="R10" s="149">
        <f>+((O10/O9)-1)*100</f>
        <v>-4.081632653061229</v>
      </c>
    </row>
    <row r="11" spans="1:18" ht="7.5" customHeight="1">
      <c r="A11" s="139"/>
      <c r="B11" s="139"/>
      <c r="C11" s="139"/>
      <c r="D11" s="144"/>
      <c r="E11" s="559"/>
      <c r="F11" s="559"/>
      <c r="G11" s="559"/>
      <c r="H11" s="559"/>
      <c r="I11" s="559"/>
      <c r="J11" s="559"/>
      <c r="K11" s="559"/>
      <c r="L11" s="559"/>
      <c r="M11" s="559"/>
      <c r="N11" s="559"/>
      <c r="O11" s="559"/>
      <c r="P11" s="559"/>
      <c r="R11" s="149"/>
    </row>
    <row r="12" spans="1:18" s="473" customFormat="1" ht="9.75" customHeight="1">
      <c r="A12" s="409" t="s">
        <v>146</v>
      </c>
      <c r="B12" s="563" t="s">
        <v>479</v>
      </c>
      <c r="C12" s="409"/>
      <c r="D12" s="470">
        <v>2007</v>
      </c>
      <c r="E12" s="558" t="s">
        <v>112</v>
      </c>
      <c r="F12" s="558" t="s">
        <v>112</v>
      </c>
      <c r="G12" s="558" t="s">
        <v>112</v>
      </c>
      <c r="H12" s="558" t="s">
        <v>112</v>
      </c>
      <c r="I12" s="558" t="s">
        <v>112</v>
      </c>
      <c r="J12" s="558" t="s">
        <v>112</v>
      </c>
      <c r="K12" s="558" t="s">
        <v>112</v>
      </c>
      <c r="L12" s="558" t="s">
        <v>112</v>
      </c>
      <c r="M12" s="558" t="s">
        <v>112</v>
      </c>
      <c r="N12" s="559">
        <v>1.42</v>
      </c>
      <c r="O12" s="559">
        <v>1.53</v>
      </c>
      <c r="P12" s="559">
        <v>1.57</v>
      </c>
      <c r="Q12" s="138"/>
      <c r="R12" s="535" t="s">
        <v>258</v>
      </c>
    </row>
    <row r="13" spans="1:18" ht="9.75" customHeight="1">
      <c r="A13" s="139"/>
      <c r="B13" s="139"/>
      <c r="C13" s="139"/>
      <c r="D13" s="365">
        <v>2008</v>
      </c>
      <c r="E13" s="559">
        <v>1.67</v>
      </c>
      <c r="F13" s="559">
        <v>1.51</v>
      </c>
      <c r="G13" s="559">
        <v>1.56</v>
      </c>
      <c r="H13" s="559">
        <v>1.46</v>
      </c>
      <c r="I13" s="559">
        <v>1.66</v>
      </c>
      <c r="J13" s="559">
        <v>1.59</v>
      </c>
      <c r="K13" s="559">
        <v>1.68</v>
      </c>
      <c r="L13" s="559">
        <v>1.6</v>
      </c>
      <c r="M13" s="559">
        <v>1.57</v>
      </c>
      <c r="N13" s="559">
        <v>1.75</v>
      </c>
      <c r="O13" s="559">
        <v>1.88</v>
      </c>
      <c r="P13" s="559">
        <v>1.68</v>
      </c>
      <c r="R13" s="149">
        <f>+((O13/O12)-1)*100</f>
        <v>22.87581699346404</v>
      </c>
    </row>
    <row r="14" spans="1:16" ht="8.25" customHeight="1">
      <c r="A14" s="139"/>
      <c r="B14" s="139"/>
      <c r="C14" s="139"/>
      <c r="D14" s="139"/>
      <c r="E14" s="559"/>
      <c r="F14" s="559"/>
      <c r="G14" s="559"/>
      <c r="H14" s="559"/>
      <c r="I14" s="559"/>
      <c r="J14" s="559"/>
      <c r="K14" s="559"/>
      <c r="L14" s="559"/>
      <c r="M14" s="559"/>
      <c r="N14" s="559"/>
      <c r="O14" s="559"/>
      <c r="P14" s="559"/>
    </row>
    <row r="15" spans="1:18" ht="9.75" customHeight="1">
      <c r="A15" s="412" t="s">
        <v>453</v>
      </c>
      <c r="B15" s="563" t="s">
        <v>479</v>
      </c>
      <c r="C15" s="412"/>
      <c r="D15" s="139">
        <v>2007</v>
      </c>
      <c r="E15" s="558" t="s">
        <v>112</v>
      </c>
      <c r="F15" s="558" t="s">
        <v>112</v>
      </c>
      <c r="G15" s="558" t="s">
        <v>112</v>
      </c>
      <c r="H15" s="558" t="s">
        <v>112</v>
      </c>
      <c r="I15" s="558" t="s">
        <v>112</v>
      </c>
      <c r="J15" s="558" t="s">
        <v>112</v>
      </c>
      <c r="K15" s="558" t="s">
        <v>112</v>
      </c>
      <c r="L15" s="558" t="s">
        <v>112</v>
      </c>
      <c r="M15" s="558" t="s">
        <v>112</v>
      </c>
      <c r="N15" s="559">
        <v>2.01</v>
      </c>
      <c r="O15" s="559">
        <v>2.05</v>
      </c>
      <c r="P15" s="559">
        <v>2.34</v>
      </c>
      <c r="R15" s="535" t="s">
        <v>258</v>
      </c>
    </row>
    <row r="16" spans="1:18" ht="9.75" customHeight="1">
      <c r="A16" s="412" t="s">
        <v>454</v>
      </c>
      <c r="B16" s="412"/>
      <c r="C16" s="412"/>
      <c r="D16" s="139">
        <v>2008</v>
      </c>
      <c r="E16" s="559">
        <v>2.23</v>
      </c>
      <c r="F16" s="559">
        <v>2.18</v>
      </c>
      <c r="G16" s="559">
        <v>2.03</v>
      </c>
      <c r="H16" s="559">
        <v>2.26</v>
      </c>
      <c r="I16" s="559">
        <v>2.36</v>
      </c>
      <c r="J16" s="559">
        <v>1.97</v>
      </c>
      <c r="K16" s="559">
        <v>2.34</v>
      </c>
      <c r="L16" s="559">
        <v>1.99</v>
      </c>
      <c r="M16" s="559">
        <v>1.93</v>
      </c>
      <c r="N16" s="559">
        <v>2.68</v>
      </c>
      <c r="O16" s="559">
        <v>2.54</v>
      </c>
      <c r="P16" s="559">
        <v>2.49</v>
      </c>
      <c r="R16" s="149">
        <f>+((O16/O15)-1)*100</f>
        <v>23.902439024390265</v>
      </c>
    </row>
    <row r="17" spans="1:18" ht="7.5" customHeight="1">
      <c r="A17" s="139"/>
      <c r="B17" s="139"/>
      <c r="C17" s="139"/>
      <c r="D17" s="139"/>
      <c r="E17" s="559"/>
      <c r="F17" s="559"/>
      <c r="G17" s="559"/>
      <c r="H17" s="559"/>
      <c r="I17" s="559"/>
      <c r="J17" s="559"/>
      <c r="K17" s="559"/>
      <c r="L17" s="559"/>
      <c r="M17" s="559"/>
      <c r="N17" s="559"/>
      <c r="O17" s="559"/>
      <c r="P17" s="559"/>
      <c r="R17" s="149"/>
    </row>
    <row r="18" spans="1:18" ht="9.75" customHeight="1">
      <c r="A18" s="557" t="s">
        <v>63</v>
      </c>
      <c r="B18" s="563" t="s">
        <v>478</v>
      </c>
      <c r="C18" s="557"/>
      <c r="D18" s="144">
        <v>2007</v>
      </c>
      <c r="E18" s="558" t="s">
        <v>112</v>
      </c>
      <c r="F18" s="558" t="s">
        <v>112</v>
      </c>
      <c r="G18" s="558" t="s">
        <v>112</v>
      </c>
      <c r="H18" s="558" t="s">
        <v>112</v>
      </c>
      <c r="I18" s="558" t="s">
        <v>112</v>
      </c>
      <c r="J18" s="558" t="s">
        <v>112</v>
      </c>
      <c r="K18" s="558" t="s">
        <v>112</v>
      </c>
      <c r="L18" s="558" t="s">
        <v>112</v>
      </c>
      <c r="M18" s="558" t="s">
        <v>112</v>
      </c>
      <c r="N18" s="559">
        <v>0.43</v>
      </c>
      <c r="O18" s="559">
        <v>0.43</v>
      </c>
      <c r="P18" s="559">
        <v>0.4</v>
      </c>
      <c r="R18" s="535" t="s">
        <v>258</v>
      </c>
    </row>
    <row r="19" spans="1:18" ht="9.75" customHeight="1">
      <c r="A19" s="139"/>
      <c r="B19" s="139"/>
      <c r="C19" s="139"/>
      <c r="D19" s="144">
        <v>2008</v>
      </c>
      <c r="E19" s="559">
        <v>0.43</v>
      </c>
      <c r="F19" s="559">
        <v>0.42</v>
      </c>
      <c r="G19" s="559">
        <v>0.33</v>
      </c>
      <c r="H19" s="559">
        <v>0.43</v>
      </c>
      <c r="I19" s="559">
        <v>0.41</v>
      </c>
      <c r="J19" s="559">
        <v>0.43</v>
      </c>
      <c r="K19" s="559">
        <v>0.47</v>
      </c>
      <c r="L19" s="559">
        <v>0.47</v>
      </c>
      <c r="M19" s="559">
        <v>0.46</v>
      </c>
      <c r="N19" s="559">
        <v>0.47</v>
      </c>
      <c r="O19" s="559">
        <v>0.44</v>
      </c>
      <c r="P19" s="559">
        <v>0.45</v>
      </c>
      <c r="R19" s="149">
        <f>+((O19/O18)-1)*100</f>
        <v>2.3255813953488413</v>
      </c>
    </row>
    <row r="20" spans="1:18" ht="6" customHeight="1">
      <c r="A20" s="139"/>
      <c r="B20" s="139"/>
      <c r="C20" s="139"/>
      <c r="D20" s="144"/>
      <c r="E20" s="559"/>
      <c r="F20" s="559"/>
      <c r="G20" s="559"/>
      <c r="H20" s="559"/>
      <c r="I20" s="559"/>
      <c r="J20" s="559"/>
      <c r="K20" s="559"/>
      <c r="L20" s="559"/>
      <c r="M20" s="559"/>
      <c r="N20" s="559"/>
      <c r="O20" s="559"/>
      <c r="P20" s="559"/>
      <c r="R20" s="149"/>
    </row>
    <row r="21" spans="1:18" s="473" customFormat="1" ht="9.75" customHeight="1">
      <c r="A21" s="557" t="s">
        <v>455</v>
      </c>
      <c r="B21" s="563" t="s">
        <v>478</v>
      </c>
      <c r="C21" s="557"/>
      <c r="D21" s="470">
        <v>2007</v>
      </c>
      <c r="E21" s="558" t="s">
        <v>112</v>
      </c>
      <c r="F21" s="558" t="s">
        <v>112</v>
      </c>
      <c r="G21" s="558" t="s">
        <v>112</v>
      </c>
      <c r="H21" s="558" t="s">
        <v>112</v>
      </c>
      <c r="I21" s="558" t="s">
        <v>112</v>
      </c>
      <c r="J21" s="558" t="s">
        <v>112</v>
      </c>
      <c r="K21" s="558" t="s">
        <v>112</v>
      </c>
      <c r="L21" s="558" t="s">
        <v>112</v>
      </c>
      <c r="M21" s="558" t="s">
        <v>112</v>
      </c>
      <c r="N21" s="559">
        <v>1.32</v>
      </c>
      <c r="O21" s="559">
        <v>1.4</v>
      </c>
      <c r="P21" s="559">
        <v>1.42</v>
      </c>
      <c r="Q21" s="138"/>
      <c r="R21" s="535" t="s">
        <v>258</v>
      </c>
    </row>
    <row r="22" spans="1:18" ht="9.75" customHeight="1">
      <c r="A22" s="139"/>
      <c r="B22" s="139"/>
      <c r="C22" s="139"/>
      <c r="D22" s="144">
        <v>2008</v>
      </c>
      <c r="E22" s="559">
        <v>1.4</v>
      </c>
      <c r="F22" s="559">
        <v>1.41</v>
      </c>
      <c r="G22" s="559">
        <v>1.41</v>
      </c>
      <c r="H22" s="559">
        <v>1.41</v>
      </c>
      <c r="I22" s="559">
        <v>1.42</v>
      </c>
      <c r="J22" s="559">
        <v>1.44</v>
      </c>
      <c r="K22" s="559">
        <v>1.45</v>
      </c>
      <c r="L22" s="559">
        <v>1.43</v>
      </c>
      <c r="M22" s="559">
        <v>1.36</v>
      </c>
      <c r="N22" s="559">
        <v>1.4</v>
      </c>
      <c r="O22" s="559">
        <v>1.41</v>
      </c>
      <c r="P22" s="559">
        <v>1.31</v>
      </c>
      <c r="R22" s="149">
        <f>+((O22/O21)-1)*100</f>
        <v>0.7142857142857117</v>
      </c>
    </row>
    <row r="23" spans="1:18" ht="6.75" customHeight="1">
      <c r="A23" s="139"/>
      <c r="B23" s="139"/>
      <c r="C23" s="139"/>
      <c r="D23" s="144"/>
      <c r="E23" s="559"/>
      <c r="F23" s="559"/>
      <c r="G23" s="559"/>
      <c r="H23" s="559"/>
      <c r="I23" s="559"/>
      <c r="J23" s="559"/>
      <c r="K23" s="559"/>
      <c r="L23" s="559"/>
      <c r="M23" s="559"/>
      <c r="N23" s="559"/>
      <c r="O23" s="559"/>
      <c r="P23" s="559"/>
      <c r="R23" s="149"/>
    </row>
    <row r="24" spans="1:18" ht="9.75" customHeight="1">
      <c r="A24" s="557" t="s">
        <v>456</v>
      </c>
      <c r="B24" s="563" t="s">
        <v>478</v>
      </c>
      <c r="C24" s="557"/>
      <c r="D24" s="144">
        <v>2007</v>
      </c>
      <c r="E24" s="558" t="s">
        <v>112</v>
      </c>
      <c r="F24" s="558" t="s">
        <v>112</v>
      </c>
      <c r="G24" s="558" t="s">
        <v>112</v>
      </c>
      <c r="H24" s="558" t="s">
        <v>112</v>
      </c>
      <c r="I24" s="558" t="s">
        <v>112</v>
      </c>
      <c r="J24" s="558" t="s">
        <v>112</v>
      </c>
      <c r="K24" s="558" t="s">
        <v>112</v>
      </c>
      <c r="L24" s="558" t="s">
        <v>112</v>
      </c>
      <c r="M24" s="558" t="s">
        <v>112</v>
      </c>
      <c r="N24" s="559">
        <v>1.68</v>
      </c>
      <c r="O24" s="559">
        <v>1.71</v>
      </c>
      <c r="P24" s="559">
        <v>1.7</v>
      </c>
      <c r="R24" s="535" t="s">
        <v>258</v>
      </c>
    </row>
    <row r="25" spans="1:18" ht="9.75" customHeight="1">
      <c r="A25" s="557" t="s">
        <v>457</v>
      </c>
      <c r="B25" s="557"/>
      <c r="C25" s="557"/>
      <c r="D25" s="144">
        <v>2008</v>
      </c>
      <c r="E25" s="559">
        <v>1.69</v>
      </c>
      <c r="F25" s="559">
        <v>1.73</v>
      </c>
      <c r="G25" s="559">
        <v>1.61</v>
      </c>
      <c r="H25" s="559">
        <v>1.66</v>
      </c>
      <c r="I25" s="559">
        <v>1.74</v>
      </c>
      <c r="J25" s="559">
        <v>1.73</v>
      </c>
      <c r="K25" s="559">
        <v>1.76</v>
      </c>
      <c r="L25" s="559">
        <v>1.84</v>
      </c>
      <c r="M25" s="559">
        <v>1.74</v>
      </c>
      <c r="N25" s="559">
        <v>1.82</v>
      </c>
      <c r="O25" s="559">
        <v>1.8</v>
      </c>
      <c r="P25" s="559">
        <v>1.72</v>
      </c>
      <c r="R25" s="149">
        <f>+((O25/O24)-1)*100</f>
        <v>5.263157894736836</v>
      </c>
    </row>
    <row r="26" spans="1:16" ht="6" customHeight="1">
      <c r="A26" s="139"/>
      <c r="B26" s="139"/>
      <c r="C26" s="139"/>
      <c r="D26" s="139"/>
      <c r="E26" s="559"/>
      <c r="F26" s="559"/>
      <c r="G26" s="559"/>
      <c r="H26" s="559"/>
      <c r="I26" s="559"/>
      <c r="J26" s="559"/>
      <c r="K26" s="559"/>
      <c r="L26" s="559"/>
      <c r="M26" s="559"/>
      <c r="N26" s="559"/>
      <c r="O26" s="559"/>
      <c r="P26" s="559"/>
    </row>
    <row r="27" spans="1:18" ht="9.75" customHeight="1">
      <c r="A27" s="409" t="s">
        <v>115</v>
      </c>
      <c r="B27" s="563" t="s">
        <v>480</v>
      </c>
      <c r="C27" s="409"/>
      <c r="D27" s="144">
        <v>2007</v>
      </c>
      <c r="E27" s="558" t="s">
        <v>112</v>
      </c>
      <c r="F27" s="558" t="s">
        <v>112</v>
      </c>
      <c r="G27" s="558" t="s">
        <v>112</v>
      </c>
      <c r="H27" s="558" t="s">
        <v>112</v>
      </c>
      <c r="I27" s="558" t="s">
        <v>112</v>
      </c>
      <c r="J27" s="558" t="s">
        <v>112</v>
      </c>
      <c r="K27" s="558" t="s">
        <v>112</v>
      </c>
      <c r="L27" s="558" t="s">
        <v>112</v>
      </c>
      <c r="M27" s="558" t="s">
        <v>112</v>
      </c>
      <c r="N27" s="559">
        <v>1.09</v>
      </c>
      <c r="O27" s="559">
        <v>1.13</v>
      </c>
      <c r="P27" s="559">
        <v>1.15</v>
      </c>
      <c r="R27" s="535" t="s">
        <v>258</v>
      </c>
    </row>
    <row r="28" spans="1:18" ht="9.75" customHeight="1">
      <c r="A28" s="411"/>
      <c r="B28" s="411"/>
      <c r="C28" s="411"/>
      <c r="D28" s="144">
        <v>2008</v>
      </c>
      <c r="E28" s="559">
        <v>1.2</v>
      </c>
      <c r="F28" s="559">
        <v>1.15</v>
      </c>
      <c r="G28" s="559">
        <v>1.16</v>
      </c>
      <c r="H28" s="559">
        <v>1.13</v>
      </c>
      <c r="I28" s="559">
        <v>1.04</v>
      </c>
      <c r="J28" s="559">
        <v>1.1</v>
      </c>
      <c r="K28" s="559">
        <v>1.38</v>
      </c>
      <c r="L28" s="559">
        <v>1.19</v>
      </c>
      <c r="M28" s="559">
        <v>1.17</v>
      </c>
      <c r="N28" s="559">
        <v>1.22</v>
      </c>
      <c r="O28" s="559">
        <v>1.22</v>
      </c>
      <c r="P28" s="559">
        <v>1.32</v>
      </c>
      <c r="R28" s="149">
        <f>+((O28/O27)-1)*100</f>
        <v>7.964601769911517</v>
      </c>
    </row>
    <row r="29" spans="1:18" ht="6.75" customHeight="1">
      <c r="A29" s="411"/>
      <c r="B29" s="411"/>
      <c r="C29" s="411"/>
      <c r="D29" s="144"/>
      <c r="E29" s="559"/>
      <c r="F29" s="559"/>
      <c r="G29" s="559"/>
      <c r="H29" s="559"/>
      <c r="I29" s="559"/>
      <c r="J29" s="559"/>
      <c r="K29" s="559"/>
      <c r="L29" s="559"/>
      <c r="M29" s="559"/>
      <c r="N29" s="559"/>
      <c r="O29" s="559"/>
      <c r="P29" s="559"/>
      <c r="R29" s="149"/>
    </row>
    <row r="30" spans="1:18" ht="9.75" customHeight="1">
      <c r="A30" s="409" t="s">
        <v>69</v>
      </c>
      <c r="B30" s="563" t="s">
        <v>481</v>
      </c>
      <c r="C30" s="409"/>
      <c r="D30" s="144">
        <v>2007</v>
      </c>
      <c r="E30" s="558" t="s">
        <v>112</v>
      </c>
      <c r="F30" s="558" t="s">
        <v>112</v>
      </c>
      <c r="G30" s="558" t="s">
        <v>112</v>
      </c>
      <c r="H30" s="558" t="s">
        <v>112</v>
      </c>
      <c r="I30" s="558" t="s">
        <v>112</v>
      </c>
      <c r="J30" s="558" t="s">
        <v>112</v>
      </c>
      <c r="K30" s="558" t="s">
        <v>112</v>
      </c>
      <c r="L30" s="558" t="s">
        <v>112</v>
      </c>
      <c r="M30" s="558" t="s">
        <v>112</v>
      </c>
      <c r="N30" s="559">
        <v>0.47</v>
      </c>
      <c r="O30" s="559">
        <v>0.43</v>
      </c>
      <c r="P30" s="559">
        <v>0.36</v>
      </c>
      <c r="R30" s="535" t="s">
        <v>258</v>
      </c>
    </row>
    <row r="31" spans="1:18" ht="9.75" customHeight="1">
      <c r="A31" s="139"/>
      <c r="B31" s="139"/>
      <c r="C31" s="139"/>
      <c r="D31" s="144">
        <v>2008</v>
      </c>
      <c r="E31" s="559">
        <v>0.39</v>
      </c>
      <c r="F31" s="559">
        <v>0.54</v>
      </c>
      <c r="G31" s="559">
        <v>0.37</v>
      </c>
      <c r="H31" s="559">
        <v>0.41</v>
      </c>
      <c r="I31" s="559">
        <v>0.37</v>
      </c>
      <c r="J31" s="559">
        <v>0.37</v>
      </c>
      <c r="K31" s="559">
        <v>0.37</v>
      </c>
      <c r="L31" s="559">
        <v>0.37</v>
      </c>
      <c r="M31" s="559">
        <v>0.47</v>
      </c>
      <c r="N31" s="559">
        <v>0.45</v>
      </c>
      <c r="O31" s="559">
        <v>0.4</v>
      </c>
      <c r="P31" s="559">
        <v>0.31</v>
      </c>
      <c r="R31" s="149">
        <f>+((O31/O30)-1)*100</f>
        <v>-6.976744186046502</v>
      </c>
    </row>
    <row r="32" spans="1:18" ht="6" customHeight="1">
      <c r="A32" s="139"/>
      <c r="B32" s="139"/>
      <c r="C32" s="139"/>
      <c r="D32" s="144"/>
      <c r="E32" s="559"/>
      <c r="F32" s="559"/>
      <c r="G32" s="559"/>
      <c r="H32" s="559"/>
      <c r="I32" s="559"/>
      <c r="J32" s="559"/>
      <c r="K32" s="559"/>
      <c r="L32" s="559"/>
      <c r="M32" s="559"/>
      <c r="N32" s="559"/>
      <c r="O32" s="559"/>
      <c r="P32" s="559"/>
      <c r="R32" s="149"/>
    </row>
    <row r="33" spans="1:18" ht="9.75" customHeight="1">
      <c r="A33" s="409" t="s">
        <v>70</v>
      </c>
      <c r="B33" s="563" t="s">
        <v>480</v>
      </c>
      <c r="C33" s="409"/>
      <c r="D33" s="144">
        <v>2007</v>
      </c>
      <c r="E33" s="558" t="s">
        <v>112</v>
      </c>
      <c r="F33" s="558" t="s">
        <v>112</v>
      </c>
      <c r="G33" s="558" t="s">
        <v>112</v>
      </c>
      <c r="H33" s="558" t="s">
        <v>112</v>
      </c>
      <c r="I33" s="558" t="s">
        <v>112</v>
      </c>
      <c r="J33" s="558" t="s">
        <v>112</v>
      </c>
      <c r="K33" s="558" t="s">
        <v>112</v>
      </c>
      <c r="L33" s="558" t="s">
        <v>112</v>
      </c>
      <c r="M33" s="558" t="s">
        <v>112</v>
      </c>
      <c r="N33" s="559">
        <v>0.52</v>
      </c>
      <c r="O33" s="559">
        <v>0.58</v>
      </c>
      <c r="P33" s="559">
        <v>0.59</v>
      </c>
      <c r="R33" s="535" t="s">
        <v>258</v>
      </c>
    </row>
    <row r="34" spans="1:18" s="473" customFormat="1" ht="9.75" customHeight="1">
      <c r="A34" s="513"/>
      <c r="B34" s="513"/>
      <c r="C34" s="513"/>
      <c r="D34" s="470">
        <v>2008</v>
      </c>
      <c r="E34" s="559">
        <v>0.67</v>
      </c>
      <c r="F34" s="559">
        <v>0.6</v>
      </c>
      <c r="G34" s="559">
        <v>0.62</v>
      </c>
      <c r="H34" s="559">
        <v>0.6</v>
      </c>
      <c r="I34" s="559">
        <v>0.57</v>
      </c>
      <c r="J34" s="559">
        <v>0.6</v>
      </c>
      <c r="K34" s="559">
        <v>0.62</v>
      </c>
      <c r="L34" s="559">
        <v>0.62</v>
      </c>
      <c r="M34" s="559">
        <v>0.62</v>
      </c>
      <c r="N34" s="559">
        <v>0.65</v>
      </c>
      <c r="O34" s="559">
        <v>0.64</v>
      </c>
      <c r="P34" s="559">
        <v>0.71</v>
      </c>
      <c r="Q34" s="138"/>
      <c r="R34" s="149">
        <f>+((O34/O33)-1)*100</f>
        <v>10.344827586206918</v>
      </c>
    </row>
    <row r="35" spans="1:18" s="473" customFormat="1" ht="6" customHeight="1">
      <c r="A35" s="513"/>
      <c r="B35" s="513"/>
      <c r="C35" s="513"/>
      <c r="D35" s="470"/>
      <c r="E35" s="560"/>
      <c r="F35" s="560"/>
      <c r="G35" s="560"/>
      <c r="H35" s="560"/>
      <c r="I35" s="560"/>
      <c r="J35" s="560"/>
      <c r="K35" s="560"/>
      <c r="L35" s="560"/>
      <c r="M35" s="560"/>
      <c r="N35" s="560"/>
      <c r="O35" s="560"/>
      <c r="P35" s="560"/>
      <c r="R35" s="535"/>
    </row>
    <row r="36" spans="1:18" ht="9.75" customHeight="1">
      <c r="A36" s="409" t="s">
        <v>458</v>
      </c>
      <c r="B36" s="563" t="s">
        <v>482</v>
      </c>
      <c r="C36" s="409"/>
      <c r="D36" s="144">
        <v>2007</v>
      </c>
      <c r="E36" s="558" t="s">
        <v>112</v>
      </c>
      <c r="F36" s="558" t="s">
        <v>112</v>
      </c>
      <c r="G36" s="558" t="s">
        <v>112</v>
      </c>
      <c r="H36" s="558" t="s">
        <v>112</v>
      </c>
      <c r="I36" s="558" t="s">
        <v>112</v>
      </c>
      <c r="J36" s="558" t="s">
        <v>112</v>
      </c>
      <c r="K36" s="558" t="s">
        <v>112</v>
      </c>
      <c r="L36" s="558" t="s">
        <v>112</v>
      </c>
      <c r="M36" s="558" t="s">
        <v>112</v>
      </c>
      <c r="N36" s="559">
        <v>0.94</v>
      </c>
      <c r="O36" s="559">
        <v>0.86</v>
      </c>
      <c r="P36" s="559">
        <v>1</v>
      </c>
      <c r="R36" s="535" t="s">
        <v>258</v>
      </c>
    </row>
    <row r="37" spans="1:18" ht="9.75" customHeight="1">
      <c r="A37" s="410" t="s">
        <v>459</v>
      </c>
      <c r="B37" s="563"/>
      <c r="C37" s="410"/>
      <c r="D37" s="144">
        <v>2008</v>
      </c>
      <c r="E37" s="559">
        <v>0.98</v>
      </c>
      <c r="F37" s="559">
        <v>0.96</v>
      </c>
      <c r="G37" s="559">
        <v>0.91</v>
      </c>
      <c r="H37" s="559">
        <v>0.99</v>
      </c>
      <c r="I37" s="559">
        <v>0.93</v>
      </c>
      <c r="J37" s="559">
        <v>1</v>
      </c>
      <c r="K37" s="559">
        <v>0.98</v>
      </c>
      <c r="L37" s="559">
        <v>0.99</v>
      </c>
      <c r="M37" s="559">
        <v>1.03</v>
      </c>
      <c r="N37" s="559">
        <v>0.96</v>
      </c>
      <c r="O37" s="559">
        <v>0.92</v>
      </c>
      <c r="P37" s="559">
        <v>0.98</v>
      </c>
      <c r="R37" s="149">
        <f>+((O37/O36)-1)*100</f>
        <v>6.976744186046524</v>
      </c>
    </row>
    <row r="38" spans="1:18" ht="6" customHeight="1">
      <c r="A38" s="410"/>
      <c r="B38" s="410"/>
      <c r="C38" s="410"/>
      <c r="D38" s="144"/>
      <c r="E38" s="559"/>
      <c r="F38" s="559"/>
      <c r="G38" s="559"/>
      <c r="H38" s="559"/>
      <c r="I38" s="559"/>
      <c r="J38" s="559"/>
      <c r="K38" s="559"/>
      <c r="L38" s="559"/>
      <c r="M38" s="559"/>
      <c r="N38" s="559"/>
      <c r="O38" s="559"/>
      <c r="P38" s="559"/>
      <c r="Q38" s="145"/>
      <c r="R38" s="149"/>
    </row>
    <row r="39" spans="1:18" ht="9.75" customHeight="1">
      <c r="A39" s="409" t="s">
        <v>458</v>
      </c>
      <c r="B39" s="563" t="s">
        <v>480</v>
      </c>
      <c r="C39" s="409"/>
      <c r="D39" s="144">
        <v>2007</v>
      </c>
      <c r="E39" s="558" t="s">
        <v>112</v>
      </c>
      <c r="F39" s="558" t="s">
        <v>112</v>
      </c>
      <c r="G39" s="558" t="s">
        <v>112</v>
      </c>
      <c r="H39" s="558" t="s">
        <v>112</v>
      </c>
      <c r="I39" s="558" t="s">
        <v>112</v>
      </c>
      <c r="J39" s="558" t="s">
        <v>112</v>
      </c>
      <c r="K39" s="558" t="s">
        <v>112</v>
      </c>
      <c r="L39" s="558" t="s">
        <v>112</v>
      </c>
      <c r="M39" s="558" t="s">
        <v>112</v>
      </c>
      <c r="N39" s="559">
        <v>1.29</v>
      </c>
      <c r="O39" s="559">
        <v>1.19</v>
      </c>
      <c r="P39" s="559">
        <v>1.19</v>
      </c>
      <c r="R39" s="535" t="s">
        <v>258</v>
      </c>
    </row>
    <row r="40" spans="1:18" ht="9.75" customHeight="1">
      <c r="A40" s="409" t="s">
        <v>460</v>
      </c>
      <c r="B40" s="563"/>
      <c r="C40" s="409"/>
      <c r="D40" s="144">
        <v>2008</v>
      </c>
      <c r="E40" s="559">
        <v>1.11</v>
      </c>
      <c r="F40" s="559">
        <v>1.13</v>
      </c>
      <c r="G40" s="559">
        <v>1.32</v>
      </c>
      <c r="H40" s="559">
        <v>1.05</v>
      </c>
      <c r="I40" s="559">
        <v>1.04</v>
      </c>
      <c r="J40" s="559">
        <v>1.07</v>
      </c>
      <c r="K40" s="559">
        <v>1.12</v>
      </c>
      <c r="L40" s="559">
        <v>1.15</v>
      </c>
      <c r="M40" s="559">
        <v>1.29</v>
      </c>
      <c r="N40" s="559">
        <v>1.14</v>
      </c>
      <c r="O40" s="559">
        <v>1.06</v>
      </c>
      <c r="P40" s="559">
        <v>1.32</v>
      </c>
      <c r="R40" s="149">
        <f>+((O40/O39)-1)*100</f>
        <v>-10.924369747899155</v>
      </c>
    </row>
    <row r="41" spans="1:18" ht="7.5" customHeight="1">
      <c r="A41" s="409"/>
      <c r="B41" s="409"/>
      <c r="C41" s="409"/>
      <c r="D41" s="144"/>
      <c r="E41" s="559"/>
      <c r="F41" s="559"/>
      <c r="G41" s="559"/>
      <c r="H41" s="559"/>
      <c r="I41" s="559"/>
      <c r="J41" s="559"/>
      <c r="K41" s="559"/>
      <c r="L41" s="559"/>
      <c r="M41" s="559"/>
      <c r="N41" s="559"/>
      <c r="O41" s="559"/>
      <c r="P41" s="559"/>
      <c r="Q41" s="145"/>
      <c r="R41" s="149"/>
    </row>
    <row r="42" spans="1:18" ht="9.75" customHeight="1">
      <c r="A42" s="409" t="s">
        <v>462</v>
      </c>
      <c r="B42" s="563" t="s">
        <v>483</v>
      </c>
      <c r="C42" s="409"/>
      <c r="D42" s="144">
        <v>2004</v>
      </c>
      <c r="E42" s="558" t="s">
        <v>112</v>
      </c>
      <c r="F42" s="558" t="s">
        <v>112</v>
      </c>
      <c r="G42" s="558" t="s">
        <v>112</v>
      </c>
      <c r="H42" s="558" t="s">
        <v>112</v>
      </c>
      <c r="I42" s="558" t="s">
        <v>112</v>
      </c>
      <c r="J42" s="558" t="s">
        <v>112</v>
      </c>
      <c r="K42" s="558" t="s">
        <v>112</v>
      </c>
      <c r="L42" s="558" t="s">
        <v>112</v>
      </c>
      <c r="M42" s="558" t="s">
        <v>112</v>
      </c>
      <c r="N42" s="559">
        <v>1.8</v>
      </c>
      <c r="O42" s="559">
        <v>1.62</v>
      </c>
      <c r="P42" s="559">
        <v>1.7</v>
      </c>
      <c r="R42" s="535" t="s">
        <v>258</v>
      </c>
    </row>
    <row r="43" spans="1:18" ht="9.75" customHeight="1">
      <c r="A43" s="410" t="s">
        <v>461</v>
      </c>
      <c r="B43" s="410"/>
      <c r="C43" s="410"/>
      <c r="D43" s="144">
        <v>2005</v>
      </c>
      <c r="E43" s="559">
        <v>1.66</v>
      </c>
      <c r="F43" s="559">
        <v>1.69</v>
      </c>
      <c r="G43" s="559">
        <v>1.71</v>
      </c>
      <c r="H43" s="559">
        <v>1.66</v>
      </c>
      <c r="I43" s="559">
        <v>1.8</v>
      </c>
      <c r="J43" s="559">
        <v>1.77</v>
      </c>
      <c r="K43" s="559">
        <v>1.71</v>
      </c>
      <c r="L43" s="559">
        <v>1.77</v>
      </c>
      <c r="M43" s="559">
        <v>1.71</v>
      </c>
      <c r="N43" s="559">
        <v>1.71</v>
      </c>
      <c r="O43" s="559">
        <v>1.76</v>
      </c>
      <c r="P43" s="559">
        <v>1.63</v>
      </c>
      <c r="R43" s="149">
        <f>+((O43/O42)-1)*100</f>
        <v>8.64197530864197</v>
      </c>
    </row>
    <row r="44" spans="1:18" ht="6.75" customHeight="1">
      <c r="A44" s="410"/>
      <c r="B44" s="410"/>
      <c r="C44" s="410"/>
      <c r="D44" s="144"/>
      <c r="E44" s="559"/>
      <c r="F44" s="559"/>
      <c r="G44" s="559"/>
      <c r="H44" s="559"/>
      <c r="I44" s="559"/>
      <c r="J44" s="559"/>
      <c r="K44" s="559"/>
      <c r="L44" s="559"/>
      <c r="M44" s="559"/>
      <c r="N44" s="559"/>
      <c r="O44" s="559"/>
      <c r="P44" s="559"/>
      <c r="Q44" s="145"/>
      <c r="R44" s="149"/>
    </row>
    <row r="45" spans="1:18" ht="9.75" customHeight="1">
      <c r="A45" s="409" t="s">
        <v>463</v>
      </c>
      <c r="B45" s="563" t="s">
        <v>484</v>
      </c>
      <c r="C45" s="409"/>
      <c r="D45" s="470">
        <v>2007</v>
      </c>
      <c r="E45" s="558" t="s">
        <v>112</v>
      </c>
      <c r="F45" s="558" t="s">
        <v>112</v>
      </c>
      <c r="G45" s="558" t="s">
        <v>112</v>
      </c>
      <c r="H45" s="558" t="s">
        <v>112</v>
      </c>
      <c r="I45" s="558" t="s">
        <v>112</v>
      </c>
      <c r="J45" s="558" t="s">
        <v>112</v>
      </c>
      <c r="K45" s="558" t="s">
        <v>112</v>
      </c>
      <c r="L45" s="558" t="s">
        <v>112</v>
      </c>
      <c r="M45" s="558" t="s">
        <v>112</v>
      </c>
      <c r="N45" s="559">
        <v>1.79</v>
      </c>
      <c r="O45" s="559">
        <v>1.66</v>
      </c>
      <c r="P45" s="559">
        <v>1.7</v>
      </c>
      <c r="R45" s="535" t="s">
        <v>258</v>
      </c>
    </row>
    <row r="46" spans="1:18" s="473" customFormat="1" ht="9.75" customHeight="1">
      <c r="A46" s="409" t="s">
        <v>464</v>
      </c>
      <c r="B46" s="409"/>
      <c r="C46" s="409"/>
      <c r="D46" s="470">
        <v>2008</v>
      </c>
      <c r="E46" s="559">
        <v>1.7</v>
      </c>
      <c r="F46" s="559">
        <v>1.59</v>
      </c>
      <c r="G46" s="559">
        <v>1.64</v>
      </c>
      <c r="H46" s="559">
        <v>1.56</v>
      </c>
      <c r="I46" s="559">
        <v>1.71</v>
      </c>
      <c r="J46" s="559">
        <v>1.75</v>
      </c>
      <c r="K46" s="559">
        <v>1.83</v>
      </c>
      <c r="L46" s="559">
        <v>1.86</v>
      </c>
      <c r="M46" s="559">
        <v>1.87</v>
      </c>
      <c r="N46" s="559">
        <v>1.89</v>
      </c>
      <c r="O46" s="559">
        <v>1.79</v>
      </c>
      <c r="P46" s="559">
        <v>1.91</v>
      </c>
      <c r="Q46" s="138"/>
      <c r="R46" s="149">
        <f>+((O46/O45)-1)*100</f>
        <v>7.831325301204828</v>
      </c>
    </row>
    <row r="47" spans="1:18" s="473" customFormat="1" ht="6" customHeight="1">
      <c r="A47" s="409"/>
      <c r="B47" s="409"/>
      <c r="C47" s="409"/>
      <c r="D47" s="470"/>
      <c r="E47" s="560"/>
      <c r="F47" s="560"/>
      <c r="G47" s="560"/>
      <c r="H47" s="560"/>
      <c r="I47" s="560"/>
      <c r="J47" s="560"/>
      <c r="K47" s="560"/>
      <c r="L47" s="560"/>
      <c r="M47" s="560"/>
      <c r="N47" s="560"/>
      <c r="O47" s="560"/>
      <c r="P47" s="560"/>
      <c r="Q47" s="472"/>
      <c r="R47" s="149"/>
    </row>
    <row r="48" spans="1:18" s="473" customFormat="1" ht="9.75" customHeight="1">
      <c r="A48" s="409" t="s">
        <v>465</v>
      </c>
      <c r="B48" s="563" t="s">
        <v>478</v>
      </c>
      <c r="C48" s="409"/>
      <c r="D48" s="470">
        <v>2007</v>
      </c>
      <c r="E48" s="558" t="s">
        <v>112</v>
      </c>
      <c r="F48" s="558" t="s">
        <v>112</v>
      </c>
      <c r="G48" s="558" t="s">
        <v>112</v>
      </c>
      <c r="H48" s="558" t="s">
        <v>112</v>
      </c>
      <c r="I48" s="558" t="s">
        <v>112</v>
      </c>
      <c r="J48" s="558" t="s">
        <v>112</v>
      </c>
      <c r="K48" s="558" t="s">
        <v>112</v>
      </c>
      <c r="L48" s="558" t="s">
        <v>112</v>
      </c>
      <c r="M48" s="558" t="s">
        <v>112</v>
      </c>
      <c r="N48" s="559">
        <v>1.03</v>
      </c>
      <c r="O48" s="559">
        <v>1.06</v>
      </c>
      <c r="P48" s="559">
        <v>1.12</v>
      </c>
      <c r="Q48" s="138"/>
      <c r="R48" s="535" t="s">
        <v>258</v>
      </c>
    </row>
    <row r="49" spans="1:18" s="473" customFormat="1" ht="9.75" customHeight="1">
      <c r="A49" s="409" t="s">
        <v>464</v>
      </c>
      <c r="B49" s="409"/>
      <c r="C49" s="409"/>
      <c r="D49" s="470">
        <v>2008</v>
      </c>
      <c r="E49" s="559">
        <v>1.13</v>
      </c>
      <c r="F49" s="559">
        <v>1.18</v>
      </c>
      <c r="G49" s="559">
        <v>1.11</v>
      </c>
      <c r="H49" s="559">
        <v>0.95</v>
      </c>
      <c r="I49" s="559">
        <v>0.93</v>
      </c>
      <c r="J49" s="559">
        <v>0.97</v>
      </c>
      <c r="K49" s="559">
        <v>1.07</v>
      </c>
      <c r="L49" s="559">
        <v>1.09</v>
      </c>
      <c r="M49" s="559">
        <v>1.09</v>
      </c>
      <c r="N49" s="559">
        <v>1.18</v>
      </c>
      <c r="O49" s="559">
        <v>1.26</v>
      </c>
      <c r="P49" s="559">
        <v>1.09</v>
      </c>
      <c r="Q49" s="138"/>
      <c r="R49" s="149">
        <f>+((O49/O48)-1)*100</f>
        <v>18.867924528301884</v>
      </c>
    </row>
    <row r="50" spans="1:18" s="473" customFormat="1" ht="6" customHeight="1">
      <c r="A50" s="409"/>
      <c r="B50" s="409"/>
      <c r="C50" s="409"/>
      <c r="D50" s="470"/>
      <c r="E50" s="560"/>
      <c r="F50" s="560"/>
      <c r="G50" s="560"/>
      <c r="H50" s="560"/>
      <c r="I50" s="560"/>
      <c r="J50" s="560"/>
      <c r="K50" s="560"/>
      <c r="L50" s="560"/>
      <c r="M50" s="560"/>
      <c r="N50" s="560"/>
      <c r="O50" s="560"/>
      <c r="P50" s="560"/>
      <c r="Q50" s="472"/>
      <c r="R50" s="149"/>
    </row>
    <row r="51" spans="1:18" s="473" customFormat="1" ht="9.75" customHeight="1">
      <c r="A51" s="409" t="s">
        <v>466</v>
      </c>
      <c r="B51" s="563" t="s">
        <v>478</v>
      </c>
      <c r="C51" s="409"/>
      <c r="D51" s="470">
        <v>2007</v>
      </c>
      <c r="E51" s="558" t="s">
        <v>112</v>
      </c>
      <c r="F51" s="558" t="s">
        <v>112</v>
      </c>
      <c r="G51" s="558" t="s">
        <v>112</v>
      </c>
      <c r="H51" s="558" t="s">
        <v>112</v>
      </c>
      <c r="I51" s="558" t="s">
        <v>112</v>
      </c>
      <c r="J51" s="558" t="s">
        <v>112</v>
      </c>
      <c r="K51" s="558" t="s">
        <v>112</v>
      </c>
      <c r="L51" s="558" t="s">
        <v>112</v>
      </c>
      <c r="M51" s="558" t="s">
        <v>112</v>
      </c>
      <c r="N51" s="559">
        <v>1.29</v>
      </c>
      <c r="O51" s="559">
        <v>1.31</v>
      </c>
      <c r="P51" s="559">
        <v>1.25</v>
      </c>
      <c r="Q51" s="138"/>
      <c r="R51" s="535" t="s">
        <v>258</v>
      </c>
    </row>
    <row r="52" spans="1:18" ht="9.75" customHeight="1">
      <c r="A52" s="409" t="s">
        <v>467</v>
      </c>
      <c r="B52" s="409"/>
      <c r="C52" s="409"/>
      <c r="D52" s="470">
        <v>2008</v>
      </c>
      <c r="E52" s="559">
        <v>1.43</v>
      </c>
      <c r="F52" s="559">
        <v>1.44</v>
      </c>
      <c r="G52" s="559">
        <v>1.47</v>
      </c>
      <c r="H52" s="559">
        <v>1.37</v>
      </c>
      <c r="I52" s="559">
        <v>1.39</v>
      </c>
      <c r="J52" s="559">
        <v>1.47</v>
      </c>
      <c r="K52" s="559">
        <v>1.59</v>
      </c>
      <c r="L52" s="559">
        <v>1.39</v>
      </c>
      <c r="M52" s="559">
        <v>1.49</v>
      </c>
      <c r="N52" s="559">
        <v>1.49</v>
      </c>
      <c r="O52" s="559">
        <v>1.44</v>
      </c>
      <c r="P52" s="559">
        <v>1.51</v>
      </c>
      <c r="R52" s="149">
        <f>+((O52/O51)-1)*100</f>
        <v>9.923664122137389</v>
      </c>
    </row>
    <row r="53" spans="1:18" ht="6" customHeight="1">
      <c r="A53" s="144"/>
      <c r="B53" s="144"/>
      <c r="C53" s="144"/>
      <c r="D53" s="144"/>
      <c r="E53" s="559"/>
      <c r="F53" s="559"/>
      <c r="G53" s="559"/>
      <c r="H53" s="559"/>
      <c r="I53" s="559"/>
      <c r="J53" s="559"/>
      <c r="K53" s="559"/>
      <c r="L53" s="559"/>
      <c r="M53" s="559"/>
      <c r="N53" s="559"/>
      <c r="O53" s="559"/>
      <c r="P53" s="559"/>
      <c r="Q53" s="145"/>
      <c r="R53" s="149"/>
    </row>
    <row r="54" spans="1:18" s="473" customFormat="1" ht="10.5" customHeight="1">
      <c r="A54" s="409" t="s">
        <v>466</v>
      </c>
      <c r="B54" s="563" t="s">
        <v>478</v>
      </c>
      <c r="C54" s="409"/>
      <c r="D54" s="470">
        <v>2007</v>
      </c>
      <c r="E54" s="558" t="s">
        <v>112</v>
      </c>
      <c r="F54" s="558" t="s">
        <v>112</v>
      </c>
      <c r="G54" s="558" t="s">
        <v>112</v>
      </c>
      <c r="H54" s="558" t="s">
        <v>112</v>
      </c>
      <c r="I54" s="558" t="s">
        <v>112</v>
      </c>
      <c r="J54" s="558" t="s">
        <v>112</v>
      </c>
      <c r="K54" s="558" t="s">
        <v>112</v>
      </c>
      <c r="L54" s="558" t="s">
        <v>112</v>
      </c>
      <c r="M54" s="558" t="s">
        <v>112</v>
      </c>
      <c r="N54" s="559">
        <v>1.67</v>
      </c>
      <c r="O54" s="559">
        <v>2.71</v>
      </c>
      <c r="P54" s="559">
        <v>2.53</v>
      </c>
      <c r="Q54" s="138"/>
      <c r="R54" s="535" t="s">
        <v>258</v>
      </c>
    </row>
    <row r="55" spans="1:18" ht="10.5" customHeight="1">
      <c r="A55" s="410" t="s">
        <v>468</v>
      </c>
      <c r="B55" s="410"/>
      <c r="C55" s="410"/>
      <c r="D55" s="470">
        <v>2008</v>
      </c>
      <c r="E55" s="559">
        <v>2.54</v>
      </c>
      <c r="F55" s="559">
        <v>2.37</v>
      </c>
      <c r="G55" s="559">
        <v>2.93</v>
      </c>
      <c r="H55" s="559">
        <v>2.45</v>
      </c>
      <c r="I55" s="559">
        <v>2.57</v>
      </c>
      <c r="J55" s="559">
        <v>2.45</v>
      </c>
      <c r="K55" s="559">
        <v>2.58</v>
      </c>
      <c r="L55" s="559">
        <v>2.49</v>
      </c>
      <c r="M55" s="559">
        <v>2.18</v>
      </c>
      <c r="N55" s="559">
        <v>2.48</v>
      </c>
      <c r="O55" s="559">
        <v>2.53</v>
      </c>
      <c r="P55" s="559">
        <v>2.65</v>
      </c>
      <c r="R55" s="149">
        <f>+((O55/O54)-1)*100</f>
        <v>-6.642066420664216</v>
      </c>
    </row>
    <row r="56" spans="1:18" ht="8.25" customHeight="1">
      <c r="A56" s="146"/>
      <c r="B56" s="146"/>
      <c r="C56" s="146"/>
      <c r="D56" s="144"/>
      <c r="E56" s="559"/>
      <c r="F56" s="559"/>
      <c r="G56" s="559"/>
      <c r="H56" s="559"/>
      <c r="I56" s="559"/>
      <c r="J56" s="559"/>
      <c r="K56" s="559"/>
      <c r="L56" s="559"/>
      <c r="M56" s="559"/>
      <c r="N56" s="559"/>
      <c r="O56" s="559"/>
      <c r="P56" s="559"/>
      <c r="Q56" s="145"/>
      <c r="R56" s="149"/>
    </row>
    <row r="57" spans="1:18" ht="9.75" customHeight="1">
      <c r="A57" s="409" t="s">
        <v>469</v>
      </c>
      <c r="B57" s="563" t="s">
        <v>478</v>
      </c>
      <c r="C57" s="409"/>
      <c r="D57" s="144">
        <v>2007</v>
      </c>
      <c r="E57" s="558" t="s">
        <v>112</v>
      </c>
      <c r="F57" s="558" t="s">
        <v>112</v>
      </c>
      <c r="G57" s="558" t="s">
        <v>112</v>
      </c>
      <c r="H57" s="558" t="s">
        <v>112</v>
      </c>
      <c r="I57" s="558" t="s">
        <v>112</v>
      </c>
      <c r="J57" s="558" t="s">
        <v>112</v>
      </c>
      <c r="K57" s="558" t="s">
        <v>112</v>
      </c>
      <c r="L57" s="558" t="s">
        <v>112</v>
      </c>
      <c r="M57" s="558" t="s">
        <v>112</v>
      </c>
      <c r="N57" s="559">
        <v>1</v>
      </c>
      <c r="O57" s="559">
        <v>1.21</v>
      </c>
      <c r="P57" s="559">
        <v>1.17</v>
      </c>
      <c r="R57" s="535" t="s">
        <v>258</v>
      </c>
    </row>
    <row r="58" spans="1:18" s="473" customFormat="1" ht="9.75" customHeight="1">
      <c r="A58" s="515" t="s">
        <v>470</v>
      </c>
      <c r="B58" s="515"/>
      <c r="C58" s="515"/>
      <c r="D58" s="470">
        <v>2008</v>
      </c>
      <c r="E58" s="559">
        <v>1.23</v>
      </c>
      <c r="F58" s="559">
        <v>1.2</v>
      </c>
      <c r="G58" s="559">
        <v>1.16</v>
      </c>
      <c r="H58" s="559">
        <v>1.2</v>
      </c>
      <c r="I58" s="559">
        <v>1.24</v>
      </c>
      <c r="J58" s="559">
        <v>1.19</v>
      </c>
      <c r="K58" s="559">
        <v>1.2</v>
      </c>
      <c r="L58" s="559">
        <v>1.17</v>
      </c>
      <c r="M58" s="559">
        <v>1.15</v>
      </c>
      <c r="N58" s="559">
        <v>1.22</v>
      </c>
      <c r="O58" s="559">
        <v>1.31</v>
      </c>
      <c r="P58" s="559">
        <v>1.46</v>
      </c>
      <c r="Q58" s="138"/>
      <c r="R58" s="149">
        <f>+((O58/O57)-1)*100</f>
        <v>8.264462809917372</v>
      </c>
    </row>
    <row r="59" spans="1:18" s="473" customFormat="1" ht="7.5" customHeight="1">
      <c r="A59" s="515"/>
      <c r="B59" s="515"/>
      <c r="C59" s="515"/>
      <c r="D59" s="470"/>
      <c r="E59" s="561"/>
      <c r="F59" s="561"/>
      <c r="G59" s="561"/>
      <c r="H59" s="561"/>
      <c r="I59" s="560"/>
      <c r="J59" s="560"/>
      <c r="K59" s="560"/>
      <c r="L59" s="560"/>
      <c r="M59" s="560"/>
      <c r="N59" s="560"/>
      <c r="O59" s="560"/>
      <c r="P59" s="560"/>
      <c r="Q59" s="472"/>
      <c r="R59" s="471"/>
    </row>
    <row r="60" spans="1:19" ht="9.75" customHeight="1">
      <c r="A60" s="409" t="s">
        <v>471</v>
      </c>
      <c r="B60" s="563" t="s">
        <v>478</v>
      </c>
      <c r="C60" s="409"/>
      <c r="D60" s="470">
        <v>2007</v>
      </c>
      <c r="E60" s="558" t="s">
        <v>112</v>
      </c>
      <c r="F60" s="558" t="s">
        <v>112</v>
      </c>
      <c r="G60" s="558" t="s">
        <v>112</v>
      </c>
      <c r="H60" s="558" t="s">
        <v>112</v>
      </c>
      <c r="I60" s="558" t="s">
        <v>112</v>
      </c>
      <c r="J60" s="558" t="s">
        <v>112</v>
      </c>
      <c r="K60" s="558" t="s">
        <v>112</v>
      </c>
      <c r="L60" s="558" t="s">
        <v>112</v>
      </c>
      <c r="M60" s="558" t="s">
        <v>112</v>
      </c>
      <c r="N60" s="559">
        <v>0.66</v>
      </c>
      <c r="O60" s="559">
        <v>0.68</v>
      </c>
      <c r="P60" s="559">
        <v>0.79</v>
      </c>
      <c r="R60" s="535" t="s">
        <v>258</v>
      </c>
      <c r="S60" s="473"/>
    </row>
    <row r="61" spans="1:20" ht="9.75" customHeight="1">
      <c r="A61" s="410" t="s">
        <v>472</v>
      </c>
      <c r="B61" s="410"/>
      <c r="C61" s="410"/>
      <c r="D61" s="470">
        <v>2008</v>
      </c>
      <c r="E61" s="559">
        <v>0.86</v>
      </c>
      <c r="F61" s="559">
        <v>0.85</v>
      </c>
      <c r="G61" s="559">
        <v>0.76</v>
      </c>
      <c r="H61" s="559">
        <v>0.86</v>
      </c>
      <c r="I61" s="559">
        <v>0.87</v>
      </c>
      <c r="J61" s="559">
        <v>0.84</v>
      </c>
      <c r="K61" s="559">
        <v>0.78</v>
      </c>
      <c r="L61" s="559">
        <v>0.8</v>
      </c>
      <c r="M61" s="559">
        <v>0.87</v>
      </c>
      <c r="N61" s="559">
        <v>0.87</v>
      </c>
      <c r="O61" s="559">
        <v>0.73</v>
      </c>
      <c r="P61" s="559">
        <v>0.83</v>
      </c>
      <c r="R61" s="149">
        <f>+((O61/O60)-1)*100</f>
        <v>7.352941176470584</v>
      </c>
      <c r="T61" s="473"/>
    </row>
    <row r="62" spans="1:18" ht="8.25" customHeight="1">
      <c r="A62" s="146"/>
      <c r="B62" s="146"/>
      <c r="C62" s="146"/>
      <c r="D62" s="144"/>
      <c r="E62" s="559"/>
      <c r="F62" s="559"/>
      <c r="G62" s="559"/>
      <c r="H62" s="559"/>
      <c r="I62" s="559"/>
      <c r="J62" s="559"/>
      <c r="K62" s="559"/>
      <c r="L62" s="559"/>
      <c r="M62" s="559"/>
      <c r="N62" s="559"/>
      <c r="O62" s="559"/>
      <c r="P62" s="559"/>
      <c r="Q62" s="145"/>
      <c r="R62" s="149"/>
    </row>
    <row r="63" spans="1:18" s="473" customFormat="1" ht="9.75" customHeight="1">
      <c r="A63" s="514" t="s">
        <v>78</v>
      </c>
      <c r="B63" s="563" t="s">
        <v>478</v>
      </c>
      <c r="C63" s="514"/>
      <c r="D63" s="470">
        <v>2007</v>
      </c>
      <c r="E63" s="558" t="s">
        <v>112</v>
      </c>
      <c r="F63" s="558" t="s">
        <v>112</v>
      </c>
      <c r="G63" s="558" t="s">
        <v>112</v>
      </c>
      <c r="H63" s="558" t="s">
        <v>112</v>
      </c>
      <c r="I63" s="558" t="s">
        <v>112</v>
      </c>
      <c r="J63" s="558" t="s">
        <v>112</v>
      </c>
      <c r="K63" s="558" t="s">
        <v>112</v>
      </c>
      <c r="L63" s="558" t="s">
        <v>112</v>
      </c>
      <c r="M63" s="558" t="s">
        <v>112</v>
      </c>
      <c r="N63" s="559">
        <v>1.84</v>
      </c>
      <c r="O63" s="559">
        <v>1.78</v>
      </c>
      <c r="P63" s="559">
        <v>2.54</v>
      </c>
      <c r="Q63" s="138"/>
      <c r="R63" s="535" t="s">
        <v>258</v>
      </c>
    </row>
    <row r="64" spans="1:18" ht="9.75" customHeight="1">
      <c r="A64" s="410"/>
      <c r="B64" s="410"/>
      <c r="C64" s="410"/>
      <c r="D64" s="470">
        <v>2008</v>
      </c>
      <c r="E64" s="559">
        <v>2.15</v>
      </c>
      <c r="F64" s="559">
        <v>1.66</v>
      </c>
      <c r="G64" s="559">
        <v>1.89</v>
      </c>
      <c r="H64" s="559">
        <v>1.65</v>
      </c>
      <c r="I64" s="559">
        <v>1.46</v>
      </c>
      <c r="J64" s="559">
        <v>1.57</v>
      </c>
      <c r="K64" s="559">
        <v>1.48</v>
      </c>
      <c r="L64" s="559">
        <v>1.46</v>
      </c>
      <c r="M64" s="559">
        <v>1.33</v>
      </c>
      <c r="N64" s="559">
        <v>1.47</v>
      </c>
      <c r="O64" s="559">
        <v>1.67</v>
      </c>
      <c r="P64" s="559">
        <v>1.65</v>
      </c>
      <c r="R64" s="149">
        <f>+((O64/O63)-1)*100</f>
        <v>-6.17977528089888</v>
      </c>
    </row>
    <row r="65" spans="1:18" ht="6" customHeight="1">
      <c r="A65" s="410"/>
      <c r="B65" s="410"/>
      <c r="C65" s="410"/>
      <c r="D65" s="470"/>
      <c r="E65" s="560"/>
      <c r="F65" s="560"/>
      <c r="G65" s="561"/>
      <c r="H65" s="561"/>
      <c r="I65" s="560"/>
      <c r="J65" s="560"/>
      <c r="K65" s="560"/>
      <c r="L65" s="560"/>
      <c r="M65" s="560"/>
      <c r="N65" s="560"/>
      <c r="O65" s="560"/>
      <c r="P65" s="560"/>
      <c r="Q65" s="472"/>
      <c r="R65" s="556"/>
    </row>
    <row r="66" spans="1:18" ht="9.75" customHeight="1">
      <c r="A66" s="514" t="s">
        <v>473</v>
      </c>
      <c r="B66" s="563" t="s">
        <v>478</v>
      </c>
      <c r="C66" s="514"/>
      <c r="D66" s="470">
        <v>2007</v>
      </c>
      <c r="E66" s="558" t="s">
        <v>112</v>
      </c>
      <c r="F66" s="558" t="s">
        <v>112</v>
      </c>
      <c r="G66" s="558" t="s">
        <v>112</v>
      </c>
      <c r="H66" s="558" t="s">
        <v>112</v>
      </c>
      <c r="I66" s="558" t="s">
        <v>112</v>
      </c>
      <c r="J66" s="558" t="s">
        <v>112</v>
      </c>
      <c r="K66" s="558" t="s">
        <v>112</v>
      </c>
      <c r="L66" s="558" t="s">
        <v>112</v>
      </c>
      <c r="M66" s="558" t="s">
        <v>112</v>
      </c>
      <c r="N66" s="559">
        <v>2.5</v>
      </c>
      <c r="O66" s="558" t="s">
        <v>112</v>
      </c>
      <c r="P66" s="559">
        <v>3.99</v>
      </c>
      <c r="R66" s="535" t="s">
        <v>258</v>
      </c>
    </row>
    <row r="67" spans="1:18" ht="9.75" customHeight="1">
      <c r="A67" s="410" t="s">
        <v>474</v>
      </c>
      <c r="B67" s="410"/>
      <c r="C67" s="410"/>
      <c r="D67" s="470">
        <v>2008</v>
      </c>
      <c r="E67" s="559">
        <v>2.99</v>
      </c>
      <c r="F67" s="559">
        <v>1.8</v>
      </c>
      <c r="G67" s="559">
        <v>2.82</v>
      </c>
      <c r="H67" s="559">
        <v>2.69</v>
      </c>
      <c r="I67" s="559">
        <v>2.9</v>
      </c>
      <c r="J67" s="559">
        <v>3.23</v>
      </c>
      <c r="K67" s="559">
        <v>2.55</v>
      </c>
      <c r="L67" s="559">
        <v>2.95</v>
      </c>
      <c r="M67" s="559">
        <v>2.83</v>
      </c>
      <c r="N67" s="559">
        <v>1.84</v>
      </c>
      <c r="O67" s="559">
        <v>2.99</v>
      </c>
      <c r="P67" s="559">
        <v>2.92</v>
      </c>
      <c r="R67" s="535" t="s">
        <v>258</v>
      </c>
    </row>
    <row r="68" spans="1:18" ht="5.25" customHeight="1">
      <c r="A68" s="410"/>
      <c r="B68" s="410"/>
      <c r="C68" s="410"/>
      <c r="D68" s="470"/>
      <c r="E68" s="560"/>
      <c r="F68" s="560"/>
      <c r="G68" s="561"/>
      <c r="H68" s="561"/>
      <c r="I68" s="560"/>
      <c r="J68" s="560"/>
      <c r="K68" s="560"/>
      <c r="L68" s="560"/>
      <c r="M68" s="560"/>
      <c r="N68" s="560"/>
      <c r="O68" s="560"/>
      <c r="P68" s="560"/>
      <c r="Q68" s="472"/>
      <c r="R68" s="556"/>
    </row>
    <row r="69" spans="1:18" ht="9.75" customHeight="1">
      <c r="A69" s="514" t="s">
        <v>148</v>
      </c>
      <c r="B69" s="563" t="s">
        <v>478</v>
      </c>
      <c r="C69" s="514"/>
      <c r="D69" s="470">
        <v>2007</v>
      </c>
      <c r="E69" s="558" t="s">
        <v>112</v>
      </c>
      <c r="F69" s="558" t="s">
        <v>112</v>
      </c>
      <c r="G69" s="558" t="s">
        <v>112</v>
      </c>
      <c r="H69" s="558" t="s">
        <v>112</v>
      </c>
      <c r="I69" s="558" t="s">
        <v>112</v>
      </c>
      <c r="J69" s="558" t="s">
        <v>112</v>
      </c>
      <c r="K69" s="558" t="s">
        <v>112</v>
      </c>
      <c r="L69" s="558" t="s">
        <v>112</v>
      </c>
      <c r="M69" s="558" t="s">
        <v>112</v>
      </c>
      <c r="N69" s="559">
        <v>2.15</v>
      </c>
      <c r="O69" s="559">
        <v>2.36</v>
      </c>
      <c r="P69" s="559">
        <v>2.49</v>
      </c>
      <c r="R69" s="535" t="s">
        <v>258</v>
      </c>
    </row>
    <row r="70" spans="1:18" ht="9.75" customHeight="1">
      <c r="A70" s="410" t="s">
        <v>475</v>
      </c>
      <c r="B70" s="410"/>
      <c r="C70" s="410"/>
      <c r="D70" s="470">
        <v>2008</v>
      </c>
      <c r="E70" s="559">
        <v>2.53</v>
      </c>
      <c r="F70" s="559">
        <v>2.6</v>
      </c>
      <c r="G70" s="559">
        <v>2.39</v>
      </c>
      <c r="H70" s="559">
        <v>2.12</v>
      </c>
      <c r="I70" s="559">
        <v>1.97</v>
      </c>
      <c r="J70" s="559">
        <v>2.03</v>
      </c>
      <c r="K70" s="559">
        <v>2.13</v>
      </c>
      <c r="L70" s="559">
        <v>1.95</v>
      </c>
      <c r="M70" s="559">
        <v>1.94</v>
      </c>
      <c r="N70" s="559">
        <v>2.03</v>
      </c>
      <c r="O70" s="559">
        <v>2.16</v>
      </c>
      <c r="P70" s="559">
        <v>2.42</v>
      </c>
      <c r="R70" s="149">
        <f>+((O70/O69)-1)*100</f>
        <v>-8.474576271186429</v>
      </c>
    </row>
    <row r="71" spans="1:18" ht="6" customHeight="1">
      <c r="A71" s="410"/>
      <c r="B71" s="410"/>
      <c r="C71" s="410"/>
      <c r="D71" s="470"/>
      <c r="E71" s="560"/>
      <c r="F71" s="560"/>
      <c r="G71" s="561"/>
      <c r="H71" s="561"/>
      <c r="I71" s="560"/>
      <c r="J71" s="560"/>
      <c r="K71" s="560"/>
      <c r="L71" s="560"/>
      <c r="M71" s="560"/>
      <c r="N71" s="560"/>
      <c r="O71" s="560"/>
      <c r="P71" s="560"/>
      <c r="Q71" s="472"/>
      <c r="R71" s="556"/>
    </row>
    <row r="72" spans="1:18" ht="9.75" customHeight="1">
      <c r="A72" s="514" t="s">
        <v>473</v>
      </c>
      <c r="B72" s="563" t="s">
        <v>485</v>
      </c>
      <c r="C72" s="514"/>
      <c r="D72" s="470">
        <v>2007</v>
      </c>
      <c r="E72" s="558" t="s">
        <v>112</v>
      </c>
      <c r="F72" s="558" t="s">
        <v>112</v>
      </c>
      <c r="G72" s="558" t="s">
        <v>112</v>
      </c>
      <c r="H72" s="558" t="s">
        <v>112</v>
      </c>
      <c r="I72" s="558" t="s">
        <v>112</v>
      </c>
      <c r="J72" s="558" t="s">
        <v>112</v>
      </c>
      <c r="K72" s="558" t="s">
        <v>112</v>
      </c>
      <c r="L72" s="558" t="s">
        <v>112</v>
      </c>
      <c r="M72" s="558" t="s">
        <v>112</v>
      </c>
      <c r="N72" s="559">
        <v>2.52</v>
      </c>
      <c r="O72" s="559">
        <v>2.41</v>
      </c>
      <c r="P72" s="559">
        <v>2.41</v>
      </c>
      <c r="R72" s="535" t="s">
        <v>258</v>
      </c>
    </row>
    <row r="73" spans="1:18" ht="9.75" customHeight="1">
      <c r="A73" s="410" t="s">
        <v>476</v>
      </c>
      <c r="B73" s="410"/>
      <c r="C73" s="410"/>
      <c r="D73" s="470">
        <v>2008</v>
      </c>
      <c r="E73" s="559">
        <v>2.41</v>
      </c>
      <c r="F73" s="559">
        <v>2.4</v>
      </c>
      <c r="G73" s="559">
        <v>2.39</v>
      </c>
      <c r="H73" s="559">
        <v>2.43</v>
      </c>
      <c r="I73" s="559">
        <v>2.23</v>
      </c>
      <c r="J73" s="559">
        <v>2.25</v>
      </c>
      <c r="K73" s="559">
        <v>2.41</v>
      </c>
      <c r="L73" s="559">
        <v>2.25</v>
      </c>
      <c r="M73" s="559">
        <v>2.42</v>
      </c>
      <c r="N73" s="559">
        <v>2.34</v>
      </c>
      <c r="O73" s="559">
        <v>2.44</v>
      </c>
      <c r="P73" s="559">
        <v>2.37</v>
      </c>
      <c r="R73" s="149">
        <f>+((O73/O72)-1)*100</f>
        <v>1.2448132780082943</v>
      </c>
    </row>
    <row r="74" spans="1:18" ht="6.75" customHeight="1">
      <c r="A74" s="410"/>
      <c r="B74" s="410"/>
      <c r="C74" s="410"/>
      <c r="D74" s="470"/>
      <c r="E74" s="560"/>
      <c r="F74" s="560"/>
      <c r="G74" s="561"/>
      <c r="H74" s="561"/>
      <c r="I74" s="560"/>
      <c r="J74" s="560"/>
      <c r="K74" s="560"/>
      <c r="L74" s="560"/>
      <c r="M74" s="560"/>
      <c r="N74" s="560"/>
      <c r="O74" s="560"/>
      <c r="P74" s="560"/>
      <c r="Q74" s="472"/>
      <c r="R74" s="556"/>
    </row>
    <row r="75" spans="1:18" ht="9.75" customHeight="1">
      <c r="A75" s="514" t="s">
        <v>489</v>
      </c>
      <c r="B75" s="563" t="s">
        <v>480</v>
      </c>
      <c r="C75" s="514"/>
      <c r="D75" s="470">
        <v>2007</v>
      </c>
      <c r="E75" s="558" t="s">
        <v>112</v>
      </c>
      <c r="F75" s="558" t="s">
        <v>112</v>
      </c>
      <c r="G75" s="558" t="s">
        <v>112</v>
      </c>
      <c r="H75" s="558" t="s">
        <v>112</v>
      </c>
      <c r="I75" s="558" t="s">
        <v>112</v>
      </c>
      <c r="J75" s="558" t="s">
        <v>112</v>
      </c>
      <c r="K75" s="558" t="s">
        <v>112</v>
      </c>
      <c r="L75" s="558" t="s">
        <v>112</v>
      </c>
      <c r="M75" s="558" t="s">
        <v>112</v>
      </c>
      <c r="N75" s="558" t="s">
        <v>112</v>
      </c>
      <c r="O75" s="558" t="s">
        <v>112</v>
      </c>
      <c r="P75" s="558" t="s">
        <v>112</v>
      </c>
      <c r="R75" s="535" t="s">
        <v>258</v>
      </c>
    </row>
    <row r="76" spans="1:18" ht="9.75" customHeight="1">
      <c r="A76" s="410"/>
      <c r="B76" s="410"/>
      <c r="C76" s="410"/>
      <c r="D76" s="470">
        <v>2008</v>
      </c>
      <c r="E76" s="558" t="s">
        <v>112</v>
      </c>
      <c r="F76" s="558" t="s">
        <v>112</v>
      </c>
      <c r="G76" s="559">
        <v>1.48</v>
      </c>
      <c r="H76" s="559">
        <v>1.98</v>
      </c>
      <c r="I76" s="558">
        <v>1.82</v>
      </c>
      <c r="J76" s="559">
        <v>2</v>
      </c>
      <c r="K76" s="559">
        <v>2.11</v>
      </c>
      <c r="L76" s="558" t="s">
        <v>112</v>
      </c>
      <c r="M76" s="558" t="s">
        <v>112</v>
      </c>
      <c r="N76" s="558" t="s">
        <v>112</v>
      </c>
      <c r="O76" s="558" t="s">
        <v>112</v>
      </c>
      <c r="P76" s="558" t="s">
        <v>112</v>
      </c>
      <c r="R76" s="535" t="s">
        <v>258</v>
      </c>
    </row>
    <row r="77" spans="1:18" ht="6.75" customHeight="1">
      <c r="A77" s="410"/>
      <c r="B77" s="410"/>
      <c r="C77" s="410"/>
      <c r="D77" s="470"/>
      <c r="E77" s="558"/>
      <c r="F77" s="558"/>
      <c r="G77" s="559"/>
      <c r="H77" s="559"/>
      <c r="I77" s="558"/>
      <c r="J77" s="559"/>
      <c r="K77" s="559"/>
      <c r="L77" s="558"/>
      <c r="M77" s="559"/>
      <c r="N77" s="559"/>
      <c r="O77" s="559"/>
      <c r="P77" s="559"/>
      <c r="R77" s="149"/>
    </row>
    <row r="78" spans="1:18" ht="9.75" customHeight="1">
      <c r="A78" s="514" t="s">
        <v>6</v>
      </c>
      <c r="B78" s="563" t="s">
        <v>480</v>
      </c>
      <c r="C78" s="514"/>
      <c r="D78" s="470">
        <v>2007</v>
      </c>
      <c r="E78" s="558" t="s">
        <v>112</v>
      </c>
      <c r="F78" s="558" t="s">
        <v>112</v>
      </c>
      <c r="G78" s="558" t="s">
        <v>112</v>
      </c>
      <c r="H78" s="558" t="s">
        <v>112</v>
      </c>
      <c r="I78" s="558" t="s">
        <v>112</v>
      </c>
      <c r="J78" s="558" t="s">
        <v>112</v>
      </c>
      <c r="K78" s="558" t="s">
        <v>112</v>
      </c>
      <c r="L78" s="558" t="s">
        <v>112</v>
      </c>
      <c r="M78" s="558" t="s">
        <v>112</v>
      </c>
      <c r="N78" s="558">
        <v>2.22</v>
      </c>
      <c r="O78" s="558">
        <v>2.34</v>
      </c>
      <c r="P78" s="558">
        <v>2.68</v>
      </c>
      <c r="R78" s="535" t="s">
        <v>258</v>
      </c>
    </row>
    <row r="79" spans="1:18" ht="9.75" customHeight="1">
      <c r="A79" s="410"/>
      <c r="B79" s="410"/>
      <c r="C79" s="410"/>
      <c r="D79" s="470">
        <v>2008</v>
      </c>
      <c r="E79" s="559">
        <v>2.43</v>
      </c>
      <c r="F79" s="559">
        <v>2.45</v>
      </c>
      <c r="G79" s="559">
        <v>2.23</v>
      </c>
      <c r="H79" s="559">
        <v>2.15</v>
      </c>
      <c r="I79" s="558">
        <v>2.4</v>
      </c>
      <c r="J79" s="559">
        <v>2.25</v>
      </c>
      <c r="K79" s="559">
        <v>2.19</v>
      </c>
      <c r="L79" s="558">
        <v>2.16</v>
      </c>
      <c r="M79" s="559">
        <v>2.15</v>
      </c>
      <c r="N79" s="559">
        <v>2.37</v>
      </c>
      <c r="O79" s="559">
        <v>2.57</v>
      </c>
      <c r="P79" s="559">
        <v>2.57</v>
      </c>
      <c r="R79" s="149">
        <f>+((O79/O78)-1)*100</f>
        <v>9.829059829059839</v>
      </c>
    </row>
    <row r="80" spans="1:18" ht="6.75" customHeight="1">
      <c r="A80" s="410"/>
      <c r="B80" s="410"/>
      <c r="C80" s="410"/>
      <c r="D80" s="470"/>
      <c r="E80" s="558"/>
      <c r="F80" s="558"/>
      <c r="G80" s="559"/>
      <c r="H80" s="559"/>
      <c r="I80" s="558"/>
      <c r="J80" s="559"/>
      <c r="K80" s="559"/>
      <c r="L80" s="558"/>
      <c r="M80" s="559"/>
      <c r="N80" s="559"/>
      <c r="O80" s="559"/>
      <c r="P80" s="559"/>
      <c r="R80" s="149"/>
    </row>
    <row r="81" spans="1:18" ht="9.75" customHeight="1">
      <c r="A81" s="514" t="s">
        <v>521</v>
      </c>
      <c r="B81" s="563" t="s">
        <v>480</v>
      </c>
      <c r="C81" s="514"/>
      <c r="D81" s="470">
        <v>2007</v>
      </c>
      <c r="E81" s="558" t="s">
        <v>112</v>
      </c>
      <c r="F81" s="558" t="s">
        <v>112</v>
      </c>
      <c r="G81" s="558" t="s">
        <v>112</v>
      </c>
      <c r="H81" s="558" t="s">
        <v>112</v>
      </c>
      <c r="I81" s="558" t="s">
        <v>112</v>
      </c>
      <c r="J81" s="558" t="s">
        <v>112</v>
      </c>
      <c r="K81" s="558" t="s">
        <v>112</v>
      </c>
      <c r="L81" s="558" t="s">
        <v>112</v>
      </c>
      <c r="M81" s="558" t="s">
        <v>112</v>
      </c>
      <c r="N81" s="558" t="s">
        <v>112</v>
      </c>
      <c r="O81" s="558">
        <v>3.49</v>
      </c>
      <c r="P81" s="558" t="s">
        <v>112</v>
      </c>
      <c r="R81" s="535" t="s">
        <v>258</v>
      </c>
    </row>
    <row r="82" spans="1:18" ht="9.75" customHeight="1">
      <c r="A82" s="410" t="s">
        <v>522</v>
      </c>
      <c r="B82" s="410"/>
      <c r="C82" s="410"/>
      <c r="D82" s="470">
        <v>2008</v>
      </c>
      <c r="E82" s="559">
        <v>3.49</v>
      </c>
      <c r="F82" s="558" t="s">
        <v>112</v>
      </c>
      <c r="G82" s="559">
        <v>4.67</v>
      </c>
      <c r="H82" s="559">
        <v>5.27</v>
      </c>
      <c r="I82" s="558">
        <v>4.83</v>
      </c>
      <c r="J82" s="559">
        <v>4.58</v>
      </c>
      <c r="K82" s="559">
        <v>4.31</v>
      </c>
      <c r="L82" s="558">
        <v>4.16</v>
      </c>
      <c r="M82" s="559">
        <v>3.4</v>
      </c>
      <c r="N82" s="559">
        <v>2</v>
      </c>
      <c r="O82" s="558">
        <v>1.5</v>
      </c>
      <c r="P82" s="558">
        <v>3.36</v>
      </c>
      <c r="R82" s="535" t="s">
        <v>258</v>
      </c>
    </row>
    <row r="83" spans="1:18" ht="6" customHeight="1">
      <c r="A83" s="144"/>
      <c r="B83" s="144"/>
      <c r="C83" s="144"/>
      <c r="D83" s="144"/>
      <c r="E83" s="145"/>
      <c r="F83" s="145"/>
      <c r="G83" s="145"/>
      <c r="H83" s="145"/>
      <c r="I83" s="145"/>
      <c r="J83" s="145"/>
      <c r="K83" s="145"/>
      <c r="L83" s="145"/>
      <c r="M83" s="145"/>
      <c r="N83" s="145"/>
      <c r="O83" s="145"/>
      <c r="P83" s="145"/>
      <c r="Q83" s="145"/>
      <c r="R83" s="149"/>
    </row>
    <row r="84" spans="1:18" ht="5.25" customHeight="1">
      <c r="A84" s="162"/>
      <c r="B84" s="162"/>
      <c r="C84" s="162"/>
      <c r="D84" s="147"/>
      <c r="E84" s="148"/>
      <c r="F84" s="148"/>
      <c r="G84" s="148"/>
      <c r="H84" s="163"/>
      <c r="I84" s="163"/>
      <c r="J84" s="163"/>
      <c r="K84" s="163"/>
      <c r="L84" s="163"/>
      <c r="M84" s="163"/>
      <c r="N84" s="163"/>
      <c r="O84" s="163"/>
      <c r="P84" s="163"/>
      <c r="Q84" s="150"/>
      <c r="R84" s="163"/>
    </row>
    <row r="85" spans="1:18" ht="9" customHeight="1">
      <c r="A85" s="261" t="s">
        <v>580</v>
      </c>
      <c r="B85" s="261"/>
      <c r="C85" s="261"/>
      <c r="D85" s="139"/>
      <c r="E85" s="143"/>
      <c r="F85" s="143"/>
      <c r="G85" s="143"/>
      <c r="H85" s="132"/>
      <c r="I85" s="132"/>
      <c r="J85" s="132"/>
      <c r="K85" s="132"/>
      <c r="L85" s="132"/>
      <c r="M85" s="132"/>
      <c r="N85" s="132"/>
      <c r="O85" s="132"/>
      <c r="P85" s="132"/>
      <c r="Q85" s="262"/>
      <c r="R85" s="132"/>
    </row>
    <row r="86" spans="1:16" ht="12.75" customHeight="1">
      <c r="A86" s="426" t="s">
        <v>486</v>
      </c>
      <c r="B86" s="426"/>
      <c r="C86" s="426"/>
      <c r="D86" s="139"/>
      <c r="E86" s="143"/>
      <c r="F86" s="143"/>
      <c r="G86" s="143"/>
      <c r="H86" s="143"/>
      <c r="I86" s="143"/>
      <c r="J86" s="143"/>
      <c r="K86" s="143"/>
      <c r="L86" s="143"/>
      <c r="M86" s="143"/>
      <c r="N86" s="143"/>
      <c r="O86" s="143"/>
      <c r="P86" s="143"/>
    </row>
  </sheetData>
  <printOptions horizontalCentered="1"/>
  <pageMargins left="0.167" right="0.167" top="0.24" bottom="0.75" header="0" footer="0.28"/>
  <pageSetup fitToHeight="1" fitToWidth="1" horizontalDpi="600" verticalDpi="600" orientation="portrait" scale="94" r:id="rId1"/>
  <headerFooter alignWithMargins="0">
    <oddFooter>&amp;C&amp;"Arial,Italic"&amp;9Vegetables and Melons Outlook&amp;"Arial,Regular"/VGS-330/December 16, 2008
Economic Research Service, USDA</oddFooter>
  </headerFooter>
</worksheet>
</file>

<file path=xl/worksheets/sheet15.xml><?xml version="1.0" encoding="utf-8"?>
<worksheet xmlns="http://schemas.openxmlformats.org/spreadsheetml/2006/main" xmlns:r="http://schemas.openxmlformats.org/officeDocument/2006/relationships">
  <sheetPr transitionEvaluation="1" transitionEntry="1">
    <tabColor indexed="12"/>
    <pageSetUpPr fitToPage="1"/>
  </sheetPr>
  <dimension ref="A1:Q42"/>
  <sheetViews>
    <sheetView showGridLines="0" workbookViewId="0" topLeftCell="A1">
      <selection activeCell="A1" sqref="A1"/>
    </sheetView>
  </sheetViews>
  <sheetFormatPr defaultColWidth="15.7109375" defaultRowHeight="12.75"/>
  <cols>
    <col min="1" max="1" width="13.421875" style="2" customWidth="1"/>
    <col min="2" max="6" width="6.8515625" style="2" customWidth="1"/>
    <col min="7" max="7" width="1.421875" style="2" customWidth="1"/>
    <col min="8" max="12" width="6.140625" style="2" customWidth="1"/>
    <col min="13" max="13" width="2.00390625" style="2" customWidth="1"/>
    <col min="14" max="17" width="8.421875" style="2" customWidth="1"/>
    <col min="18" max="18" width="1.1484375" style="2" customWidth="1"/>
    <col min="19" max="16384" width="15.7109375" style="2" customWidth="1"/>
  </cols>
  <sheetData>
    <row r="1" spans="1:17" ht="17.25" customHeight="1">
      <c r="A1" s="190" t="s">
        <v>528</v>
      </c>
      <c r="B1" s="1"/>
      <c r="C1" s="1"/>
      <c r="D1" s="1"/>
      <c r="E1" s="1"/>
      <c r="F1" s="1"/>
      <c r="G1" s="1"/>
      <c r="H1" s="1"/>
      <c r="I1" s="1"/>
      <c r="J1" s="1"/>
      <c r="K1" s="1"/>
      <c r="L1" s="1"/>
      <c r="M1" s="1"/>
      <c r="N1" s="1"/>
      <c r="O1" s="1"/>
      <c r="P1" s="1"/>
      <c r="Q1" s="1"/>
    </row>
    <row r="2" spans="1:17" ht="12">
      <c r="A2" s="369"/>
      <c r="B2" s="528" t="s">
        <v>0</v>
      </c>
      <c r="C2" s="370"/>
      <c r="D2" s="370"/>
      <c r="E2" s="370"/>
      <c r="F2" s="370"/>
      <c r="G2" s="371"/>
      <c r="H2" s="528" t="s">
        <v>1</v>
      </c>
      <c r="I2" s="370"/>
      <c r="J2" s="370"/>
      <c r="K2" s="370"/>
      <c r="L2" s="370"/>
      <c r="M2" s="371"/>
      <c r="N2" s="529" t="s">
        <v>371</v>
      </c>
      <c r="O2" s="370"/>
      <c r="P2" s="370"/>
      <c r="Q2" s="370"/>
    </row>
    <row r="3" spans="1:17" ht="12">
      <c r="A3" s="372" t="s">
        <v>2</v>
      </c>
      <c r="B3" s="527">
        <v>2004</v>
      </c>
      <c r="C3" s="527">
        <v>2005</v>
      </c>
      <c r="D3" s="527">
        <v>2006</v>
      </c>
      <c r="E3" s="527">
        <v>2007</v>
      </c>
      <c r="F3" s="527" t="s">
        <v>446</v>
      </c>
      <c r="G3" s="527"/>
      <c r="H3" s="527">
        <v>2004</v>
      </c>
      <c r="I3" s="527">
        <v>2005</v>
      </c>
      <c r="J3" s="527">
        <v>2006</v>
      </c>
      <c r="K3" s="527">
        <v>2007</v>
      </c>
      <c r="L3" s="527" t="s">
        <v>446</v>
      </c>
      <c r="M3" s="527"/>
      <c r="N3" s="527">
        <v>2004</v>
      </c>
      <c r="O3" s="527">
        <v>2005</v>
      </c>
      <c r="P3" s="527">
        <v>2006</v>
      </c>
      <c r="Q3" s="527">
        <v>2007</v>
      </c>
    </row>
    <row r="4" spans="1:17" s="486" customFormat="1" ht="12">
      <c r="A4" s="482"/>
      <c r="B4" s="483" t="s">
        <v>509</v>
      </c>
      <c r="C4" s="483"/>
      <c r="D4" s="483"/>
      <c r="E4" s="483"/>
      <c r="F4" s="483"/>
      <c r="G4" s="484"/>
      <c r="H4" s="483" t="s">
        <v>426</v>
      </c>
      <c r="I4" s="483"/>
      <c r="J4" s="483"/>
      <c r="K4" s="483"/>
      <c r="L4" s="483"/>
      <c r="M4" s="484"/>
      <c r="N4" s="483" t="s">
        <v>427</v>
      </c>
      <c r="O4" s="485"/>
      <c r="P4" s="485"/>
      <c r="Q4" s="485"/>
    </row>
    <row r="5" spans="1:13" ht="6" customHeight="1">
      <c r="A5" s="3"/>
      <c r="B5" s="4"/>
      <c r="C5" s="4"/>
      <c r="D5" s="4"/>
      <c r="E5" s="4"/>
      <c r="F5" s="4"/>
      <c r="G5" s="4"/>
      <c r="H5" s="4"/>
      <c r="I5" s="4"/>
      <c r="J5" s="4"/>
      <c r="K5" s="4"/>
      <c r="L5" s="4"/>
      <c r="M5" s="4"/>
    </row>
    <row r="6" spans="1:17" ht="10.5" customHeight="1">
      <c r="A6" s="7" t="s">
        <v>379</v>
      </c>
      <c r="B6" s="521">
        <v>7.5</v>
      </c>
      <c r="C6" s="521">
        <v>7.9</v>
      </c>
      <c r="D6" s="521">
        <v>7.9</v>
      </c>
      <c r="E6" s="521">
        <v>8.2</v>
      </c>
      <c r="F6" s="574">
        <f>AVERAGE(C6:E6)</f>
        <v>8</v>
      </c>
      <c r="G6" s="521"/>
      <c r="H6" s="521">
        <v>0.825</v>
      </c>
      <c r="I6" s="521">
        <v>0.869</v>
      </c>
      <c r="J6" s="521">
        <v>1.067</v>
      </c>
      <c r="K6" s="521">
        <v>0.902</v>
      </c>
      <c r="L6" s="574">
        <f>+AVERAGE(I6:K6)/AVERAGE(C6:E6)*F6</f>
        <v>0.9460000000000001</v>
      </c>
      <c r="M6" s="519"/>
      <c r="N6" s="524">
        <v>37208</v>
      </c>
      <c r="O6" s="524">
        <v>39453</v>
      </c>
      <c r="P6" s="524">
        <v>44814</v>
      </c>
      <c r="Q6" s="524">
        <v>49339</v>
      </c>
    </row>
    <row r="7" spans="1:17" ht="10.5" customHeight="1">
      <c r="A7" s="7" t="s">
        <v>378</v>
      </c>
      <c r="B7" s="521">
        <v>61.5</v>
      </c>
      <c r="C7" s="521">
        <v>49.3</v>
      </c>
      <c r="D7" s="521">
        <v>43.2</v>
      </c>
      <c r="E7" s="521">
        <v>38.2</v>
      </c>
      <c r="F7" s="521">
        <v>32.2</v>
      </c>
      <c r="G7" s="521"/>
      <c r="H7" s="521">
        <v>2.062</v>
      </c>
      <c r="I7" s="521">
        <v>1.534</v>
      </c>
      <c r="J7" s="521">
        <v>1.153</v>
      </c>
      <c r="K7" s="521">
        <v>1.116</v>
      </c>
      <c r="L7" s="521">
        <v>0.952</v>
      </c>
      <c r="M7" s="519"/>
      <c r="N7" s="524">
        <v>155537</v>
      </c>
      <c r="O7" s="524">
        <v>120436</v>
      </c>
      <c r="P7" s="524">
        <v>94901</v>
      </c>
      <c r="Q7" s="524">
        <v>103399</v>
      </c>
    </row>
    <row r="8" spans="1:17" ht="10.5" customHeight="1">
      <c r="A8" s="5" t="s">
        <v>4</v>
      </c>
      <c r="B8" s="521">
        <v>92.7</v>
      </c>
      <c r="C8" s="521">
        <v>98.1</v>
      </c>
      <c r="D8" s="521">
        <v>96.6</v>
      </c>
      <c r="E8" s="521">
        <v>98.4</v>
      </c>
      <c r="F8" s="574">
        <f>+E8*0.905+1</f>
        <v>90.052</v>
      </c>
      <c r="G8" s="521"/>
      <c r="H8" s="521">
        <v>5.769</v>
      </c>
      <c r="I8" s="521">
        <v>5.541</v>
      </c>
      <c r="J8" s="521">
        <v>6.365</v>
      </c>
      <c r="K8" s="521">
        <v>6.465</v>
      </c>
      <c r="L8" s="574">
        <f aca="true" t="shared" si="0" ref="L8:L18">+K8/E8*F8</f>
        <v>5.916526219512194</v>
      </c>
      <c r="M8" s="519"/>
      <c r="N8" s="524">
        <v>260993</v>
      </c>
      <c r="O8" s="524">
        <v>300576</v>
      </c>
      <c r="P8" s="524">
        <v>321270</v>
      </c>
      <c r="Q8" s="524">
        <v>391448</v>
      </c>
    </row>
    <row r="9" spans="1:17" ht="10.5" customHeight="1">
      <c r="A9" s="7" t="s">
        <v>62</v>
      </c>
      <c r="B9" s="521">
        <v>133.8</v>
      </c>
      <c r="C9" s="521">
        <v>134.9</v>
      </c>
      <c r="D9" s="521">
        <v>138.9</v>
      </c>
      <c r="E9" s="521">
        <v>137.7</v>
      </c>
      <c r="F9" s="574">
        <f>+E9*0.988</f>
        <v>136.0476</v>
      </c>
      <c r="G9" s="521"/>
      <c r="H9" s="521">
        <v>19.835</v>
      </c>
      <c r="I9" s="521">
        <v>19.94</v>
      </c>
      <c r="J9" s="521">
        <v>20.2</v>
      </c>
      <c r="K9" s="521">
        <v>20.363</v>
      </c>
      <c r="L9" s="574">
        <f t="shared" si="0"/>
        <v>20.118644</v>
      </c>
      <c r="M9" s="519"/>
      <c r="N9" s="524">
        <v>638079</v>
      </c>
      <c r="O9" s="524">
        <v>569703</v>
      </c>
      <c r="P9" s="524">
        <v>673950</v>
      </c>
      <c r="Q9" s="524">
        <v>736849</v>
      </c>
    </row>
    <row r="10" spans="1:17" ht="10.5" customHeight="1">
      <c r="A10" s="7" t="s">
        <v>377</v>
      </c>
      <c r="B10" s="521">
        <v>75.55</v>
      </c>
      <c r="C10" s="521">
        <v>74.1</v>
      </c>
      <c r="D10" s="521">
        <v>73.55</v>
      </c>
      <c r="E10" s="521">
        <v>74</v>
      </c>
      <c r="F10" s="574">
        <f>+E10*1.052</f>
        <v>77.848</v>
      </c>
      <c r="G10" s="521"/>
      <c r="H10" s="521">
        <v>24.973</v>
      </c>
      <c r="I10" s="521">
        <v>24.275</v>
      </c>
      <c r="J10" s="521">
        <v>24.823</v>
      </c>
      <c r="K10" s="521">
        <v>25.824</v>
      </c>
      <c r="L10" s="574">
        <f t="shared" si="0"/>
        <v>27.166847999999998</v>
      </c>
      <c r="M10" s="519"/>
      <c r="N10" s="524">
        <v>322415</v>
      </c>
      <c r="O10" s="524">
        <v>326043</v>
      </c>
      <c r="P10" s="524">
        <v>342923</v>
      </c>
      <c r="Q10" s="524">
        <v>413199</v>
      </c>
    </row>
    <row r="11" spans="1:17" ht="10.5" customHeight="1">
      <c r="A11" s="5" t="s">
        <v>6</v>
      </c>
      <c r="B11" s="521">
        <v>86.95</v>
      </c>
      <c r="C11" s="521">
        <v>89.66</v>
      </c>
      <c r="D11" s="521">
        <v>85.7</v>
      </c>
      <c r="E11" s="521">
        <v>86.03</v>
      </c>
      <c r="F11" s="574">
        <f>+E11*0.952</f>
        <v>81.90056</v>
      </c>
      <c r="G11" s="521"/>
      <c r="H11" s="521">
        <v>21.876</v>
      </c>
      <c r="I11" s="521">
        <v>21.12</v>
      </c>
      <c r="J11" s="521">
        <v>20.451</v>
      </c>
      <c r="K11" s="521">
        <v>21.194</v>
      </c>
      <c r="L11" s="574">
        <f t="shared" si="0"/>
        <v>20.176688</v>
      </c>
      <c r="M11" s="519"/>
      <c r="N11" s="524">
        <v>322188</v>
      </c>
      <c r="O11" s="524">
        <v>335818</v>
      </c>
      <c r="P11" s="524">
        <v>351612</v>
      </c>
      <c r="Q11" s="524">
        <v>312700</v>
      </c>
    </row>
    <row r="12" spans="1:17" ht="10.5" customHeight="1">
      <c r="A12" s="5" t="s">
        <v>7</v>
      </c>
      <c r="B12" s="521">
        <v>82.6</v>
      </c>
      <c r="C12" s="521">
        <v>82.5</v>
      </c>
      <c r="D12" s="521">
        <v>82.8</v>
      </c>
      <c r="E12" s="521">
        <v>86.2</v>
      </c>
      <c r="F12" s="574">
        <f>+E12*1.005</f>
        <v>86.631</v>
      </c>
      <c r="G12" s="521"/>
      <c r="H12" s="521">
        <v>26.63</v>
      </c>
      <c r="I12" s="521">
        <v>26.924</v>
      </c>
      <c r="J12" s="521">
        <v>26.199</v>
      </c>
      <c r="K12" s="521">
        <v>27.162</v>
      </c>
      <c r="L12" s="574">
        <f t="shared" si="0"/>
        <v>27.29781</v>
      </c>
      <c r="M12" s="519"/>
      <c r="N12" s="524">
        <v>538337</v>
      </c>
      <c r="O12" s="524">
        <v>564007</v>
      </c>
      <c r="P12" s="524">
        <v>539028</v>
      </c>
      <c r="Q12" s="524">
        <v>614020</v>
      </c>
    </row>
    <row r="13" spans="1:17" ht="10.5" customHeight="1">
      <c r="A13" s="7" t="s">
        <v>376</v>
      </c>
      <c r="B13" s="521">
        <v>37.7</v>
      </c>
      <c r="C13" s="521">
        <v>41.9</v>
      </c>
      <c r="D13" s="521">
        <v>39.76</v>
      </c>
      <c r="E13" s="521">
        <v>39.15</v>
      </c>
      <c r="F13" s="574">
        <f>+E13*0.964</f>
        <v>37.7406</v>
      </c>
      <c r="G13" s="521"/>
      <c r="H13" s="521">
        <v>6.425</v>
      </c>
      <c r="I13" s="521">
        <v>7.285</v>
      </c>
      <c r="J13" s="521">
        <v>7.013</v>
      </c>
      <c r="K13" s="521">
        <v>6.99</v>
      </c>
      <c r="L13" s="574">
        <f t="shared" si="0"/>
        <v>6.73836</v>
      </c>
      <c r="M13" s="519"/>
      <c r="N13" s="524">
        <v>195889</v>
      </c>
      <c r="O13" s="524">
        <v>221846</v>
      </c>
      <c r="P13" s="524">
        <v>220911</v>
      </c>
      <c r="Q13" s="524">
        <v>237888</v>
      </c>
    </row>
    <row r="14" spans="1:17" ht="10.5" customHeight="1">
      <c r="A14" s="7" t="s">
        <v>375</v>
      </c>
      <c r="B14" s="521">
        <v>27.9</v>
      </c>
      <c r="C14" s="521">
        <v>26.8</v>
      </c>
      <c r="D14" s="521">
        <v>27.7</v>
      </c>
      <c r="E14" s="521">
        <v>28.3</v>
      </c>
      <c r="F14" s="574">
        <f>+E14*1.008</f>
        <v>28.526400000000002</v>
      </c>
      <c r="G14" s="521"/>
      <c r="H14" s="521">
        <v>19.479</v>
      </c>
      <c r="I14" s="521">
        <v>18.686</v>
      </c>
      <c r="J14" s="521">
        <v>19.23</v>
      </c>
      <c r="K14" s="521">
        <v>20.272</v>
      </c>
      <c r="L14" s="574">
        <f t="shared" si="0"/>
        <v>20.434176</v>
      </c>
      <c r="M14" s="519"/>
      <c r="N14" s="524">
        <v>288791</v>
      </c>
      <c r="O14" s="524">
        <v>259309</v>
      </c>
      <c r="P14" s="524">
        <v>350454</v>
      </c>
      <c r="Q14" s="524">
        <v>413477</v>
      </c>
    </row>
    <row r="15" spans="1:17" ht="10.5" customHeight="1">
      <c r="A15" s="5" t="s">
        <v>8</v>
      </c>
      <c r="B15" s="521">
        <v>242.7</v>
      </c>
      <c r="C15" s="521">
        <v>237.6</v>
      </c>
      <c r="D15" s="521">
        <v>227.6</v>
      </c>
      <c r="E15" s="521">
        <v>234.4</v>
      </c>
      <c r="F15" s="574">
        <f>+E15*0.993</f>
        <v>232.7592</v>
      </c>
      <c r="G15" s="521"/>
      <c r="H15" s="521">
        <v>27.885</v>
      </c>
      <c r="I15" s="521">
        <v>27.023</v>
      </c>
      <c r="J15" s="521">
        <v>26.69</v>
      </c>
      <c r="K15" s="521">
        <v>28.234</v>
      </c>
      <c r="L15" s="574">
        <f t="shared" si="0"/>
        <v>28.036362</v>
      </c>
      <c r="M15" s="519"/>
      <c r="N15" s="524">
        <v>537494</v>
      </c>
      <c r="O15" s="524">
        <v>596729</v>
      </c>
      <c r="P15" s="524">
        <v>610885</v>
      </c>
      <c r="Q15" s="524">
        <v>625539</v>
      </c>
    </row>
    <row r="16" spans="1:17" ht="10.5" customHeight="1">
      <c r="A16" s="5" t="s">
        <v>9</v>
      </c>
      <c r="B16" s="521">
        <v>57.17</v>
      </c>
      <c r="C16" s="521">
        <v>55.17</v>
      </c>
      <c r="D16" s="521">
        <v>54.55</v>
      </c>
      <c r="E16" s="521">
        <v>52.77</v>
      </c>
      <c r="F16" s="574">
        <f>+E16*1.006</f>
        <v>53.08662</v>
      </c>
      <c r="G16" s="521"/>
      <c r="H16" s="521">
        <v>10.101</v>
      </c>
      <c r="I16" s="521">
        <v>9.691</v>
      </c>
      <c r="J16" s="521">
        <v>9.709</v>
      </c>
      <c r="K16" s="521">
        <v>9.352</v>
      </c>
      <c r="L16" s="574">
        <f t="shared" si="0"/>
        <v>9.408112000000001</v>
      </c>
      <c r="M16" s="519"/>
      <c r="N16" s="524">
        <v>204091</v>
      </c>
      <c r="O16" s="524">
        <v>223249</v>
      </c>
      <c r="P16" s="524">
        <v>245268</v>
      </c>
      <c r="Q16" s="524">
        <v>228292</v>
      </c>
    </row>
    <row r="17" spans="1:17" ht="10.5" customHeight="1">
      <c r="A17" s="7" t="s">
        <v>374</v>
      </c>
      <c r="B17" s="521">
        <v>31.6</v>
      </c>
      <c r="C17" s="521">
        <v>29.9</v>
      </c>
      <c r="D17" s="521">
        <v>29.52</v>
      </c>
      <c r="E17" s="521">
        <v>29.81</v>
      </c>
      <c r="F17" s="574">
        <f>AVERAGE(C17:E17)</f>
        <v>29.743333333333336</v>
      </c>
      <c r="G17" s="521"/>
      <c r="H17" s="521">
        <v>5.224</v>
      </c>
      <c r="I17" s="521">
        <v>4.771</v>
      </c>
      <c r="J17" s="521">
        <v>4.814</v>
      </c>
      <c r="K17" s="521">
        <v>4.89</v>
      </c>
      <c r="L17" s="574">
        <f t="shared" si="0"/>
        <v>4.879064072458907</v>
      </c>
      <c r="M17" s="519"/>
      <c r="N17" s="524">
        <v>138622</v>
      </c>
      <c r="O17" s="524">
        <v>208018</v>
      </c>
      <c r="P17" s="524">
        <v>152606</v>
      </c>
      <c r="Q17" s="524">
        <v>218686</v>
      </c>
    </row>
    <row r="18" spans="1:17" ht="10.5" customHeight="1">
      <c r="A18" s="5" t="s">
        <v>10</v>
      </c>
      <c r="B18" s="521">
        <v>21.9</v>
      </c>
      <c r="C18" s="521">
        <v>22.6</v>
      </c>
      <c r="D18" s="521">
        <v>22.2</v>
      </c>
      <c r="E18" s="521">
        <v>20.95</v>
      </c>
      <c r="F18" s="574">
        <f>+E18*0.971</f>
        <v>20.34245</v>
      </c>
      <c r="G18" s="521"/>
      <c r="H18" s="521">
        <v>5.221</v>
      </c>
      <c r="I18" s="521">
        <v>4.873</v>
      </c>
      <c r="J18" s="521">
        <v>4.915</v>
      </c>
      <c r="K18" s="521">
        <v>4.682</v>
      </c>
      <c r="L18" s="574">
        <f t="shared" si="0"/>
        <v>4.546222</v>
      </c>
      <c r="M18" s="519"/>
      <c r="N18" s="524">
        <v>92133</v>
      </c>
      <c r="O18" s="524">
        <v>91569</v>
      </c>
      <c r="P18" s="524">
        <v>88595</v>
      </c>
      <c r="Q18" s="524">
        <v>82498</v>
      </c>
    </row>
    <row r="19" spans="1:17" ht="3.75" customHeight="1">
      <c r="A19" s="5"/>
      <c r="B19" s="521"/>
      <c r="C19" s="521"/>
      <c r="D19" s="521"/>
      <c r="E19" s="521"/>
      <c r="F19" s="574"/>
      <c r="G19" s="521"/>
      <c r="H19" s="521"/>
      <c r="I19" s="521"/>
      <c r="J19" s="521"/>
      <c r="K19" s="521"/>
      <c r="L19" s="574"/>
      <c r="M19" s="519"/>
      <c r="N19" s="524"/>
      <c r="O19" s="524"/>
      <c r="P19" s="525"/>
      <c r="Q19" s="525"/>
    </row>
    <row r="20" spans="1:17" ht="10.5" customHeight="1">
      <c r="A20" s="5" t="s">
        <v>11</v>
      </c>
      <c r="B20" s="521"/>
      <c r="C20" s="521"/>
      <c r="D20" s="521"/>
      <c r="E20" s="521"/>
      <c r="F20" s="574"/>
      <c r="G20" s="521"/>
      <c r="H20" s="522"/>
      <c r="I20" s="522"/>
      <c r="J20" s="522"/>
      <c r="K20" s="522"/>
      <c r="L20" s="575"/>
      <c r="M20" s="519"/>
      <c r="N20" s="525"/>
      <c r="O20" s="525"/>
      <c r="P20" s="525"/>
      <c r="Q20" s="525"/>
    </row>
    <row r="21" spans="1:17" ht="10.5" customHeight="1">
      <c r="A21" s="8" t="s">
        <v>12</v>
      </c>
      <c r="B21" s="521">
        <v>181</v>
      </c>
      <c r="C21" s="521">
        <v>177.4</v>
      </c>
      <c r="D21" s="521">
        <v>179.6</v>
      </c>
      <c r="E21" s="521">
        <v>183.3</v>
      </c>
      <c r="F21" s="574">
        <f>+E21*0.917+1</f>
        <v>169.08610000000002</v>
      </c>
      <c r="G21" s="521"/>
      <c r="H21" s="521">
        <v>66.228</v>
      </c>
      <c r="I21" s="521">
        <v>65.749</v>
      </c>
      <c r="J21" s="521">
        <v>62.992</v>
      </c>
      <c r="K21" s="521">
        <v>63.118</v>
      </c>
      <c r="L21" s="574">
        <f>+AVERAGE(I21:K21)/AVERAGE(C21:E21)*F21</f>
        <v>60.04199529872294</v>
      </c>
      <c r="M21" s="519"/>
      <c r="N21" s="524">
        <v>1118970</v>
      </c>
      <c r="O21" s="524">
        <v>1019218</v>
      </c>
      <c r="P21" s="524">
        <v>1061963</v>
      </c>
      <c r="Q21" s="524">
        <v>1386523</v>
      </c>
    </row>
    <row r="22" spans="1:17" ht="10.5" customHeight="1">
      <c r="A22" s="8" t="s">
        <v>13</v>
      </c>
      <c r="B22" s="521">
        <v>61.5</v>
      </c>
      <c r="C22" s="521">
        <v>64.6</v>
      </c>
      <c r="D22" s="521">
        <v>91.8</v>
      </c>
      <c r="E22" s="521">
        <v>93.1</v>
      </c>
      <c r="F22" s="574">
        <f>+E22*1.02</f>
        <v>94.96199999999999</v>
      </c>
      <c r="G22" s="521"/>
      <c r="H22" s="521">
        <v>14.79</v>
      </c>
      <c r="I22" s="521">
        <v>15.885</v>
      </c>
      <c r="J22" s="521">
        <v>22.422</v>
      </c>
      <c r="K22" s="521">
        <v>21.91</v>
      </c>
      <c r="L22" s="574">
        <f>+AVERAGE(I22:K22)/AVERAGE(C22:E22)*F22</f>
        <v>22.919145306613224</v>
      </c>
      <c r="M22" s="519"/>
      <c r="N22" s="524">
        <v>454677</v>
      </c>
      <c r="O22" s="524">
        <v>530708</v>
      </c>
      <c r="P22" s="524">
        <v>793580</v>
      </c>
      <c r="Q22" s="524">
        <v>656355</v>
      </c>
    </row>
    <row r="23" spans="1:17" ht="10.5" customHeight="1">
      <c r="A23" s="8" t="s">
        <v>14</v>
      </c>
      <c r="B23" s="521">
        <v>53.2</v>
      </c>
      <c r="C23" s="521">
        <v>60.4</v>
      </c>
      <c r="D23" s="521">
        <v>86.4</v>
      </c>
      <c r="E23" s="521">
        <v>84.9</v>
      </c>
      <c r="F23" s="574">
        <f>+E23*1.02</f>
        <v>86.59800000000001</v>
      </c>
      <c r="G23" s="521"/>
      <c r="H23" s="521">
        <v>18.355</v>
      </c>
      <c r="I23" s="521">
        <v>19.932</v>
      </c>
      <c r="J23" s="521">
        <v>26.5</v>
      </c>
      <c r="K23" s="521">
        <v>27.54</v>
      </c>
      <c r="L23" s="574">
        <f>+AVERAGE(I23:K23)/AVERAGE(C23:E23)*F23</f>
        <v>27.647074907207603</v>
      </c>
      <c r="M23" s="519"/>
      <c r="N23" s="524">
        <v>350223</v>
      </c>
      <c r="O23" s="524">
        <v>386291</v>
      </c>
      <c r="P23" s="524">
        <v>593866</v>
      </c>
      <c r="Q23" s="524">
        <v>708030</v>
      </c>
    </row>
    <row r="24" spans="1:17" ht="4.5" customHeight="1">
      <c r="A24" s="8"/>
      <c r="B24" s="521"/>
      <c r="C24" s="521"/>
      <c r="D24" s="521"/>
      <c r="E24" s="521"/>
      <c r="F24" s="521"/>
      <c r="G24" s="521"/>
      <c r="H24" s="521"/>
      <c r="I24" s="521"/>
      <c r="J24" s="521"/>
      <c r="K24" s="521"/>
      <c r="L24" s="521"/>
      <c r="M24" s="519"/>
      <c r="N24" s="524"/>
      <c r="O24" s="524"/>
      <c r="P24" s="525"/>
      <c r="Q24" s="525"/>
    </row>
    <row r="25" spans="1:17" ht="10.5" customHeight="1">
      <c r="A25" s="7" t="s">
        <v>423</v>
      </c>
      <c r="B25" s="521">
        <v>169.15</v>
      </c>
      <c r="C25" s="521">
        <v>165.22</v>
      </c>
      <c r="D25" s="521">
        <v>164.98</v>
      </c>
      <c r="E25" s="521">
        <v>159.48</v>
      </c>
      <c r="F25" s="521">
        <v>148.22</v>
      </c>
      <c r="G25" s="521"/>
      <c r="H25" s="521">
        <v>83.065</v>
      </c>
      <c r="I25" s="521">
        <v>73.504</v>
      </c>
      <c r="J25" s="521">
        <v>73.177</v>
      </c>
      <c r="K25" s="521">
        <v>78.882</v>
      </c>
      <c r="L25" s="521">
        <v>72.883</v>
      </c>
      <c r="M25" s="519"/>
      <c r="N25" s="524">
        <v>671626</v>
      </c>
      <c r="O25" s="524">
        <v>848798</v>
      </c>
      <c r="P25" s="524">
        <v>1056969</v>
      </c>
      <c r="Q25" s="524">
        <v>819809</v>
      </c>
    </row>
    <row r="26" spans="1:17" ht="10.5" customHeight="1">
      <c r="A26" s="7" t="s">
        <v>373</v>
      </c>
      <c r="B26" s="521">
        <v>52.9</v>
      </c>
      <c r="C26" s="521">
        <v>56.8</v>
      </c>
      <c r="D26" s="521">
        <v>54.6</v>
      </c>
      <c r="E26" s="521">
        <v>54.3</v>
      </c>
      <c r="F26" s="574">
        <f>+E26*0.916</f>
        <v>49.7388</v>
      </c>
      <c r="G26" s="521"/>
      <c r="H26" s="521">
        <v>16.4</v>
      </c>
      <c r="I26" s="521">
        <v>16.036</v>
      </c>
      <c r="J26" s="521">
        <v>15.243</v>
      </c>
      <c r="K26" s="521">
        <v>14.677</v>
      </c>
      <c r="L26" s="574">
        <f>+AVERAGE(I26:K26)/AVERAGE(C26:E26)*F26</f>
        <v>13.794787524441764</v>
      </c>
      <c r="M26" s="519"/>
      <c r="N26" s="524">
        <v>516956</v>
      </c>
      <c r="O26" s="524">
        <v>534703</v>
      </c>
      <c r="P26" s="524">
        <v>511978</v>
      </c>
      <c r="Q26" s="524">
        <v>468387</v>
      </c>
    </row>
    <row r="27" spans="1:17" ht="10.5" customHeight="1">
      <c r="A27" s="5" t="s">
        <v>15</v>
      </c>
      <c r="B27" s="521">
        <v>30.2</v>
      </c>
      <c r="C27" s="521">
        <v>32.7</v>
      </c>
      <c r="D27" s="521">
        <v>28.2</v>
      </c>
      <c r="E27" s="521">
        <v>24.7</v>
      </c>
      <c r="F27" s="574">
        <f>AVERAGE(C27:E27)-2</f>
        <v>26.533333333333335</v>
      </c>
      <c r="G27" s="521"/>
      <c r="H27" s="521">
        <v>5.181</v>
      </c>
      <c r="I27" s="521">
        <v>5.108</v>
      </c>
      <c r="J27" s="521">
        <v>4.779</v>
      </c>
      <c r="K27" s="521">
        <v>4.192</v>
      </c>
      <c r="L27" s="574">
        <f>+K27/E27*F27</f>
        <v>4.50314709851552</v>
      </c>
      <c r="M27" s="519"/>
      <c r="N27" s="524">
        <v>111236</v>
      </c>
      <c r="O27" s="524">
        <v>117048</v>
      </c>
      <c r="P27" s="524">
        <v>104775</v>
      </c>
      <c r="Q27" s="524">
        <v>119918</v>
      </c>
    </row>
    <row r="28" spans="1:17" ht="10.5" customHeight="1">
      <c r="A28" s="5" t="s">
        <v>16</v>
      </c>
      <c r="B28" s="521">
        <v>45.5</v>
      </c>
      <c r="C28" s="521">
        <v>43.8</v>
      </c>
      <c r="D28" s="521">
        <v>42.8</v>
      </c>
      <c r="E28" s="521">
        <v>43.2</v>
      </c>
      <c r="F28" s="574">
        <f>AVERAGE(C28:E28)</f>
        <v>43.26666666666667</v>
      </c>
      <c r="G28" s="521"/>
      <c r="H28" s="521">
        <v>10.219</v>
      </c>
      <c r="I28" s="521">
        <v>10.756</v>
      </c>
      <c r="J28" s="521">
        <v>10.34</v>
      </c>
      <c r="K28" s="521">
        <v>11.164</v>
      </c>
      <c r="L28" s="574">
        <f>+K28/E28*F28</f>
        <v>11.181228395061728</v>
      </c>
      <c r="M28" s="519"/>
      <c r="N28" s="524">
        <v>92651</v>
      </c>
      <c r="O28" s="524">
        <v>103651</v>
      </c>
      <c r="P28" s="524">
        <v>102232</v>
      </c>
      <c r="Q28" s="524">
        <v>117492</v>
      </c>
    </row>
    <row r="29" spans="1:17" ht="10.5" customHeight="1">
      <c r="A29" s="7" t="s">
        <v>372</v>
      </c>
      <c r="B29" s="521">
        <v>39.6</v>
      </c>
      <c r="C29" s="521">
        <v>45.7</v>
      </c>
      <c r="D29" s="521">
        <v>45.6</v>
      </c>
      <c r="E29" s="521">
        <v>41.8</v>
      </c>
      <c r="F29" s="574">
        <f>AVERAGE(C29:E29)</f>
        <v>44.366666666666674</v>
      </c>
      <c r="G29" s="521"/>
      <c r="H29" s="521">
        <v>6.266</v>
      </c>
      <c r="I29" s="521">
        <v>7.581</v>
      </c>
      <c r="J29" s="521">
        <v>6.207</v>
      </c>
      <c r="K29" s="521">
        <v>6.354</v>
      </c>
      <c r="L29" s="574">
        <f>+K29/E29*F29</f>
        <v>6.744157894736844</v>
      </c>
      <c r="M29" s="519"/>
      <c r="N29" s="524">
        <v>138024</v>
      </c>
      <c r="O29" s="524">
        <v>172114</v>
      </c>
      <c r="P29" s="524">
        <v>185461</v>
      </c>
      <c r="Q29" s="524">
        <v>204587</v>
      </c>
    </row>
    <row r="30" spans="1:17" ht="10.5" customHeight="1">
      <c r="A30" s="5" t="s">
        <v>17</v>
      </c>
      <c r="B30" s="521">
        <v>52.6</v>
      </c>
      <c r="C30" s="521">
        <v>55</v>
      </c>
      <c r="D30" s="521">
        <v>56.6</v>
      </c>
      <c r="E30" s="521">
        <v>54.4</v>
      </c>
      <c r="F30" s="574">
        <f>AVERAGE(C30:E30)</f>
        <v>55.333333333333336</v>
      </c>
      <c r="G30" s="521"/>
      <c r="H30" s="521">
        <v>7.756</v>
      </c>
      <c r="I30" s="521">
        <v>8.334</v>
      </c>
      <c r="J30" s="521">
        <v>9.224</v>
      </c>
      <c r="K30" s="521">
        <v>7.888</v>
      </c>
      <c r="L30" s="574">
        <f>+AVERAGE(I30:K30)/AVERAGE(C30:E30)*F30</f>
        <v>8.482</v>
      </c>
      <c r="M30" s="519"/>
      <c r="N30" s="524">
        <v>222718</v>
      </c>
      <c r="O30" s="524">
        <v>214489</v>
      </c>
      <c r="P30" s="524">
        <v>222884</v>
      </c>
      <c r="Q30" s="524">
        <v>227518</v>
      </c>
    </row>
    <row r="31" spans="1:17" ht="10.5" customHeight="1">
      <c r="A31" s="5" t="s">
        <v>18</v>
      </c>
      <c r="B31" s="521">
        <v>129.7</v>
      </c>
      <c r="C31" s="521">
        <v>125.7</v>
      </c>
      <c r="D31" s="521">
        <v>122.6</v>
      </c>
      <c r="E31" s="521">
        <v>119.2</v>
      </c>
      <c r="F31" s="574">
        <f>+E31*0.938</f>
        <v>111.80959999999999</v>
      </c>
      <c r="G31" s="521"/>
      <c r="H31" s="521">
        <v>38.066</v>
      </c>
      <c r="I31" s="521">
        <v>38.268</v>
      </c>
      <c r="J31" s="521">
        <v>36.809</v>
      </c>
      <c r="K31" s="521">
        <v>37.032</v>
      </c>
      <c r="L31" s="574">
        <f>+K31/E31*F31</f>
        <v>34.73601599999999</v>
      </c>
      <c r="M31" s="519"/>
      <c r="N31" s="524">
        <v>1429677</v>
      </c>
      <c r="O31" s="524">
        <v>1598828</v>
      </c>
      <c r="P31" s="524">
        <v>1618533</v>
      </c>
      <c r="Q31" s="524">
        <v>1277559</v>
      </c>
    </row>
    <row r="32" spans="1:17" ht="10.5" customHeight="1">
      <c r="A32" s="5" t="s">
        <v>19</v>
      </c>
      <c r="B32" s="521">
        <v>141.7</v>
      </c>
      <c r="C32" s="521">
        <v>138.1</v>
      </c>
      <c r="D32" s="521">
        <v>141.1</v>
      </c>
      <c r="E32" s="521">
        <v>150.7</v>
      </c>
      <c r="F32" s="574">
        <f>+E32*0.937</f>
        <v>141.20589999999999</v>
      </c>
      <c r="G32" s="521"/>
      <c r="H32" s="521">
        <v>36.882</v>
      </c>
      <c r="I32" s="521">
        <v>38.403</v>
      </c>
      <c r="J32" s="521">
        <v>42.245</v>
      </c>
      <c r="K32" s="521">
        <v>42.869</v>
      </c>
      <c r="L32" s="574">
        <f>+AVERAGE(I32:K32)/AVERAGE(C32:E32)*F32</f>
        <v>40.57066562060944</v>
      </c>
      <c r="M32" s="519"/>
      <c r="N32" s="524">
        <v>313217</v>
      </c>
      <c r="O32" s="524">
        <v>445917</v>
      </c>
      <c r="P32" s="524">
        <v>436805</v>
      </c>
      <c r="Q32" s="524">
        <v>476209</v>
      </c>
    </row>
    <row r="33" spans="1:17" ht="10.5" customHeight="1">
      <c r="A33" s="373" t="s">
        <v>20</v>
      </c>
      <c r="B33" s="523">
        <f>SUM(B6:B32)</f>
        <v>1916.6200000000003</v>
      </c>
      <c r="C33" s="523">
        <f>SUM(C6:C32)</f>
        <v>1915.85</v>
      </c>
      <c r="D33" s="523">
        <f>SUM(D6:D32)</f>
        <v>1944.2599999999995</v>
      </c>
      <c r="E33" s="523">
        <f>SUM(E6:E32)</f>
        <v>1943.19</v>
      </c>
      <c r="F33" s="523">
        <f>SUM(F6:F32)</f>
        <v>1885.9981633333334</v>
      </c>
      <c r="G33" s="523"/>
      <c r="H33" s="523">
        <f>SUM(H6:H32)</f>
        <v>479.513</v>
      </c>
      <c r="I33" s="523">
        <f>SUM(I6:I32)</f>
        <v>472.08799999999997</v>
      </c>
      <c r="J33" s="523">
        <f>SUM(J6:J32)</f>
        <v>482.567</v>
      </c>
      <c r="K33" s="523">
        <f>SUM(K6:K32)</f>
        <v>493.072</v>
      </c>
      <c r="L33" s="576">
        <f>SUM(L6:L32)</f>
        <v>480.12003033788005</v>
      </c>
      <c r="M33" s="520" t="s">
        <v>21</v>
      </c>
      <c r="N33" s="526">
        <f>SUM(N6:N32)</f>
        <v>9151752</v>
      </c>
      <c r="O33" s="526">
        <f>SUM(O6:O32)</f>
        <v>9828521</v>
      </c>
      <c r="P33" s="526">
        <f>SUM(P6:P32)</f>
        <v>10726263</v>
      </c>
      <c r="Q33" s="526">
        <f>SUM(Q6:Q32)</f>
        <v>10889721</v>
      </c>
    </row>
    <row r="34" spans="1:17" s="581" customFormat="1" ht="15" customHeight="1">
      <c r="A34" s="582" t="s">
        <v>530</v>
      </c>
      <c r="B34" s="577"/>
      <c r="C34" s="577"/>
      <c r="D34" s="577"/>
      <c r="E34" s="577"/>
      <c r="F34" s="577"/>
      <c r="G34" s="577"/>
      <c r="H34" s="577"/>
      <c r="I34" s="577"/>
      <c r="J34" s="577"/>
      <c r="K34" s="577"/>
      <c r="L34" s="578"/>
      <c r="M34" s="579"/>
      <c r="N34" s="580"/>
      <c r="O34" s="580"/>
      <c r="P34" s="580"/>
      <c r="Q34" s="580"/>
    </row>
    <row r="35" spans="1:13" ht="11.25" customHeight="1">
      <c r="A35" s="9" t="s">
        <v>432</v>
      </c>
      <c r="B35" s="6"/>
      <c r="C35" s="6"/>
      <c r="D35" s="6"/>
      <c r="E35" s="6"/>
      <c r="F35" s="6"/>
      <c r="G35" s="6"/>
      <c r="H35" s="6"/>
      <c r="I35" s="6"/>
      <c r="J35" s="6"/>
      <c r="K35" s="6"/>
      <c r="L35" s="6"/>
      <c r="M35" s="6"/>
    </row>
    <row r="36" spans="1:13" ht="10.5" customHeight="1">
      <c r="A36" s="9" t="s">
        <v>434</v>
      </c>
      <c r="B36" s="10"/>
      <c r="C36" s="10"/>
      <c r="D36" s="10"/>
      <c r="E36" s="10"/>
      <c r="F36" s="10"/>
      <c r="G36" s="10"/>
      <c r="H36" s="10"/>
      <c r="I36" s="10"/>
      <c r="J36" s="10"/>
      <c r="K36" s="10"/>
      <c r="L36" s="10"/>
      <c r="M36" s="10"/>
    </row>
    <row r="37" spans="1:13" ht="10.5" customHeight="1">
      <c r="A37" s="9" t="s">
        <v>433</v>
      </c>
      <c r="B37" s="10"/>
      <c r="C37" s="10"/>
      <c r="D37" s="10"/>
      <c r="E37" s="10"/>
      <c r="F37" s="10"/>
      <c r="G37" s="10"/>
      <c r="H37" s="10"/>
      <c r="I37" s="10"/>
      <c r="J37" s="10"/>
      <c r="K37" s="10"/>
      <c r="L37" s="10"/>
      <c r="M37" s="10"/>
    </row>
    <row r="38" spans="1:13" ht="17.25" customHeight="1">
      <c r="A38" s="265" t="s">
        <v>431</v>
      </c>
      <c r="B38" s="10"/>
      <c r="C38" s="10"/>
      <c r="D38" s="10"/>
      <c r="E38" s="10"/>
      <c r="F38" s="10"/>
      <c r="G38" s="10"/>
      <c r="H38" s="10"/>
      <c r="I38" s="10"/>
      <c r="J38" s="10"/>
      <c r="K38" s="10"/>
      <c r="L38" s="10"/>
      <c r="M38" s="10"/>
    </row>
    <row r="39" spans="1:13" ht="12">
      <c r="A39" s="11"/>
      <c r="B39" s="12"/>
      <c r="C39" s="12"/>
      <c r="D39" s="12"/>
      <c r="E39" s="12"/>
      <c r="F39" s="12"/>
      <c r="G39" s="12"/>
      <c r="H39" s="12"/>
      <c r="I39" s="12"/>
      <c r="J39" s="12"/>
      <c r="K39" s="12"/>
      <c r="L39" s="12"/>
      <c r="M39" s="12"/>
    </row>
    <row r="40" spans="1:13" ht="12">
      <c r="A40" s="11"/>
      <c r="B40" s="12"/>
      <c r="C40" s="12"/>
      <c r="D40" s="12"/>
      <c r="E40" s="12"/>
      <c r="F40" s="12"/>
      <c r="G40" s="12"/>
      <c r="H40" s="12"/>
      <c r="I40" s="12"/>
      <c r="J40" s="12"/>
      <c r="K40" s="12"/>
      <c r="L40" s="12"/>
      <c r="M40" s="12"/>
    </row>
    <row r="41" ht="12">
      <c r="A41" s="572" t="s">
        <v>529</v>
      </c>
    </row>
    <row r="42" ht="12">
      <c r="A42" s="572"/>
    </row>
  </sheetData>
  <printOptions horizontalCentered="1"/>
  <pageMargins left="0.167" right="0.167" top="0.52" bottom="0.75" header="0" footer="0.28"/>
  <pageSetup fitToHeight="1" fitToWidth="1" horizontalDpi="600" verticalDpi="600" orientation="landscape" r:id="rId1"/>
  <headerFooter alignWithMargins="0">
    <oddFooter>&amp;C&amp;"Arial,Italic"&amp;9Vegetables and Melons Outlook&amp;"Arial,Regular"/VGS-330/December 16, 2008
Economic Research Service, USDA</oddFooter>
  </headerFooter>
</worksheet>
</file>

<file path=xl/worksheets/sheet16.xml><?xml version="1.0" encoding="utf-8"?>
<worksheet xmlns="http://schemas.openxmlformats.org/spreadsheetml/2006/main" xmlns:r="http://schemas.openxmlformats.org/officeDocument/2006/relationships">
  <sheetPr>
    <tabColor indexed="36"/>
    <pageSetUpPr fitToPage="1"/>
  </sheetPr>
  <dimension ref="A2:U67"/>
  <sheetViews>
    <sheetView showGridLines="0" workbookViewId="0" topLeftCell="A1">
      <selection activeCell="A1" sqref="A1"/>
    </sheetView>
  </sheetViews>
  <sheetFormatPr defaultColWidth="9.140625" defaultRowHeight="12.75"/>
  <cols>
    <col min="1" max="1" width="11.421875" style="173" customWidth="1"/>
    <col min="2" max="2" width="7.00390625" style="173" customWidth="1"/>
    <col min="3" max="3" width="1.1484375" style="173" customWidth="1"/>
    <col min="4" max="4" width="6.7109375" style="173" customWidth="1"/>
    <col min="5" max="5" width="1.421875" style="173" customWidth="1"/>
    <col min="6" max="6" width="6.421875" style="173" customWidth="1"/>
    <col min="7" max="7" width="1.421875" style="173" customWidth="1"/>
    <col min="8" max="8" width="8.28125" style="173" customWidth="1"/>
    <col min="9" max="9" width="2.00390625" style="173" customWidth="1"/>
    <col min="10" max="10" width="6.421875" style="173" customWidth="1"/>
    <col min="11" max="11" width="1.28515625" style="173" customWidth="1"/>
    <col min="12" max="12" width="8.57421875" style="173" customWidth="1"/>
    <col min="13" max="13" width="2.57421875" style="173" customWidth="1"/>
    <col min="14" max="14" width="7.28125" style="173" customWidth="1"/>
    <col min="15" max="15" width="2.57421875" style="173" customWidth="1"/>
    <col min="16" max="16" width="1.421875" style="173" customWidth="1"/>
    <col min="17" max="17" width="7.8515625" style="173" customWidth="1"/>
    <col min="18" max="19" width="8.421875" style="173" customWidth="1"/>
    <col min="20" max="20" width="8.57421875" style="173" customWidth="1"/>
    <col min="21" max="21" width="7.8515625" style="173" customWidth="1"/>
    <col min="22" max="16384" width="8.8515625" style="173" customWidth="1"/>
  </cols>
  <sheetData>
    <row r="2" ht="12.75">
      <c r="A2" s="260" t="s">
        <v>491</v>
      </c>
    </row>
    <row r="3" spans="1:21" ht="5.25" customHeight="1">
      <c r="A3" s="374"/>
      <c r="B3" s="375"/>
      <c r="C3" s="375"/>
      <c r="D3" s="375"/>
      <c r="E3" s="375"/>
      <c r="F3" s="375"/>
      <c r="G3" s="375"/>
      <c r="H3" s="375"/>
      <c r="I3" s="375"/>
      <c r="J3" s="375"/>
      <c r="K3" s="375"/>
      <c r="L3" s="375"/>
      <c r="M3" s="375"/>
      <c r="N3" s="375"/>
      <c r="O3" s="567"/>
      <c r="P3" s="375"/>
      <c r="Q3" s="375"/>
      <c r="R3" s="375"/>
      <c r="S3" s="375"/>
      <c r="T3" s="375"/>
      <c r="U3" s="375"/>
    </row>
    <row r="4" spans="1:21" ht="11.25">
      <c r="A4" s="376"/>
      <c r="B4" s="376"/>
      <c r="C4" s="376"/>
      <c r="D4" s="376"/>
      <c r="E4" s="376"/>
      <c r="F4" s="376"/>
      <c r="G4" s="376"/>
      <c r="H4" s="377" t="s">
        <v>335</v>
      </c>
      <c r="I4" s="376"/>
      <c r="J4" s="376"/>
      <c r="K4" s="376"/>
      <c r="L4" s="377" t="s">
        <v>331</v>
      </c>
      <c r="M4" s="376"/>
      <c r="N4" s="377" t="s">
        <v>497</v>
      </c>
      <c r="O4" s="568"/>
      <c r="P4" s="376"/>
      <c r="Q4" s="376" t="s">
        <v>493</v>
      </c>
      <c r="R4" s="566" t="s">
        <v>504</v>
      </c>
      <c r="S4" s="566"/>
      <c r="T4" s="566" t="s">
        <v>500</v>
      </c>
      <c r="U4" s="566" t="s">
        <v>503</v>
      </c>
    </row>
    <row r="5" spans="1:21" ht="11.25">
      <c r="A5" s="377" t="s">
        <v>334</v>
      </c>
      <c r="B5" s="376" t="s">
        <v>78</v>
      </c>
      <c r="C5" s="376"/>
      <c r="D5" s="376" t="s">
        <v>326</v>
      </c>
      <c r="E5" s="376"/>
      <c r="F5" s="376" t="s">
        <v>114</v>
      </c>
      <c r="G5" s="376"/>
      <c r="H5" s="375"/>
      <c r="I5" s="375"/>
      <c r="J5" s="375"/>
      <c r="K5" s="376"/>
      <c r="L5" s="377" t="s">
        <v>333</v>
      </c>
      <c r="M5" s="376"/>
      <c r="N5" s="377" t="s">
        <v>498</v>
      </c>
      <c r="O5" s="568"/>
      <c r="P5" s="376"/>
      <c r="Q5" s="376" t="s">
        <v>506</v>
      </c>
      <c r="R5" s="566" t="s">
        <v>505</v>
      </c>
      <c r="S5" s="566" t="s">
        <v>499</v>
      </c>
      <c r="T5" s="566" t="s">
        <v>501</v>
      </c>
      <c r="U5" s="566" t="s">
        <v>502</v>
      </c>
    </row>
    <row r="6" spans="1:21" ht="11.25">
      <c r="A6" s="378" t="s">
        <v>21</v>
      </c>
      <c r="B6" s="378"/>
      <c r="C6" s="378"/>
      <c r="D6" s="378"/>
      <c r="E6" s="378"/>
      <c r="F6" s="378"/>
      <c r="G6" s="378"/>
      <c r="H6" s="379" t="s">
        <v>495</v>
      </c>
      <c r="I6" s="378"/>
      <c r="J6" s="379" t="s">
        <v>496</v>
      </c>
      <c r="K6" s="378"/>
      <c r="L6" s="379" t="s">
        <v>332</v>
      </c>
      <c r="M6" s="378"/>
      <c r="N6" s="378" t="s">
        <v>21</v>
      </c>
      <c r="O6" s="569"/>
      <c r="P6" s="378"/>
      <c r="Q6" s="378" t="s">
        <v>494</v>
      </c>
      <c r="R6" s="378"/>
      <c r="S6" s="378"/>
      <c r="T6" s="378"/>
      <c r="U6" s="378"/>
    </row>
    <row r="7" spans="13:19" ht="14.25" customHeight="1">
      <c r="M7" s="481" t="s">
        <v>387</v>
      </c>
      <c r="R7" s="259"/>
      <c r="S7" s="481"/>
    </row>
    <row r="8" ht="6.75" customHeight="1">
      <c r="R8" s="259"/>
    </row>
    <row r="9" spans="1:21" ht="11.25">
      <c r="A9" s="380" t="s">
        <v>178</v>
      </c>
      <c r="B9" s="381">
        <v>6655.455</v>
      </c>
      <c r="C9" s="381"/>
      <c r="D9" s="381">
        <v>11985.690899999996</v>
      </c>
      <c r="E9" s="381"/>
      <c r="F9" s="381">
        <v>5736.622500000001</v>
      </c>
      <c r="G9" s="381"/>
      <c r="H9" s="381">
        <v>4336.405</v>
      </c>
      <c r="I9" s="380"/>
      <c r="J9" s="381">
        <v>36506.02</v>
      </c>
      <c r="K9" s="380"/>
      <c r="L9" s="381">
        <v>33304.15</v>
      </c>
      <c r="M9" s="380"/>
      <c r="N9" s="381">
        <v>98524.8454</v>
      </c>
      <c r="O9" s="380"/>
      <c r="P9" s="381"/>
      <c r="Q9" s="570">
        <v>354.361</v>
      </c>
      <c r="R9" s="381">
        <v>5250.0289999999995</v>
      </c>
      <c r="S9" s="381">
        <v>6580.817</v>
      </c>
      <c r="T9" s="381">
        <v>10561.4</v>
      </c>
      <c r="U9" s="381">
        <v>17757.07</v>
      </c>
    </row>
    <row r="10" spans="17:21" ht="6" customHeight="1">
      <c r="Q10" s="565"/>
      <c r="R10" s="259"/>
      <c r="S10" s="259"/>
      <c r="T10" s="259"/>
      <c r="U10" s="259"/>
    </row>
    <row r="11" spans="1:21" ht="10.5" customHeight="1">
      <c r="A11" s="173" t="s">
        <v>179</v>
      </c>
      <c r="B11" s="259">
        <v>0</v>
      </c>
      <c r="C11" s="259"/>
      <c r="D11" s="259">
        <v>0</v>
      </c>
      <c r="E11" s="259"/>
      <c r="F11" s="259">
        <v>0</v>
      </c>
      <c r="G11" s="259"/>
      <c r="H11" s="259">
        <v>4</v>
      </c>
      <c r="I11" s="259"/>
      <c r="J11" s="259">
        <v>0</v>
      </c>
      <c r="K11" s="259"/>
      <c r="L11" s="259">
        <v>0</v>
      </c>
      <c r="M11" s="259"/>
      <c r="N11" s="259">
        <v>4</v>
      </c>
      <c r="Q11" s="565">
        <v>0</v>
      </c>
      <c r="R11" s="259">
        <v>0</v>
      </c>
      <c r="S11" s="259">
        <v>0</v>
      </c>
      <c r="T11" s="259">
        <v>0</v>
      </c>
      <c r="U11" s="259">
        <v>0</v>
      </c>
    </row>
    <row r="12" spans="1:21" ht="10.5" customHeight="1">
      <c r="A12" s="173" t="s">
        <v>180</v>
      </c>
      <c r="B12" s="259">
        <v>0</v>
      </c>
      <c r="C12" s="259"/>
      <c r="D12" s="259">
        <v>0</v>
      </c>
      <c r="E12" s="259"/>
      <c r="F12" s="259">
        <v>2.5</v>
      </c>
      <c r="G12" s="259"/>
      <c r="H12" s="259">
        <v>16.5</v>
      </c>
      <c r="I12" s="259"/>
      <c r="J12" s="259">
        <v>0</v>
      </c>
      <c r="K12" s="259"/>
      <c r="L12" s="259">
        <v>0</v>
      </c>
      <c r="M12" s="259"/>
      <c r="N12" s="259">
        <v>19</v>
      </c>
      <c r="Q12" s="565">
        <v>0</v>
      </c>
      <c r="R12" s="259">
        <v>0</v>
      </c>
      <c r="S12" s="259">
        <v>41</v>
      </c>
      <c r="T12" s="259">
        <v>0</v>
      </c>
      <c r="U12" s="259">
        <v>0</v>
      </c>
    </row>
    <row r="13" spans="1:21" ht="10.5" customHeight="1">
      <c r="A13" s="173" t="s">
        <v>181</v>
      </c>
      <c r="B13" s="259">
        <v>0</v>
      </c>
      <c r="C13" s="259"/>
      <c r="D13" s="259">
        <v>0</v>
      </c>
      <c r="E13" s="259"/>
      <c r="F13" s="259">
        <v>140</v>
      </c>
      <c r="G13" s="259"/>
      <c r="H13" s="259">
        <v>0</v>
      </c>
      <c r="I13" s="259"/>
      <c r="J13" s="259">
        <v>3331.94</v>
      </c>
      <c r="K13" s="259"/>
      <c r="L13" s="259">
        <v>167</v>
      </c>
      <c r="M13" s="259"/>
      <c r="N13" s="259">
        <v>3638.94</v>
      </c>
      <c r="Q13" s="565">
        <v>0</v>
      </c>
      <c r="R13" s="259">
        <v>16</v>
      </c>
      <c r="S13" s="259">
        <v>0</v>
      </c>
      <c r="T13" s="259">
        <v>107</v>
      </c>
      <c r="U13" s="259">
        <v>0</v>
      </c>
    </row>
    <row r="14" spans="1:21" ht="10.5" customHeight="1">
      <c r="A14" s="173" t="s">
        <v>182</v>
      </c>
      <c r="B14" s="259">
        <v>0</v>
      </c>
      <c r="C14" s="259"/>
      <c r="D14" s="259">
        <v>0</v>
      </c>
      <c r="E14" s="259"/>
      <c r="F14" s="259">
        <v>0</v>
      </c>
      <c r="G14" s="259"/>
      <c r="H14" s="259">
        <v>7</v>
      </c>
      <c r="I14" s="259"/>
      <c r="J14" s="259">
        <v>28.6</v>
      </c>
      <c r="K14" s="259"/>
      <c r="L14" s="259">
        <v>0</v>
      </c>
      <c r="M14" s="259"/>
      <c r="N14" s="259">
        <v>35.6</v>
      </c>
      <c r="Q14" s="565">
        <v>11.5</v>
      </c>
      <c r="R14" s="259">
        <v>0</v>
      </c>
      <c r="S14" s="259">
        <v>0</v>
      </c>
      <c r="T14" s="259">
        <v>0</v>
      </c>
      <c r="U14" s="259">
        <v>0</v>
      </c>
    </row>
    <row r="15" spans="1:21" ht="10.5" customHeight="1">
      <c r="A15" s="380" t="s">
        <v>183</v>
      </c>
      <c r="B15" s="381">
        <v>6295.22</v>
      </c>
      <c r="C15" s="381"/>
      <c r="D15" s="381">
        <v>11389</v>
      </c>
      <c r="E15" s="381"/>
      <c r="F15" s="381">
        <v>5409</v>
      </c>
      <c r="G15" s="381"/>
      <c r="H15" s="381">
        <v>2188.5</v>
      </c>
      <c r="I15" s="381"/>
      <c r="J15" s="381">
        <v>20475</v>
      </c>
      <c r="K15" s="381"/>
      <c r="L15" s="381">
        <v>12571</v>
      </c>
      <c r="M15" s="381"/>
      <c r="N15" s="381">
        <v>58327.37</v>
      </c>
      <c r="O15" s="380"/>
      <c r="P15" s="380"/>
      <c r="Q15" s="570">
        <v>26.496</v>
      </c>
      <c r="R15" s="381">
        <v>1208.42</v>
      </c>
      <c r="S15" s="381">
        <v>3431</v>
      </c>
      <c r="T15" s="381">
        <v>459</v>
      </c>
      <c r="U15" s="381">
        <v>0</v>
      </c>
    </row>
    <row r="16" spans="1:21" ht="10.5" customHeight="1">
      <c r="A16" s="173" t="s">
        <v>184</v>
      </c>
      <c r="B16" s="259">
        <v>5.95</v>
      </c>
      <c r="C16" s="259"/>
      <c r="D16" s="259">
        <v>246.05</v>
      </c>
      <c r="E16" s="259"/>
      <c r="F16" s="259">
        <v>30.55</v>
      </c>
      <c r="G16" s="259"/>
      <c r="H16" s="259">
        <v>4</v>
      </c>
      <c r="I16" s="259"/>
      <c r="J16" s="259">
        <v>37.03</v>
      </c>
      <c r="K16" s="259"/>
      <c r="L16" s="259">
        <v>1633.2</v>
      </c>
      <c r="M16" s="259"/>
      <c r="N16" s="259">
        <v>1956.78</v>
      </c>
      <c r="Q16" s="565">
        <v>1.01</v>
      </c>
      <c r="R16" s="259">
        <v>554.67</v>
      </c>
      <c r="S16" s="259">
        <v>952.62</v>
      </c>
      <c r="T16" s="571">
        <v>3561.4</v>
      </c>
      <c r="U16" s="259">
        <v>0</v>
      </c>
    </row>
    <row r="17" spans="1:21" ht="10.5" customHeight="1">
      <c r="A17" s="173" t="s">
        <v>185</v>
      </c>
      <c r="B17" s="259">
        <v>9.07</v>
      </c>
      <c r="C17" s="259"/>
      <c r="D17" s="259">
        <v>4.46</v>
      </c>
      <c r="E17" s="259"/>
      <c r="F17" s="259">
        <v>1.47</v>
      </c>
      <c r="G17" s="259"/>
      <c r="H17" s="259">
        <v>40.8</v>
      </c>
      <c r="I17" s="259"/>
      <c r="J17" s="259">
        <v>100.54</v>
      </c>
      <c r="K17" s="259"/>
      <c r="L17" s="259">
        <v>11.97</v>
      </c>
      <c r="M17" s="259"/>
      <c r="N17" s="259">
        <v>168.31</v>
      </c>
      <c r="Q17" s="565">
        <v>0</v>
      </c>
      <c r="R17" s="259">
        <v>3.2</v>
      </c>
      <c r="S17" s="259">
        <v>5.78</v>
      </c>
      <c r="T17" s="259">
        <v>0</v>
      </c>
      <c r="U17" s="259">
        <v>0</v>
      </c>
    </row>
    <row r="18" spans="1:21" ht="10.5" customHeight="1">
      <c r="A18" s="173" t="s">
        <v>327</v>
      </c>
      <c r="B18" s="259">
        <v>0</v>
      </c>
      <c r="C18" s="259"/>
      <c r="D18" s="259">
        <v>0</v>
      </c>
      <c r="E18" s="259"/>
      <c r="F18" s="259">
        <v>0</v>
      </c>
      <c r="G18" s="259"/>
      <c r="H18" s="259">
        <v>1</v>
      </c>
      <c r="I18" s="259"/>
      <c r="J18" s="259">
        <v>0</v>
      </c>
      <c r="K18" s="259"/>
      <c r="L18" s="259">
        <v>0</v>
      </c>
      <c r="M18" s="259"/>
      <c r="N18" s="259">
        <v>1</v>
      </c>
      <c r="Q18" s="565">
        <v>0</v>
      </c>
      <c r="R18" s="259">
        <v>0</v>
      </c>
      <c r="S18" s="259">
        <v>0</v>
      </c>
      <c r="T18" s="259">
        <v>0</v>
      </c>
      <c r="U18" s="259">
        <v>0</v>
      </c>
    </row>
    <row r="19" spans="1:21" ht="10.5" customHeight="1">
      <c r="A19" s="173" t="s">
        <v>186</v>
      </c>
      <c r="B19" s="259">
        <v>168</v>
      </c>
      <c r="C19" s="259"/>
      <c r="D19" s="259">
        <v>124</v>
      </c>
      <c r="E19" s="259"/>
      <c r="F19" s="259">
        <v>0</v>
      </c>
      <c r="G19" s="259"/>
      <c r="H19" s="259">
        <v>32.5</v>
      </c>
      <c r="I19" s="259"/>
      <c r="J19" s="259">
        <v>1780</v>
      </c>
      <c r="K19" s="259"/>
      <c r="L19" s="259">
        <v>35</v>
      </c>
      <c r="M19" s="259"/>
      <c r="N19" s="259">
        <v>2139.5</v>
      </c>
      <c r="Q19" s="565">
        <v>0</v>
      </c>
      <c r="R19" s="259">
        <v>541.6</v>
      </c>
      <c r="S19" s="259">
        <v>0</v>
      </c>
      <c r="T19" s="259">
        <v>0</v>
      </c>
      <c r="U19" s="259">
        <v>0</v>
      </c>
    </row>
    <row r="20" spans="1:21" ht="10.5" customHeight="1">
      <c r="A20" s="173" t="s">
        <v>187</v>
      </c>
      <c r="B20" s="259">
        <v>0.14</v>
      </c>
      <c r="C20" s="259"/>
      <c r="D20" s="259">
        <v>0</v>
      </c>
      <c r="E20" s="259"/>
      <c r="F20" s="259">
        <v>0</v>
      </c>
      <c r="G20" s="259"/>
      <c r="H20" s="259">
        <v>8</v>
      </c>
      <c r="I20" s="259"/>
      <c r="J20" s="259">
        <v>506.697</v>
      </c>
      <c r="K20" s="259"/>
      <c r="L20" s="259">
        <v>91</v>
      </c>
      <c r="M20" s="259"/>
      <c r="N20" s="259">
        <v>605.837</v>
      </c>
      <c r="Q20" s="565">
        <v>0.01</v>
      </c>
      <c r="R20" s="259">
        <v>0.02</v>
      </c>
      <c r="S20" s="259">
        <v>0</v>
      </c>
      <c r="T20" s="259">
        <v>0</v>
      </c>
      <c r="U20" s="259">
        <v>0</v>
      </c>
    </row>
    <row r="21" spans="1:21" ht="10.5" customHeight="1">
      <c r="A21" s="173" t="s">
        <v>188</v>
      </c>
      <c r="B21" s="259">
        <v>15.3</v>
      </c>
      <c r="C21" s="259"/>
      <c r="D21" s="259">
        <v>68.65</v>
      </c>
      <c r="E21" s="259"/>
      <c r="F21" s="259">
        <v>0.5625</v>
      </c>
      <c r="G21" s="259"/>
      <c r="H21" s="259">
        <v>198.725</v>
      </c>
      <c r="I21" s="259"/>
      <c r="J21" s="259">
        <v>20</v>
      </c>
      <c r="K21" s="259"/>
      <c r="L21" s="259">
        <v>1.5</v>
      </c>
      <c r="M21" s="259"/>
      <c r="N21" s="259">
        <v>304.7375</v>
      </c>
      <c r="Q21" s="565">
        <v>0</v>
      </c>
      <c r="R21" s="259">
        <v>147.705</v>
      </c>
      <c r="S21" s="259">
        <v>11.067</v>
      </c>
      <c r="T21" s="259">
        <v>8.9</v>
      </c>
      <c r="U21" s="259">
        <v>6.4</v>
      </c>
    </row>
    <row r="22" spans="1:21" ht="10.5" customHeight="1">
      <c r="A22" s="173" t="s">
        <v>189</v>
      </c>
      <c r="B22" s="259">
        <v>0.25</v>
      </c>
      <c r="C22" s="259"/>
      <c r="D22" s="259">
        <v>0.75</v>
      </c>
      <c r="E22" s="259"/>
      <c r="F22" s="259">
        <v>4</v>
      </c>
      <c r="G22" s="259"/>
      <c r="H22" s="259">
        <v>53.38</v>
      </c>
      <c r="I22" s="259"/>
      <c r="J22" s="259">
        <v>59.5</v>
      </c>
      <c r="K22" s="259"/>
      <c r="L22" s="259">
        <v>30.9</v>
      </c>
      <c r="M22" s="259"/>
      <c r="N22" s="259">
        <v>148.78</v>
      </c>
      <c r="Q22" s="565">
        <v>0</v>
      </c>
      <c r="R22" s="259">
        <v>21.63</v>
      </c>
      <c r="S22" s="259">
        <v>259.55</v>
      </c>
      <c r="T22" s="259">
        <v>0</v>
      </c>
      <c r="U22" s="259">
        <v>65</v>
      </c>
    </row>
    <row r="23" spans="1:21" ht="10.5" customHeight="1">
      <c r="A23" s="173" t="s">
        <v>190</v>
      </c>
      <c r="B23" s="259">
        <v>0</v>
      </c>
      <c r="C23" s="259"/>
      <c r="D23" s="259">
        <v>0</v>
      </c>
      <c r="E23" s="259"/>
      <c r="F23" s="259">
        <v>0</v>
      </c>
      <c r="G23" s="259"/>
      <c r="H23" s="259">
        <v>9.65</v>
      </c>
      <c r="I23" s="259"/>
      <c r="J23" s="259">
        <v>303.85</v>
      </c>
      <c r="K23" s="259"/>
      <c r="L23" s="259">
        <v>43.75</v>
      </c>
      <c r="M23" s="259"/>
      <c r="N23" s="259">
        <v>357.25</v>
      </c>
      <c r="Q23" s="565">
        <v>140</v>
      </c>
      <c r="R23" s="259">
        <v>0.9</v>
      </c>
      <c r="S23" s="259">
        <v>0</v>
      </c>
      <c r="T23" s="259">
        <v>57</v>
      </c>
      <c r="U23" s="259">
        <v>0.25</v>
      </c>
    </row>
    <row r="24" spans="1:21" ht="10.5" customHeight="1">
      <c r="A24" s="173" t="s">
        <v>191</v>
      </c>
      <c r="B24" s="259">
        <v>0</v>
      </c>
      <c r="C24" s="259"/>
      <c r="D24" s="259">
        <v>0</v>
      </c>
      <c r="E24" s="259"/>
      <c r="F24" s="259">
        <v>0</v>
      </c>
      <c r="G24" s="259"/>
      <c r="H24" s="259">
        <v>18.55</v>
      </c>
      <c r="I24" s="259"/>
      <c r="J24" s="259">
        <v>22.5</v>
      </c>
      <c r="K24" s="259"/>
      <c r="L24" s="259">
        <v>0</v>
      </c>
      <c r="M24" s="259"/>
      <c r="N24" s="259">
        <v>41.05</v>
      </c>
      <c r="Q24" s="565">
        <v>0</v>
      </c>
      <c r="R24" s="259">
        <v>0.05</v>
      </c>
      <c r="S24" s="259">
        <v>0</v>
      </c>
      <c r="T24" s="259">
        <v>0</v>
      </c>
      <c r="U24" s="259">
        <v>0</v>
      </c>
    </row>
    <row r="25" spans="1:21" ht="10.5" customHeight="1">
      <c r="A25" s="173" t="s">
        <v>192</v>
      </c>
      <c r="B25" s="259">
        <v>1.9</v>
      </c>
      <c r="C25" s="259"/>
      <c r="D25" s="259">
        <v>0</v>
      </c>
      <c r="E25" s="259"/>
      <c r="F25" s="259">
        <v>0</v>
      </c>
      <c r="G25" s="259"/>
      <c r="H25" s="259">
        <v>118.4</v>
      </c>
      <c r="I25" s="259"/>
      <c r="J25" s="259">
        <v>33.9</v>
      </c>
      <c r="K25" s="259"/>
      <c r="L25" s="259">
        <v>12.5</v>
      </c>
      <c r="M25" s="259"/>
      <c r="N25" s="259">
        <v>166.7</v>
      </c>
      <c r="Q25" s="565">
        <v>0</v>
      </c>
      <c r="R25" s="259">
        <v>108</v>
      </c>
      <c r="S25" s="259">
        <v>1</v>
      </c>
      <c r="T25" s="259">
        <v>0</v>
      </c>
      <c r="U25" s="259">
        <v>267.31</v>
      </c>
    </row>
    <row r="26" spans="1:21" ht="10.5" customHeight="1">
      <c r="A26" s="173" t="s">
        <v>193</v>
      </c>
      <c r="B26" s="259">
        <v>0</v>
      </c>
      <c r="C26" s="259"/>
      <c r="D26" s="259">
        <v>0</v>
      </c>
      <c r="E26" s="259"/>
      <c r="F26" s="259">
        <v>0</v>
      </c>
      <c r="G26" s="259"/>
      <c r="H26" s="259">
        <v>11</v>
      </c>
      <c r="I26" s="259"/>
      <c r="J26" s="259">
        <v>5.75</v>
      </c>
      <c r="K26" s="259"/>
      <c r="L26" s="259">
        <v>10</v>
      </c>
      <c r="M26" s="259"/>
      <c r="N26" s="259">
        <v>26.75</v>
      </c>
      <c r="Q26" s="565">
        <v>0</v>
      </c>
      <c r="R26" s="259">
        <v>0.5</v>
      </c>
      <c r="S26" s="259">
        <v>0</v>
      </c>
      <c r="T26" s="259">
        <v>3</v>
      </c>
      <c r="U26" s="259">
        <v>144.9</v>
      </c>
    </row>
    <row r="27" spans="1:21" ht="10.5" customHeight="1">
      <c r="A27" s="173" t="s">
        <v>194</v>
      </c>
      <c r="B27" s="259">
        <v>2.5</v>
      </c>
      <c r="C27" s="259"/>
      <c r="D27" s="259">
        <v>0</v>
      </c>
      <c r="E27" s="259"/>
      <c r="F27" s="259">
        <v>0</v>
      </c>
      <c r="G27" s="259"/>
      <c r="H27" s="259">
        <v>13</v>
      </c>
      <c r="I27" s="259"/>
      <c r="J27" s="259">
        <v>9</v>
      </c>
      <c r="K27" s="259"/>
      <c r="L27" s="259">
        <v>0</v>
      </c>
      <c r="M27" s="259"/>
      <c r="N27" s="259">
        <v>24.5</v>
      </c>
      <c r="Q27" s="565">
        <v>0</v>
      </c>
      <c r="R27" s="259">
        <v>4.5</v>
      </c>
      <c r="S27" s="259">
        <v>0</v>
      </c>
      <c r="T27" s="259">
        <v>0</v>
      </c>
      <c r="U27" s="259">
        <v>0</v>
      </c>
    </row>
    <row r="28" spans="1:21" ht="10.5" customHeight="1">
      <c r="A28" s="173" t="s">
        <v>328</v>
      </c>
      <c r="B28" s="259">
        <v>0</v>
      </c>
      <c r="C28" s="259"/>
      <c r="D28" s="259">
        <v>0</v>
      </c>
      <c r="E28" s="259"/>
      <c r="F28" s="259">
        <v>0</v>
      </c>
      <c r="G28" s="259"/>
      <c r="H28" s="259">
        <v>11</v>
      </c>
      <c r="I28" s="259"/>
      <c r="J28" s="259">
        <v>0</v>
      </c>
      <c r="K28" s="259"/>
      <c r="L28" s="259">
        <v>0</v>
      </c>
      <c r="M28" s="259"/>
      <c r="N28" s="259">
        <v>11</v>
      </c>
      <c r="Q28" s="565">
        <v>0</v>
      </c>
      <c r="R28" s="259">
        <v>0</v>
      </c>
      <c r="S28" s="259">
        <v>0</v>
      </c>
      <c r="T28" s="259">
        <v>0</v>
      </c>
      <c r="U28" s="259">
        <v>0</v>
      </c>
    </row>
    <row r="29" spans="1:21" ht="10.5" customHeight="1">
      <c r="A29" s="173" t="s">
        <v>195</v>
      </c>
      <c r="B29" s="259">
        <v>0.55</v>
      </c>
      <c r="C29" s="259"/>
      <c r="D29" s="259">
        <v>7.02</v>
      </c>
      <c r="E29" s="259"/>
      <c r="F29" s="259">
        <v>3.02</v>
      </c>
      <c r="G29" s="259"/>
      <c r="H29" s="259">
        <v>189.9</v>
      </c>
      <c r="I29" s="259"/>
      <c r="J29" s="259">
        <v>18.22</v>
      </c>
      <c r="K29" s="259"/>
      <c r="L29" s="259">
        <v>75</v>
      </c>
      <c r="M29" s="259"/>
      <c r="N29" s="259">
        <v>293.71</v>
      </c>
      <c r="Q29" s="565">
        <v>0.5</v>
      </c>
      <c r="R29" s="259">
        <v>40.85</v>
      </c>
      <c r="S29" s="259">
        <v>165.04</v>
      </c>
      <c r="T29" s="259">
        <v>1</v>
      </c>
      <c r="U29" s="259">
        <v>0</v>
      </c>
    </row>
    <row r="30" spans="1:21" ht="10.5" customHeight="1">
      <c r="A30" s="173" t="s">
        <v>196</v>
      </c>
      <c r="B30" s="259">
        <v>0</v>
      </c>
      <c r="C30" s="259"/>
      <c r="D30" s="259">
        <v>0.0009</v>
      </c>
      <c r="E30" s="259"/>
      <c r="F30" s="259">
        <v>0</v>
      </c>
      <c r="G30" s="259"/>
      <c r="H30" s="259">
        <v>58.75</v>
      </c>
      <c r="I30" s="259"/>
      <c r="J30" s="259">
        <v>302</v>
      </c>
      <c r="K30" s="259"/>
      <c r="L30" s="259">
        <v>0</v>
      </c>
      <c r="M30" s="259"/>
      <c r="N30" s="259">
        <v>360.7509</v>
      </c>
      <c r="Q30" s="565">
        <v>0</v>
      </c>
      <c r="R30" s="259">
        <v>23.364</v>
      </c>
      <c r="S30" s="259">
        <v>0</v>
      </c>
      <c r="T30" s="259">
        <v>0</v>
      </c>
      <c r="U30" s="259">
        <v>0</v>
      </c>
    </row>
    <row r="31" spans="1:21" ht="10.5" customHeight="1">
      <c r="A31" s="173" t="s">
        <v>284</v>
      </c>
      <c r="B31" s="259">
        <v>5</v>
      </c>
      <c r="C31" s="259"/>
      <c r="D31" s="259">
        <v>15.46</v>
      </c>
      <c r="E31" s="259"/>
      <c r="F31" s="259">
        <v>1.27</v>
      </c>
      <c r="G31" s="259"/>
      <c r="H31" s="259">
        <v>103.52</v>
      </c>
      <c r="I31" s="259"/>
      <c r="J31" s="259">
        <v>273.8</v>
      </c>
      <c r="K31" s="259"/>
      <c r="L31" s="259">
        <v>99.92</v>
      </c>
      <c r="M31" s="259"/>
      <c r="N31" s="259">
        <v>498.97</v>
      </c>
      <c r="Q31" s="565">
        <v>0.25</v>
      </c>
      <c r="R31" s="259">
        <v>6.77</v>
      </c>
      <c r="S31" s="259">
        <v>58.11</v>
      </c>
      <c r="T31" s="259">
        <v>0</v>
      </c>
      <c r="U31" s="259">
        <v>2</v>
      </c>
    </row>
    <row r="32" spans="1:21" ht="10.5" customHeight="1">
      <c r="A32" s="173" t="s">
        <v>197</v>
      </c>
      <c r="B32" s="259">
        <v>0.5</v>
      </c>
      <c r="C32" s="259"/>
      <c r="D32" s="259">
        <v>0</v>
      </c>
      <c r="E32" s="259"/>
      <c r="F32" s="259">
        <v>0</v>
      </c>
      <c r="G32" s="259"/>
      <c r="H32" s="259">
        <v>7</v>
      </c>
      <c r="I32" s="259"/>
      <c r="J32" s="259">
        <v>33.5</v>
      </c>
      <c r="K32" s="259"/>
      <c r="L32" s="259">
        <v>57.5</v>
      </c>
      <c r="M32" s="259"/>
      <c r="N32" s="259">
        <v>98.5</v>
      </c>
      <c r="Q32" s="565">
        <v>0</v>
      </c>
      <c r="R32" s="259">
        <v>0</v>
      </c>
      <c r="S32" s="259">
        <v>1</v>
      </c>
      <c r="T32" s="259">
        <v>2390.9</v>
      </c>
      <c r="U32" s="259">
        <v>76</v>
      </c>
    </row>
    <row r="33" spans="1:21" ht="10.5" customHeight="1">
      <c r="A33" s="173" t="s">
        <v>198</v>
      </c>
      <c r="B33" s="259">
        <v>2.25</v>
      </c>
      <c r="C33" s="259"/>
      <c r="D33" s="259">
        <v>0</v>
      </c>
      <c r="E33" s="259"/>
      <c r="F33" s="259">
        <v>0</v>
      </c>
      <c r="G33" s="259"/>
      <c r="H33" s="259">
        <v>111.26</v>
      </c>
      <c r="I33" s="259"/>
      <c r="J33" s="259">
        <v>150.05</v>
      </c>
      <c r="K33" s="259"/>
      <c r="L33" s="259">
        <v>486.17</v>
      </c>
      <c r="M33" s="259"/>
      <c r="N33" s="259">
        <v>749.73</v>
      </c>
      <c r="Q33" s="565">
        <v>0</v>
      </c>
      <c r="R33" s="259">
        <v>28.22</v>
      </c>
      <c r="S33" s="259">
        <v>0</v>
      </c>
      <c r="T33" s="259">
        <v>472.7</v>
      </c>
      <c r="U33" s="259">
        <v>1347.56</v>
      </c>
    </row>
    <row r="34" spans="1:21" ht="10.5" customHeight="1">
      <c r="A34" s="173" t="s">
        <v>329</v>
      </c>
      <c r="B34" s="259">
        <v>1</v>
      </c>
      <c r="C34" s="259"/>
      <c r="D34" s="259">
        <v>0.5</v>
      </c>
      <c r="E34" s="259"/>
      <c r="F34" s="259">
        <v>0.25</v>
      </c>
      <c r="G34" s="259"/>
      <c r="H34" s="259">
        <v>0</v>
      </c>
      <c r="I34" s="259"/>
      <c r="J34" s="259">
        <v>6</v>
      </c>
      <c r="K34" s="259"/>
      <c r="L34" s="259">
        <v>0</v>
      </c>
      <c r="M34" s="259"/>
      <c r="N34" s="259">
        <v>7.75</v>
      </c>
      <c r="Q34" s="565">
        <v>0</v>
      </c>
      <c r="R34" s="259">
        <v>1</v>
      </c>
      <c r="S34" s="259">
        <v>0.5</v>
      </c>
      <c r="T34" s="259">
        <v>0</v>
      </c>
      <c r="U34" s="259">
        <v>0</v>
      </c>
    </row>
    <row r="35" spans="1:21" ht="10.5" customHeight="1">
      <c r="A35" s="173" t="s">
        <v>199</v>
      </c>
      <c r="B35" s="259">
        <v>0</v>
      </c>
      <c r="C35" s="259"/>
      <c r="D35" s="259">
        <v>0</v>
      </c>
      <c r="E35" s="259"/>
      <c r="F35" s="259">
        <v>0</v>
      </c>
      <c r="G35" s="259"/>
      <c r="H35" s="259">
        <v>1</v>
      </c>
      <c r="I35" s="259"/>
      <c r="J35" s="259">
        <v>38</v>
      </c>
      <c r="K35" s="259"/>
      <c r="L35" s="259">
        <v>0</v>
      </c>
      <c r="M35" s="259"/>
      <c r="N35" s="259">
        <v>39</v>
      </c>
      <c r="Q35" s="565">
        <v>0</v>
      </c>
      <c r="R35" s="259">
        <v>25</v>
      </c>
      <c r="S35" s="259">
        <v>0</v>
      </c>
      <c r="T35" s="259">
        <v>0</v>
      </c>
      <c r="U35" s="259">
        <v>69</v>
      </c>
    </row>
    <row r="36" spans="1:21" ht="10.5" customHeight="1">
      <c r="A36" s="173" t="s">
        <v>200</v>
      </c>
      <c r="B36" s="259">
        <v>4</v>
      </c>
      <c r="C36" s="259"/>
      <c r="D36" s="259">
        <v>3</v>
      </c>
      <c r="E36" s="259"/>
      <c r="F36" s="259">
        <v>0</v>
      </c>
      <c r="G36" s="259"/>
      <c r="H36" s="259">
        <v>31</v>
      </c>
      <c r="I36" s="259"/>
      <c r="J36" s="259">
        <v>141</v>
      </c>
      <c r="K36" s="259"/>
      <c r="L36" s="259">
        <v>4</v>
      </c>
      <c r="M36" s="259"/>
      <c r="N36" s="259">
        <v>183</v>
      </c>
      <c r="Q36" s="565">
        <v>5</v>
      </c>
      <c r="R36" s="259">
        <v>20</v>
      </c>
      <c r="S36" s="259">
        <v>7</v>
      </c>
      <c r="T36" s="259">
        <v>0</v>
      </c>
      <c r="U36" s="571">
        <v>9060</v>
      </c>
    </row>
    <row r="37" spans="1:21" ht="10.5" customHeight="1">
      <c r="A37" s="173" t="s">
        <v>201</v>
      </c>
      <c r="B37" s="259">
        <v>0</v>
      </c>
      <c r="C37" s="259"/>
      <c r="D37" s="259">
        <v>2</v>
      </c>
      <c r="E37" s="259"/>
      <c r="F37" s="259">
        <v>0</v>
      </c>
      <c r="G37" s="259"/>
      <c r="H37" s="259">
        <v>2</v>
      </c>
      <c r="I37" s="259"/>
      <c r="J37" s="259">
        <v>15</v>
      </c>
      <c r="K37" s="259"/>
      <c r="L37" s="259">
        <v>34</v>
      </c>
      <c r="M37" s="259"/>
      <c r="N37" s="259">
        <v>53</v>
      </c>
      <c r="Q37" s="565">
        <v>1</v>
      </c>
      <c r="R37" s="259">
        <v>1</v>
      </c>
      <c r="S37" s="259">
        <v>1</v>
      </c>
      <c r="T37" s="259">
        <v>54</v>
      </c>
      <c r="U37" s="259">
        <v>201</v>
      </c>
    </row>
    <row r="38" spans="1:21" ht="10.5" customHeight="1">
      <c r="A38" s="173" t="s">
        <v>202</v>
      </c>
      <c r="B38" s="259">
        <v>0</v>
      </c>
      <c r="C38" s="259"/>
      <c r="D38" s="259">
        <v>0</v>
      </c>
      <c r="E38" s="259"/>
      <c r="F38" s="259">
        <v>0</v>
      </c>
      <c r="G38" s="259"/>
      <c r="H38" s="259">
        <v>6</v>
      </c>
      <c r="I38" s="259"/>
      <c r="J38" s="259">
        <v>8</v>
      </c>
      <c r="K38" s="259"/>
      <c r="L38" s="259">
        <v>0</v>
      </c>
      <c r="M38" s="259"/>
      <c r="N38" s="259">
        <v>14</v>
      </c>
      <c r="Q38" s="565">
        <v>0</v>
      </c>
      <c r="R38" s="259">
        <v>0</v>
      </c>
      <c r="S38" s="259">
        <v>0</v>
      </c>
      <c r="T38" s="259">
        <v>0</v>
      </c>
      <c r="U38" s="259">
        <v>0</v>
      </c>
    </row>
    <row r="39" spans="1:21" ht="10.5" customHeight="1">
      <c r="A39" s="173" t="s">
        <v>203</v>
      </c>
      <c r="B39" s="259">
        <v>0</v>
      </c>
      <c r="C39" s="259"/>
      <c r="D39" s="259">
        <v>0</v>
      </c>
      <c r="E39" s="259"/>
      <c r="F39" s="259">
        <v>0</v>
      </c>
      <c r="G39" s="259"/>
      <c r="H39" s="259">
        <v>88.1</v>
      </c>
      <c r="I39" s="259"/>
      <c r="J39" s="259">
        <v>128.3</v>
      </c>
      <c r="K39" s="259"/>
      <c r="L39" s="259">
        <v>0</v>
      </c>
      <c r="M39" s="259"/>
      <c r="N39" s="259">
        <v>216.4</v>
      </c>
      <c r="Q39" s="565">
        <v>0.01</v>
      </c>
      <c r="R39" s="259">
        <v>0</v>
      </c>
      <c r="S39" s="259">
        <v>0</v>
      </c>
      <c r="T39" s="259">
        <v>0</v>
      </c>
      <c r="U39" s="259">
        <v>0</v>
      </c>
    </row>
    <row r="40" spans="1:21" ht="10.5" customHeight="1">
      <c r="A40" s="173" t="s">
        <v>204</v>
      </c>
      <c r="B40" s="259">
        <v>10.12</v>
      </c>
      <c r="C40" s="259"/>
      <c r="D40" s="259">
        <v>0</v>
      </c>
      <c r="E40" s="259"/>
      <c r="F40" s="259">
        <v>0</v>
      </c>
      <c r="G40" s="259"/>
      <c r="H40" s="259">
        <v>0</v>
      </c>
      <c r="I40" s="259"/>
      <c r="J40" s="259">
        <v>226.525</v>
      </c>
      <c r="K40" s="259"/>
      <c r="L40" s="259">
        <v>0</v>
      </c>
      <c r="M40" s="259"/>
      <c r="N40" s="259">
        <v>236.645</v>
      </c>
      <c r="Q40" s="565">
        <v>0</v>
      </c>
      <c r="R40" s="259">
        <v>17.66</v>
      </c>
      <c r="S40" s="259">
        <v>0</v>
      </c>
      <c r="T40" s="259">
        <v>0</v>
      </c>
      <c r="U40" s="259">
        <v>0</v>
      </c>
    </row>
    <row r="41" spans="1:21" ht="10.5" customHeight="1">
      <c r="A41" s="173" t="s">
        <v>205</v>
      </c>
      <c r="B41" s="259">
        <v>20</v>
      </c>
      <c r="C41" s="259"/>
      <c r="D41" s="259">
        <v>0</v>
      </c>
      <c r="E41" s="259"/>
      <c r="F41" s="259">
        <v>0</v>
      </c>
      <c r="G41" s="259"/>
      <c r="H41" s="259">
        <v>71</v>
      </c>
      <c r="I41" s="259"/>
      <c r="J41" s="259">
        <v>331</v>
      </c>
      <c r="K41" s="259"/>
      <c r="L41" s="259">
        <v>221</v>
      </c>
      <c r="M41" s="259"/>
      <c r="N41" s="259">
        <v>643</v>
      </c>
      <c r="Q41" s="565">
        <v>0</v>
      </c>
      <c r="R41" s="259">
        <v>16</v>
      </c>
      <c r="S41" s="259">
        <v>0</v>
      </c>
      <c r="T41" s="259">
        <v>45</v>
      </c>
      <c r="U41" s="259">
        <v>0</v>
      </c>
    </row>
    <row r="42" spans="1:21" ht="10.5" customHeight="1">
      <c r="A42" s="173" t="s">
        <v>206</v>
      </c>
      <c r="B42" s="259">
        <v>0</v>
      </c>
      <c r="C42" s="259"/>
      <c r="D42" s="259">
        <v>0</v>
      </c>
      <c r="E42" s="259"/>
      <c r="F42" s="259">
        <v>0</v>
      </c>
      <c r="G42" s="259"/>
      <c r="H42" s="259">
        <v>1</v>
      </c>
      <c r="I42" s="259"/>
      <c r="J42" s="259">
        <v>25</v>
      </c>
      <c r="K42" s="259"/>
      <c r="L42" s="259">
        <v>2926.45</v>
      </c>
      <c r="M42" s="259"/>
      <c r="N42" s="259">
        <v>2952.45</v>
      </c>
      <c r="Q42" s="565">
        <v>20.485</v>
      </c>
      <c r="R42" s="259">
        <v>79.16</v>
      </c>
      <c r="S42" s="259">
        <v>0</v>
      </c>
      <c r="T42" s="259">
        <v>140</v>
      </c>
      <c r="U42" s="259">
        <v>37.7</v>
      </c>
    </row>
    <row r="43" spans="1:21" ht="10.5" customHeight="1">
      <c r="A43" s="173" t="s">
        <v>207</v>
      </c>
      <c r="B43" s="259">
        <v>10</v>
      </c>
      <c r="C43" s="259"/>
      <c r="D43" s="259">
        <v>58</v>
      </c>
      <c r="E43" s="259"/>
      <c r="F43" s="259">
        <v>0</v>
      </c>
      <c r="G43" s="259"/>
      <c r="H43" s="259">
        <v>28.695</v>
      </c>
      <c r="I43" s="259"/>
      <c r="J43" s="259">
        <v>226.9</v>
      </c>
      <c r="K43" s="259"/>
      <c r="L43" s="259">
        <v>316.85</v>
      </c>
      <c r="M43" s="259"/>
      <c r="N43" s="259">
        <v>640.445</v>
      </c>
      <c r="Q43" s="565">
        <v>1</v>
      </c>
      <c r="R43" s="259">
        <v>263.31</v>
      </c>
      <c r="S43" s="259">
        <v>42</v>
      </c>
      <c r="T43" s="259">
        <v>0</v>
      </c>
      <c r="U43" s="259">
        <v>0</v>
      </c>
    </row>
    <row r="44" spans="1:21" ht="10.5" customHeight="1">
      <c r="A44" s="173" t="s">
        <v>208</v>
      </c>
      <c r="B44" s="259">
        <v>0</v>
      </c>
      <c r="C44" s="259"/>
      <c r="D44" s="259">
        <v>0</v>
      </c>
      <c r="E44" s="259"/>
      <c r="F44" s="259">
        <v>0</v>
      </c>
      <c r="G44" s="259"/>
      <c r="H44" s="259">
        <v>0</v>
      </c>
      <c r="I44" s="259"/>
      <c r="J44" s="259">
        <v>0</v>
      </c>
      <c r="K44" s="259"/>
      <c r="L44" s="259">
        <v>65.15</v>
      </c>
      <c r="M44" s="259"/>
      <c r="N44" s="259">
        <v>65.15</v>
      </c>
      <c r="Q44" s="565">
        <v>0</v>
      </c>
      <c r="R44" s="259">
        <v>0</v>
      </c>
      <c r="S44" s="259">
        <v>189.6</v>
      </c>
      <c r="T44" s="259">
        <v>1009</v>
      </c>
      <c r="U44" s="259">
        <v>3823</v>
      </c>
    </row>
    <row r="45" spans="1:21" ht="10.5" customHeight="1">
      <c r="A45" s="173" t="s">
        <v>209</v>
      </c>
      <c r="B45" s="259">
        <v>0</v>
      </c>
      <c r="C45" s="259"/>
      <c r="D45" s="259">
        <v>0</v>
      </c>
      <c r="E45" s="259"/>
      <c r="F45" s="259">
        <v>0</v>
      </c>
      <c r="G45" s="259"/>
      <c r="H45" s="259">
        <v>286</v>
      </c>
      <c r="I45" s="259"/>
      <c r="J45" s="259">
        <v>286.2</v>
      </c>
      <c r="K45" s="259"/>
      <c r="L45" s="259">
        <v>9</v>
      </c>
      <c r="M45" s="259"/>
      <c r="N45" s="259">
        <v>581.2</v>
      </c>
      <c r="Q45" s="565">
        <v>4</v>
      </c>
      <c r="R45" s="259">
        <v>101</v>
      </c>
      <c r="S45" s="259">
        <v>5</v>
      </c>
      <c r="T45" s="259">
        <v>0</v>
      </c>
      <c r="U45" s="259">
        <v>0</v>
      </c>
    </row>
    <row r="46" spans="1:21" ht="10.5" customHeight="1">
      <c r="A46" s="173" t="s">
        <v>210</v>
      </c>
      <c r="B46" s="259">
        <v>0</v>
      </c>
      <c r="C46" s="259"/>
      <c r="D46" s="259">
        <v>0</v>
      </c>
      <c r="E46" s="259"/>
      <c r="F46" s="259">
        <v>0</v>
      </c>
      <c r="G46" s="259"/>
      <c r="H46" s="259">
        <v>0</v>
      </c>
      <c r="I46" s="259"/>
      <c r="J46" s="259">
        <v>180</v>
      </c>
      <c r="K46" s="259"/>
      <c r="L46" s="259">
        <v>0</v>
      </c>
      <c r="M46" s="259"/>
      <c r="N46" s="259">
        <v>180</v>
      </c>
      <c r="Q46" s="565">
        <v>1</v>
      </c>
      <c r="R46" s="259">
        <v>3</v>
      </c>
      <c r="S46" s="259">
        <v>0</v>
      </c>
      <c r="T46" s="259">
        <v>0</v>
      </c>
      <c r="U46" s="259">
        <v>0</v>
      </c>
    </row>
    <row r="47" spans="1:21" ht="10.5" customHeight="1">
      <c r="A47" s="173" t="s">
        <v>211</v>
      </c>
      <c r="B47" s="259">
        <v>21</v>
      </c>
      <c r="C47" s="259"/>
      <c r="D47" s="259">
        <v>0</v>
      </c>
      <c r="E47" s="259"/>
      <c r="F47" s="259">
        <v>3</v>
      </c>
      <c r="G47" s="259"/>
      <c r="H47" s="259">
        <v>136</v>
      </c>
      <c r="I47" s="259"/>
      <c r="J47" s="259">
        <v>257</v>
      </c>
      <c r="K47" s="259"/>
      <c r="L47" s="259">
        <v>3320</v>
      </c>
      <c r="M47" s="259"/>
      <c r="N47" s="259">
        <v>3737</v>
      </c>
      <c r="Q47" s="565">
        <v>3</v>
      </c>
      <c r="R47" s="259">
        <v>277</v>
      </c>
      <c r="S47" s="259">
        <v>645</v>
      </c>
      <c r="T47" s="259">
        <v>32</v>
      </c>
      <c r="U47" s="259">
        <v>160</v>
      </c>
    </row>
    <row r="48" spans="1:21" ht="10.5" customHeight="1">
      <c r="A48" s="173" t="s">
        <v>212</v>
      </c>
      <c r="B48" s="259">
        <v>54</v>
      </c>
      <c r="C48" s="259"/>
      <c r="D48" s="259">
        <v>64.3</v>
      </c>
      <c r="E48" s="259"/>
      <c r="F48" s="259">
        <v>0</v>
      </c>
      <c r="G48" s="259"/>
      <c r="H48" s="259">
        <v>108</v>
      </c>
      <c r="I48" s="259"/>
      <c r="J48" s="259">
        <v>642.5</v>
      </c>
      <c r="K48" s="259"/>
      <c r="L48" s="259">
        <v>0</v>
      </c>
      <c r="M48" s="259"/>
      <c r="N48" s="259">
        <v>868.8</v>
      </c>
      <c r="Q48" s="565">
        <v>91</v>
      </c>
      <c r="R48" s="259">
        <v>6.6</v>
      </c>
      <c r="S48" s="259">
        <v>3</v>
      </c>
      <c r="T48" s="259">
        <v>0</v>
      </c>
      <c r="U48" s="259">
        <v>0</v>
      </c>
    </row>
    <row r="49" spans="1:21" ht="10.5" customHeight="1">
      <c r="A49" s="173" t="s">
        <v>213</v>
      </c>
      <c r="B49" s="259">
        <v>2.3</v>
      </c>
      <c r="C49" s="259"/>
      <c r="D49" s="259">
        <v>2.5</v>
      </c>
      <c r="E49" s="259"/>
      <c r="F49" s="259">
        <v>0</v>
      </c>
      <c r="G49" s="259"/>
      <c r="H49" s="259">
        <v>7</v>
      </c>
      <c r="I49" s="259"/>
      <c r="J49" s="259">
        <v>27.5</v>
      </c>
      <c r="K49" s="259"/>
      <c r="L49" s="259">
        <v>1.2</v>
      </c>
      <c r="M49" s="259"/>
      <c r="N49" s="259">
        <v>40.5</v>
      </c>
      <c r="Q49" s="565">
        <v>0.1</v>
      </c>
      <c r="R49" s="259">
        <v>0.2</v>
      </c>
      <c r="S49" s="259">
        <v>0.8</v>
      </c>
      <c r="T49" s="259">
        <v>0</v>
      </c>
      <c r="U49" s="259">
        <v>0</v>
      </c>
    </row>
    <row r="50" spans="1:21" ht="10.5" customHeight="1">
      <c r="A50" s="173" t="s">
        <v>214</v>
      </c>
      <c r="B50" s="259">
        <v>0</v>
      </c>
      <c r="C50" s="259"/>
      <c r="D50" s="259">
        <v>0</v>
      </c>
      <c r="E50" s="259"/>
      <c r="F50" s="259">
        <v>0</v>
      </c>
      <c r="G50" s="259"/>
      <c r="H50" s="259">
        <v>0</v>
      </c>
      <c r="I50" s="259"/>
      <c r="J50" s="259">
        <v>52.8</v>
      </c>
      <c r="K50" s="259"/>
      <c r="L50" s="259">
        <v>0</v>
      </c>
      <c r="M50" s="259"/>
      <c r="N50" s="259">
        <v>52.8</v>
      </c>
      <c r="Q50" s="565">
        <v>0</v>
      </c>
      <c r="R50" s="259">
        <v>0</v>
      </c>
      <c r="S50" s="259">
        <v>0</v>
      </c>
      <c r="T50" s="259">
        <v>0</v>
      </c>
      <c r="U50" s="259">
        <v>0</v>
      </c>
    </row>
    <row r="51" spans="1:21" ht="10.5" customHeight="1">
      <c r="A51" s="173" t="s">
        <v>215</v>
      </c>
      <c r="B51" s="259">
        <v>1</v>
      </c>
      <c r="C51" s="259"/>
      <c r="D51" s="259">
        <v>0</v>
      </c>
      <c r="E51" s="259"/>
      <c r="F51" s="259">
        <v>0</v>
      </c>
      <c r="G51" s="259"/>
      <c r="H51" s="259">
        <v>0</v>
      </c>
      <c r="I51" s="259"/>
      <c r="J51" s="259">
        <v>1</v>
      </c>
      <c r="K51" s="259"/>
      <c r="L51" s="259">
        <v>27.25</v>
      </c>
      <c r="M51" s="259"/>
      <c r="N51" s="259">
        <v>29.25</v>
      </c>
      <c r="Q51" s="565">
        <v>0</v>
      </c>
      <c r="R51" s="259">
        <v>19</v>
      </c>
      <c r="S51" s="259">
        <v>0</v>
      </c>
      <c r="T51" s="259">
        <v>50</v>
      </c>
      <c r="U51" s="259">
        <v>867.05</v>
      </c>
    </row>
    <row r="52" spans="1:21" ht="10.5" customHeight="1">
      <c r="A52" s="173" t="s">
        <v>216</v>
      </c>
      <c r="B52" s="259">
        <v>0</v>
      </c>
      <c r="C52" s="259"/>
      <c r="D52" s="259">
        <v>0</v>
      </c>
      <c r="E52" s="259"/>
      <c r="F52" s="259">
        <v>0</v>
      </c>
      <c r="G52" s="259"/>
      <c r="H52" s="259">
        <v>2</v>
      </c>
      <c r="I52" s="259"/>
      <c r="J52" s="259">
        <v>40</v>
      </c>
      <c r="K52" s="259"/>
      <c r="L52" s="259">
        <v>1</v>
      </c>
      <c r="M52" s="259"/>
      <c r="N52" s="259">
        <v>43</v>
      </c>
      <c r="Q52" s="565">
        <v>0</v>
      </c>
      <c r="R52" s="259">
        <v>0</v>
      </c>
      <c r="S52" s="259">
        <v>0</v>
      </c>
      <c r="T52" s="259">
        <v>0</v>
      </c>
      <c r="U52" s="259">
        <v>0</v>
      </c>
    </row>
    <row r="53" spans="1:21" ht="10.5" customHeight="1">
      <c r="A53" s="173" t="s">
        <v>217</v>
      </c>
      <c r="B53" s="259">
        <v>1</v>
      </c>
      <c r="C53" s="259"/>
      <c r="D53" s="259">
        <v>0</v>
      </c>
      <c r="E53" s="259"/>
      <c r="F53" s="259">
        <v>0</v>
      </c>
      <c r="G53" s="259"/>
      <c r="H53" s="259">
        <v>61</v>
      </c>
      <c r="I53" s="259"/>
      <c r="J53" s="259">
        <v>237</v>
      </c>
      <c r="K53" s="259"/>
      <c r="L53" s="259">
        <v>325.5</v>
      </c>
      <c r="M53" s="259"/>
      <c r="N53" s="259">
        <v>624.5</v>
      </c>
      <c r="Q53" s="565">
        <v>2</v>
      </c>
      <c r="R53" s="259">
        <v>594.2</v>
      </c>
      <c r="S53" s="259">
        <v>8</v>
      </c>
      <c r="T53" s="259">
        <v>1066</v>
      </c>
      <c r="U53" s="259">
        <v>0</v>
      </c>
    </row>
    <row r="54" spans="1:21" ht="10.5" customHeight="1">
      <c r="A54" s="173" t="s">
        <v>218</v>
      </c>
      <c r="B54" s="259">
        <v>0</v>
      </c>
      <c r="C54" s="259"/>
      <c r="D54" s="259">
        <v>0</v>
      </c>
      <c r="E54" s="259"/>
      <c r="F54" s="259">
        <v>0</v>
      </c>
      <c r="G54" s="259"/>
      <c r="H54" s="259">
        <v>0</v>
      </c>
      <c r="I54" s="259"/>
      <c r="J54" s="259">
        <v>193.9</v>
      </c>
      <c r="K54" s="259"/>
      <c r="L54" s="259">
        <v>0</v>
      </c>
      <c r="M54" s="259"/>
      <c r="N54" s="259">
        <v>193.9</v>
      </c>
      <c r="Q54" s="565">
        <v>0</v>
      </c>
      <c r="R54" s="259">
        <v>110.25</v>
      </c>
      <c r="S54" s="259">
        <v>0</v>
      </c>
      <c r="T54" s="259">
        <v>0</v>
      </c>
      <c r="U54" s="259">
        <v>0</v>
      </c>
    </row>
    <row r="55" spans="1:21" ht="10.5" customHeight="1">
      <c r="A55" s="173" t="s">
        <v>219</v>
      </c>
      <c r="B55" s="259">
        <v>0</v>
      </c>
      <c r="C55" s="259"/>
      <c r="D55" s="259">
        <v>0</v>
      </c>
      <c r="E55" s="259"/>
      <c r="F55" s="259">
        <v>0</v>
      </c>
      <c r="G55" s="259"/>
      <c r="H55" s="259">
        <v>0</v>
      </c>
      <c r="I55" s="259"/>
      <c r="J55" s="259">
        <v>963</v>
      </c>
      <c r="K55" s="259"/>
      <c r="L55" s="259">
        <v>0</v>
      </c>
      <c r="M55" s="259"/>
      <c r="N55" s="259">
        <v>963</v>
      </c>
      <c r="Q55" s="565">
        <v>0</v>
      </c>
      <c r="R55" s="259">
        <v>0</v>
      </c>
      <c r="S55" s="259">
        <v>0</v>
      </c>
      <c r="T55" s="259">
        <v>0</v>
      </c>
      <c r="U55" s="259">
        <v>0</v>
      </c>
    </row>
    <row r="56" spans="1:21" ht="10.5" customHeight="1">
      <c r="A56" s="173" t="s">
        <v>220</v>
      </c>
      <c r="B56" s="259">
        <v>0</v>
      </c>
      <c r="C56" s="259"/>
      <c r="D56" s="259">
        <v>0</v>
      </c>
      <c r="E56" s="259"/>
      <c r="F56" s="259">
        <v>0</v>
      </c>
      <c r="G56" s="259"/>
      <c r="H56" s="259">
        <v>16.75</v>
      </c>
      <c r="I56" s="259"/>
      <c r="J56" s="259">
        <v>4842.65</v>
      </c>
      <c r="K56" s="259"/>
      <c r="L56" s="259">
        <v>0</v>
      </c>
      <c r="M56" s="259"/>
      <c r="N56" s="259">
        <v>4859.4</v>
      </c>
      <c r="Q56" s="565">
        <v>0</v>
      </c>
      <c r="R56" s="259">
        <v>15</v>
      </c>
      <c r="S56" s="259">
        <v>0</v>
      </c>
      <c r="T56" s="259">
        <v>0</v>
      </c>
      <c r="U56" s="259">
        <v>0</v>
      </c>
    </row>
    <row r="57" spans="1:21" ht="10.5" customHeight="1">
      <c r="A57" s="380" t="s">
        <v>221</v>
      </c>
      <c r="B57" s="381">
        <v>20</v>
      </c>
      <c r="C57" s="381"/>
      <c r="D57" s="381">
        <v>0</v>
      </c>
      <c r="E57" s="381"/>
      <c r="F57" s="381">
        <v>138</v>
      </c>
      <c r="G57" s="381"/>
      <c r="H57" s="381">
        <v>5</v>
      </c>
      <c r="I57" s="381"/>
      <c r="J57" s="381">
        <v>14</v>
      </c>
      <c r="K57" s="381"/>
      <c r="L57" s="381">
        <v>10154</v>
      </c>
      <c r="M57" s="381"/>
      <c r="N57" s="381">
        <v>10331</v>
      </c>
      <c r="O57" s="380"/>
      <c r="P57" s="380"/>
      <c r="Q57" s="570">
        <v>6</v>
      </c>
      <c r="R57" s="381">
        <v>989.5</v>
      </c>
      <c r="S57" s="381">
        <v>673</v>
      </c>
      <c r="T57" s="381">
        <v>556.5</v>
      </c>
      <c r="U57" s="381">
        <v>0</v>
      </c>
    </row>
    <row r="58" spans="1:21" ht="10.5" customHeight="1">
      <c r="A58" s="173" t="s">
        <v>222</v>
      </c>
      <c r="B58" s="259">
        <v>0</v>
      </c>
      <c r="C58" s="259"/>
      <c r="D58" s="259">
        <v>0</v>
      </c>
      <c r="E58" s="259"/>
      <c r="F58" s="259">
        <v>0</v>
      </c>
      <c r="G58" s="259"/>
      <c r="H58" s="259">
        <v>35</v>
      </c>
      <c r="I58" s="259"/>
      <c r="J58" s="259">
        <v>27</v>
      </c>
      <c r="K58" s="259"/>
      <c r="L58" s="259">
        <v>1</v>
      </c>
      <c r="M58" s="259"/>
      <c r="N58" s="259">
        <v>63</v>
      </c>
      <c r="Q58" s="565">
        <v>0</v>
      </c>
      <c r="R58" s="259">
        <v>0</v>
      </c>
      <c r="S58" s="259">
        <v>0</v>
      </c>
      <c r="T58" s="259">
        <v>0</v>
      </c>
      <c r="U58" s="259">
        <v>0</v>
      </c>
    </row>
    <row r="59" spans="1:21" ht="10.5" customHeight="1">
      <c r="A59" s="173" t="s">
        <v>223</v>
      </c>
      <c r="B59" s="259">
        <v>4.405</v>
      </c>
      <c r="C59" s="259"/>
      <c r="D59" s="259">
        <v>0</v>
      </c>
      <c r="E59" s="259"/>
      <c r="F59" s="259">
        <v>3</v>
      </c>
      <c r="G59" s="259"/>
      <c r="H59" s="259">
        <v>244.425</v>
      </c>
      <c r="I59" s="259"/>
      <c r="J59" s="259">
        <v>104.25</v>
      </c>
      <c r="K59" s="259"/>
      <c r="L59" s="259">
        <v>571.81</v>
      </c>
      <c r="M59" s="259"/>
      <c r="N59" s="259">
        <v>927.89</v>
      </c>
      <c r="Q59" s="565">
        <v>40</v>
      </c>
      <c r="R59" s="259">
        <v>4.75</v>
      </c>
      <c r="S59" s="259">
        <v>79.75</v>
      </c>
      <c r="T59" s="259">
        <v>503</v>
      </c>
      <c r="U59" s="259">
        <v>1615.9</v>
      </c>
    </row>
    <row r="60" spans="1:21" ht="10.5" customHeight="1">
      <c r="A60" s="173" t="s">
        <v>330</v>
      </c>
      <c r="B60" s="259">
        <v>0</v>
      </c>
      <c r="C60" s="259"/>
      <c r="D60" s="259">
        <v>0</v>
      </c>
      <c r="E60" s="259"/>
      <c r="F60" s="259">
        <v>0</v>
      </c>
      <c r="G60" s="259"/>
      <c r="H60" s="259">
        <v>0</v>
      </c>
      <c r="I60" s="259"/>
      <c r="J60" s="259">
        <v>0</v>
      </c>
      <c r="K60" s="259"/>
      <c r="L60" s="259">
        <v>0</v>
      </c>
      <c r="M60" s="259"/>
      <c r="N60" s="259">
        <v>0</v>
      </c>
      <c r="Q60" s="565">
        <v>0</v>
      </c>
      <c r="R60" s="259">
        <v>0</v>
      </c>
      <c r="S60" s="259">
        <v>0</v>
      </c>
      <c r="T60" s="259">
        <v>45</v>
      </c>
      <c r="U60" s="259">
        <v>14</v>
      </c>
    </row>
    <row r="61" spans="1:21" ht="6.75" customHeight="1">
      <c r="A61" s="172"/>
      <c r="B61" s="172"/>
      <c r="C61" s="172"/>
      <c r="D61" s="172"/>
      <c r="E61" s="172"/>
      <c r="F61" s="172"/>
      <c r="G61" s="172"/>
      <c r="H61" s="172"/>
      <c r="I61" s="172"/>
      <c r="J61" s="172"/>
      <c r="K61" s="172"/>
      <c r="L61" s="172"/>
      <c r="M61" s="172"/>
      <c r="N61" s="172"/>
      <c r="O61" s="172"/>
      <c r="P61" s="172"/>
      <c r="Q61" s="172"/>
      <c r="R61" s="172"/>
      <c r="S61" s="172"/>
      <c r="T61" s="172"/>
      <c r="U61" s="172"/>
    </row>
    <row r="62" ht="14.25" customHeight="1">
      <c r="A62" s="173" t="s">
        <v>224</v>
      </c>
    </row>
    <row r="63" ht="11.25">
      <c r="A63" s="173" t="s">
        <v>225</v>
      </c>
    </row>
    <row r="64" ht="18" customHeight="1">
      <c r="A64" s="415" t="s">
        <v>383</v>
      </c>
    </row>
    <row r="66" ht="11.25">
      <c r="A66" s="174" t="s">
        <v>226</v>
      </c>
    </row>
    <row r="67" ht="12.75">
      <c r="A67" s="208" t="s">
        <v>227</v>
      </c>
    </row>
  </sheetData>
  <hyperlinks>
    <hyperlink ref="A67" r:id="rId1" display="http://www.ers.usda.gov/Briefing/Organic/"/>
  </hyperlinks>
  <printOptions horizontalCentered="1"/>
  <pageMargins left="0.167" right="0.167" top="0.52" bottom="0.75" header="0" footer="0.28"/>
  <pageSetup fitToHeight="1" fitToWidth="1" horizontalDpi="600" verticalDpi="600" orientation="portrait" scale="89" r:id="rId2"/>
  <headerFooter alignWithMargins="0">
    <oddFooter>&amp;C&amp;"Arial,Italic"&amp;9Vegetables and Melons Outlook&amp;"Arial,Regular"/VGS-330/December 16, 2008
Economic Research Service, USDA</oddFooter>
  </headerFooter>
</worksheet>
</file>

<file path=xl/worksheets/sheet17.xml><?xml version="1.0" encoding="utf-8"?>
<worksheet xmlns="http://schemas.openxmlformats.org/spreadsheetml/2006/main" xmlns:r="http://schemas.openxmlformats.org/officeDocument/2006/relationships">
  <sheetPr>
    <tabColor indexed="50"/>
    <pageSetUpPr fitToPage="1"/>
  </sheetPr>
  <dimension ref="A2:P37"/>
  <sheetViews>
    <sheetView showGridLines="0" workbookViewId="0" topLeftCell="A1">
      <selection activeCell="A1" sqref="A1"/>
    </sheetView>
  </sheetViews>
  <sheetFormatPr defaultColWidth="9.140625" defaultRowHeight="12.75"/>
  <cols>
    <col min="1" max="1" width="13.00390625" style="0" customWidth="1"/>
    <col min="2" max="2" width="2.8515625" style="0" customWidth="1"/>
    <col min="3" max="3" width="10.7109375" style="0" customWidth="1"/>
    <col min="4" max="4" width="1.57421875" style="0" customWidth="1"/>
    <col min="5" max="5" width="10.7109375" style="0" customWidth="1"/>
    <col min="6" max="6" width="1.7109375" style="0" customWidth="1"/>
    <col min="7" max="7" width="10.7109375" style="0" customWidth="1"/>
    <col min="8" max="8" width="3.57421875" style="0" customWidth="1"/>
    <col min="9" max="9" width="10.7109375" style="0" customWidth="1"/>
    <col min="10" max="10" width="1.8515625" style="0" customWidth="1"/>
    <col min="11" max="11" width="10.7109375" style="0" customWidth="1"/>
    <col min="12" max="12" width="1.7109375" style="0" customWidth="1"/>
    <col min="13" max="13" width="10.7109375" style="0" customWidth="1"/>
    <col min="14" max="14" width="2.00390625" style="0" customWidth="1"/>
  </cols>
  <sheetData>
    <row r="2" spans="1:13" ht="10.5" customHeight="1">
      <c r="A2" s="238" t="s">
        <v>490</v>
      </c>
      <c r="B2" s="210"/>
      <c r="C2" s="210"/>
      <c r="D2" s="210"/>
      <c r="E2" s="211"/>
      <c r="F2" s="211"/>
      <c r="G2" s="211"/>
      <c r="H2" s="211"/>
      <c r="I2" s="211"/>
      <c r="J2" s="212"/>
      <c r="K2" s="212"/>
      <c r="L2" s="212"/>
      <c r="M2" s="212"/>
    </row>
    <row r="3" spans="1:14" ht="2.25" customHeight="1">
      <c r="A3" s="213"/>
      <c r="B3" s="213"/>
      <c r="C3" s="213"/>
      <c r="D3" s="213"/>
      <c r="E3" s="214"/>
      <c r="F3" s="214"/>
      <c r="G3" s="214"/>
      <c r="H3" s="214"/>
      <c r="I3" s="214"/>
      <c r="J3" s="214"/>
      <c r="K3" s="214"/>
      <c r="L3" s="214"/>
      <c r="M3" s="214"/>
      <c r="N3" s="213"/>
    </row>
    <row r="4" spans="1:14" ht="12.75" customHeight="1">
      <c r="A4" s="382"/>
      <c r="B4" s="382"/>
      <c r="C4" s="383" t="s">
        <v>235</v>
      </c>
      <c r="D4" s="384"/>
      <c r="E4" s="384"/>
      <c r="F4" s="383"/>
      <c r="G4" s="385"/>
      <c r="H4" s="385"/>
      <c r="I4" s="383" t="s">
        <v>281</v>
      </c>
      <c r="J4" s="385"/>
      <c r="K4" s="385"/>
      <c r="L4" s="385"/>
      <c r="M4" s="386"/>
      <c r="N4" s="387"/>
    </row>
    <row r="5" spans="1:14" ht="5.25" customHeight="1">
      <c r="A5" s="382"/>
      <c r="B5" s="382"/>
      <c r="C5" s="388"/>
      <c r="D5" s="389"/>
      <c r="E5" s="388"/>
      <c r="F5" s="389"/>
      <c r="G5" s="389"/>
      <c r="H5" s="383"/>
      <c r="I5" s="389"/>
      <c r="J5" s="389"/>
      <c r="K5" s="390"/>
      <c r="L5" s="389"/>
      <c r="M5" s="391"/>
      <c r="N5" s="382"/>
    </row>
    <row r="6" spans="1:14" ht="10.5" customHeight="1">
      <c r="A6" s="392" t="s">
        <v>58</v>
      </c>
      <c r="B6" s="392"/>
      <c r="C6" s="393">
        <v>1992</v>
      </c>
      <c r="D6" s="393"/>
      <c r="E6" s="393">
        <v>1997</v>
      </c>
      <c r="F6" s="393"/>
      <c r="G6" s="393">
        <v>2002</v>
      </c>
      <c r="H6" s="393"/>
      <c r="I6" s="393">
        <v>1992</v>
      </c>
      <c r="J6" s="393"/>
      <c r="K6" s="393">
        <v>1997</v>
      </c>
      <c r="L6" s="393"/>
      <c r="M6" s="393">
        <v>2002</v>
      </c>
      <c r="N6" s="392"/>
    </row>
    <row r="7" spans="1:14" ht="12.75" customHeight="1">
      <c r="A7" s="476"/>
      <c r="B7" s="476"/>
      <c r="C7" s="477" t="s">
        <v>282</v>
      </c>
      <c r="D7" s="477"/>
      <c r="E7" s="477"/>
      <c r="F7" s="477"/>
      <c r="G7" s="477"/>
      <c r="H7" s="477"/>
      <c r="I7" s="477" t="s">
        <v>283</v>
      </c>
      <c r="J7" s="478"/>
      <c r="K7" s="479"/>
      <c r="L7" s="480"/>
      <c r="M7" s="479"/>
      <c r="N7" s="215"/>
    </row>
    <row r="8" spans="1:14" ht="5.25" customHeight="1">
      <c r="A8" s="215"/>
      <c r="B8" s="215"/>
      <c r="C8" s="215"/>
      <c r="D8" s="215"/>
      <c r="E8" s="215"/>
      <c r="F8" s="215"/>
      <c r="G8" s="215"/>
      <c r="H8" s="215"/>
      <c r="I8" s="215"/>
      <c r="J8" s="217"/>
      <c r="K8" s="217"/>
      <c r="L8" s="217"/>
      <c r="M8" s="212"/>
      <c r="N8" s="215"/>
    </row>
    <row r="9" spans="1:14" ht="10.5" customHeight="1">
      <c r="A9" s="394" t="s">
        <v>280</v>
      </c>
      <c r="B9" s="394"/>
      <c r="C9" s="395">
        <v>6389</v>
      </c>
      <c r="D9" s="395"/>
      <c r="E9" s="395">
        <v>12021</v>
      </c>
      <c r="F9" s="395"/>
      <c r="G9" s="395">
        <v>10916</v>
      </c>
      <c r="H9" s="395"/>
      <c r="I9" s="395">
        <v>1418</v>
      </c>
      <c r="J9" s="396"/>
      <c r="K9" s="395">
        <v>1943</v>
      </c>
      <c r="L9" s="397"/>
      <c r="M9" s="395">
        <v>1774</v>
      </c>
      <c r="N9" s="215"/>
    </row>
    <row r="10" spans="1:14" ht="6" customHeight="1">
      <c r="A10" s="215"/>
      <c r="B10" s="215"/>
      <c r="C10" s="218"/>
      <c r="D10" s="219"/>
      <c r="E10" s="218"/>
      <c r="F10" s="219"/>
      <c r="G10" s="218"/>
      <c r="H10" s="219"/>
      <c r="I10" s="218"/>
      <c r="J10" s="220"/>
      <c r="K10" s="218"/>
      <c r="L10" s="217"/>
      <c r="M10" s="218"/>
      <c r="N10" s="215"/>
    </row>
    <row r="11" spans="1:14" ht="10.5" customHeight="1">
      <c r="A11" s="221" t="s">
        <v>181</v>
      </c>
      <c r="B11" s="222"/>
      <c r="C11" s="219">
        <v>31</v>
      </c>
      <c r="D11" s="219"/>
      <c r="E11" s="235" t="s">
        <v>151</v>
      </c>
      <c r="F11" s="219"/>
      <c r="G11" s="219">
        <v>147</v>
      </c>
      <c r="H11" s="219"/>
      <c r="I11" s="219">
        <v>7</v>
      </c>
      <c r="J11" s="220"/>
      <c r="K11" s="219">
        <v>5</v>
      </c>
      <c r="L11" s="220"/>
      <c r="M11" s="219">
        <v>12</v>
      </c>
      <c r="N11" s="222"/>
    </row>
    <row r="12" spans="1:14" ht="10.5" customHeight="1">
      <c r="A12" s="221" t="s">
        <v>183</v>
      </c>
      <c r="B12" s="221"/>
      <c r="C12" s="219">
        <v>1811</v>
      </c>
      <c r="D12" s="219"/>
      <c r="E12" s="219">
        <v>4630</v>
      </c>
      <c r="F12" s="219"/>
      <c r="G12" s="219">
        <v>5074</v>
      </c>
      <c r="H12" s="219"/>
      <c r="I12" s="219">
        <v>158</v>
      </c>
      <c r="J12" s="220"/>
      <c r="K12" s="219">
        <v>329</v>
      </c>
      <c r="L12" s="220"/>
      <c r="M12" s="219">
        <v>299</v>
      </c>
      <c r="N12" s="221"/>
    </row>
    <row r="13" spans="1:14" ht="10.5" customHeight="1">
      <c r="A13" s="221" t="s">
        <v>186</v>
      </c>
      <c r="B13" s="221"/>
      <c r="C13" s="219">
        <v>1068</v>
      </c>
      <c r="D13" s="219"/>
      <c r="E13" s="219">
        <v>2155</v>
      </c>
      <c r="F13" s="219"/>
      <c r="G13" s="219">
        <v>1153</v>
      </c>
      <c r="H13" s="219"/>
      <c r="I13" s="219">
        <v>50</v>
      </c>
      <c r="J13" s="220"/>
      <c r="K13" s="219">
        <v>69</v>
      </c>
      <c r="L13" s="220"/>
      <c r="M13" s="219">
        <v>100</v>
      </c>
      <c r="N13" s="221"/>
    </row>
    <row r="14" spans="1:14" ht="10.5" customHeight="1">
      <c r="A14" s="221" t="s">
        <v>187</v>
      </c>
      <c r="B14" s="221"/>
      <c r="C14" s="219">
        <v>27</v>
      </c>
      <c r="D14" s="219"/>
      <c r="E14" s="219">
        <v>36</v>
      </c>
      <c r="F14" s="219"/>
      <c r="G14" s="219">
        <v>75</v>
      </c>
      <c r="H14" s="219"/>
      <c r="I14" s="219">
        <v>22</v>
      </c>
      <c r="J14" s="220"/>
      <c r="K14" s="219">
        <v>20</v>
      </c>
      <c r="L14" s="220"/>
      <c r="M14" s="219">
        <v>22</v>
      </c>
      <c r="N14" s="221"/>
    </row>
    <row r="15" spans="1:14" ht="10.5" customHeight="1">
      <c r="A15" s="221" t="s">
        <v>188</v>
      </c>
      <c r="B15" s="221"/>
      <c r="C15" s="219">
        <v>97</v>
      </c>
      <c r="D15" s="219"/>
      <c r="E15" s="219">
        <v>127</v>
      </c>
      <c r="F15" s="219"/>
      <c r="G15" s="219">
        <v>221</v>
      </c>
      <c r="H15" s="219"/>
      <c r="I15" s="219">
        <v>65</v>
      </c>
      <c r="J15" s="220"/>
      <c r="K15" s="219">
        <v>85</v>
      </c>
      <c r="L15" s="220"/>
      <c r="M15" s="219">
        <v>90</v>
      </c>
      <c r="N15" s="221"/>
    </row>
    <row r="16" spans="1:16" ht="10.5" customHeight="1">
      <c r="A16" s="221" t="s">
        <v>190</v>
      </c>
      <c r="B16" s="221"/>
      <c r="C16" s="219">
        <v>352</v>
      </c>
      <c r="D16" s="219"/>
      <c r="E16" s="219">
        <v>868</v>
      </c>
      <c r="F16" s="219"/>
      <c r="G16" s="219">
        <v>237</v>
      </c>
      <c r="H16" s="219"/>
      <c r="I16" s="219">
        <v>26</v>
      </c>
      <c r="J16" s="220"/>
      <c r="K16" s="219">
        <v>35</v>
      </c>
      <c r="L16" s="220"/>
      <c r="M16" s="219">
        <v>22</v>
      </c>
      <c r="N16" s="221"/>
      <c r="P16" s="223"/>
    </row>
    <row r="17" spans="1:14" ht="10.5" customHeight="1">
      <c r="A17" s="221" t="s">
        <v>284</v>
      </c>
      <c r="B17" s="221"/>
      <c r="C17" s="219">
        <v>30</v>
      </c>
      <c r="D17" s="219"/>
      <c r="E17" s="219">
        <v>27</v>
      </c>
      <c r="F17" s="219"/>
      <c r="G17" s="219">
        <v>25</v>
      </c>
      <c r="H17" s="219"/>
      <c r="I17" s="219">
        <v>47</v>
      </c>
      <c r="J17" s="220"/>
      <c r="K17" s="219">
        <v>61</v>
      </c>
      <c r="L17" s="220"/>
      <c r="M17" s="219">
        <v>35</v>
      </c>
      <c r="N17" s="221"/>
    </row>
    <row r="18" spans="1:14" ht="10.5" customHeight="1">
      <c r="A18" s="221" t="s">
        <v>197</v>
      </c>
      <c r="B18" s="221"/>
      <c r="C18" s="219">
        <v>131</v>
      </c>
      <c r="D18" s="219"/>
      <c r="E18" s="219">
        <v>223</v>
      </c>
      <c r="F18" s="219"/>
      <c r="G18" s="219">
        <v>228</v>
      </c>
      <c r="H18" s="219"/>
      <c r="I18" s="219">
        <v>57</v>
      </c>
      <c r="J18" s="220"/>
      <c r="K18" s="219">
        <v>73</v>
      </c>
      <c r="L18" s="220"/>
      <c r="M18" s="219">
        <v>56</v>
      </c>
      <c r="N18" s="221"/>
    </row>
    <row r="19" spans="1:14" ht="10.5" customHeight="1">
      <c r="A19" s="221" t="s">
        <v>198</v>
      </c>
      <c r="B19" s="221"/>
      <c r="C19" s="219">
        <v>48</v>
      </c>
      <c r="D19" s="219"/>
      <c r="E19" s="219">
        <v>16</v>
      </c>
      <c r="F19" s="219"/>
      <c r="G19" s="219">
        <v>59</v>
      </c>
      <c r="H19" s="219"/>
      <c r="I19" s="219">
        <v>21</v>
      </c>
      <c r="J19" s="220"/>
      <c r="K19" s="219">
        <v>34</v>
      </c>
      <c r="L19" s="220"/>
      <c r="M19" s="219">
        <v>34</v>
      </c>
      <c r="N19" s="221"/>
    </row>
    <row r="20" spans="1:14" ht="10.5" customHeight="1">
      <c r="A20" s="221" t="s">
        <v>204</v>
      </c>
      <c r="B20" s="221"/>
      <c r="C20" s="219">
        <v>1152</v>
      </c>
      <c r="D20" s="219"/>
      <c r="E20" s="219">
        <v>1584</v>
      </c>
      <c r="F20" s="219"/>
      <c r="G20" s="219">
        <v>1251</v>
      </c>
      <c r="H20" s="219"/>
      <c r="I20" s="219">
        <v>115</v>
      </c>
      <c r="J20" s="220"/>
      <c r="K20" s="219">
        <v>131</v>
      </c>
      <c r="L20" s="220"/>
      <c r="M20" s="219">
        <v>98</v>
      </c>
      <c r="N20" s="221"/>
    </row>
    <row r="21" spans="1:14" ht="10.5" customHeight="1">
      <c r="A21" s="221" t="s">
        <v>206</v>
      </c>
      <c r="B21" s="221"/>
      <c r="C21" s="219">
        <v>127</v>
      </c>
      <c r="D21" s="219"/>
      <c r="E21" s="219">
        <v>99</v>
      </c>
      <c r="F21" s="219"/>
      <c r="G21" s="219">
        <v>102</v>
      </c>
      <c r="H21" s="219"/>
      <c r="I21" s="219">
        <v>111</v>
      </c>
      <c r="J21" s="220"/>
      <c r="K21" s="219">
        <v>129</v>
      </c>
      <c r="L21" s="220"/>
      <c r="M21" s="219">
        <v>102</v>
      </c>
      <c r="N21" s="221"/>
    </row>
    <row r="22" spans="1:14" ht="10.5" customHeight="1">
      <c r="A22" s="221" t="s">
        <v>207</v>
      </c>
      <c r="B22" s="221"/>
      <c r="C22" s="219">
        <v>13</v>
      </c>
      <c r="D22" s="219"/>
      <c r="E22" s="235" t="s">
        <v>151</v>
      </c>
      <c r="F22" s="219"/>
      <c r="G22" s="219">
        <v>166</v>
      </c>
      <c r="H22" s="219"/>
      <c r="I22" s="219">
        <v>27</v>
      </c>
      <c r="J22" s="220"/>
      <c r="K22" s="219">
        <v>41</v>
      </c>
      <c r="L22" s="220"/>
      <c r="M22" s="219">
        <v>38</v>
      </c>
      <c r="N22" s="221"/>
    </row>
    <row r="23" spans="1:14" ht="10.5" customHeight="1">
      <c r="A23" s="221" t="s">
        <v>209</v>
      </c>
      <c r="B23" s="221"/>
      <c r="C23" s="219">
        <v>163</v>
      </c>
      <c r="D23" s="219"/>
      <c r="E23" s="219">
        <v>256</v>
      </c>
      <c r="F23" s="219"/>
      <c r="G23" s="219">
        <v>92</v>
      </c>
      <c r="H23" s="219"/>
      <c r="I23" s="219">
        <v>44</v>
      </c>
      <c r="J23" s="220"/>
      <c r="K23" s="219">
        <v>58</v>
      </c>
      <c r="L23" s="220"/>
      <c r="M23" s="219">
        <v>41</v>
      </c>
      <c r="N23" s="221"/>
    </row>
    <row r="24" spans="1:14" ht="10.5" customHeight="1">
      <c r="A24" s="221" t="s">
        <v>211</v>
      </c>
      <c r="B24" s="221"/>
      <c r="C24" s="219">
        <v>231</v>
      </c>
      <c r="D24" s="219"/>
      <c r="E24" s="219">
        <v>453</v>
      </c>
      <c r="F24" s="219"/>
      <c r="G24" s="219">
        <v>412</v>
      </c>
      <c r="H24" s="219"/>
      <c r="I24" s="219">
        <v>60</v>
      </c>
      <c r="J24" s="220"/>
      <c r="K24" s="219">
        <v>97</v>
      </c>
      <c r="L24" s="220"/>
      <c r="M24" s="219">
        <v>117</v>
      </c>
      <c r="N24" s="221"/>
    </row>
    <row r="25" spans="1:14" ht="10.5" customHeight="1">
      <c r="A25" s="221" t="s">
        <v>212</v>
      </c>
      <c r="B25" s="221"/>
      <c r="C25" s="219">
        <v>45</v>
      </c>
      <c r="D25" s="219"/>
      <c r="E25" s="219">
        <v>26</v>
      </c>
      <c r="F25" s="219"/>
      <c r="G25" s="219">
        <v>38</v>
      </c>
      <c r="H25" s="219"/>
      <c r="I25" s="219">
        <v>52</v>
      </c>
      <c r="J25" s="220"/>
      <c r="K25" s="219">
        <v>61</v>
      </c>
      <c r="L25" s="220"/>
      <c r="M25" s="219">
        <v>72</v>
      </c>
      <c r="N25" s="221"/>
    </row>
    <row r="26" spans="1:14" ht="10.5" customHeight="1">
      <c r="A26" s="221" t="s">
        <v>217</v>
      </c>
      <c r="B26" s="221"/>
      <c r="C26" s="219">
        <v>487</v>
      </c>
      <c r="D26" s="219"/>
      <c r="E26" s="219">
        <v>366</v>
      </c>
      <c r="F26" s="219"/>
      <c r="G26" s="219">
        <v>659</v>
      </c>
      <c r="H26" s="219"/>
      <c r="I26" s="219">
        <v>65</v>
      </c>
      <c r="J26" s="220"/>
      <c r="K26" s="219">
        <v>69</v>
      </c>
      <c r="L26" s="220"/>
      <c r="M26" s="219">
        <v>66</v>
      </c>
      <c r="N26" s="221"/>
    </row>
    <row r="27" spans="1:14" ht="10.5" customHeight="1">
      <c r="A27" s="221" t="s">
        <v>220</v>
      </c>
      <c r="B27" s="222"/>
      <c r="C27" s="219">
        <v>27</v>
      </c>
      <c r="D27" s="219"/>
      <c r="E27" s="219">
        <v>49</v>
      </c>
      <c r="F27" s="219"/>
      <c r="G27" s="219">
        <v>28</v>
      </c>
      <c r="H27" s="219"/>
      <c r="I27" s="219">
        <v>29</v>
      </c>
      <c r="J27" s="220"/>
      <c r="K27" s="219">
        <v>43</v>
      </c>
      <c r="L27" s="220"/>
      <c r="M27" s="219">
        <v>40</v>
      </c>
      <c r="N27" s="222"/>
    </row>
    <row r="28" spans="1:14" ht="10.5" customHeight="1">
      <c r="A28" s="221" t="s">
        <v>221</v>
      </c>
      <c r="B28" s="221"/>
      <c r="C28" s="219">
        <v>111</v>
      </c>
      <c r="D28" s="219"/>
      <c r="E28" s="219">
        <v>249</v>
      </c>
      <c r="F28" s="219"/>
      <c r="G28" s="219">
        <v>436</v>
      </c>
      <c r="H28" s="219"/>
      <c r="I28" s="219">
        <v>45</v>
      </c>
      <c r="J28" s="220"/>
      <c r="K28" s="219">
        <v>85</v>
      </c>
      <c r="L28" s="220"/>
      <c r="M28" s="219">
        <v>96</v>
      </c>
      <c r="N28" s="221"/>
    </row>
    <row r="29" spans="1:14" ht="10.5" customHeight="1">
      <c r="A29" s="221" t="s">
        <v>223</v>
      </c>
      <c r="B29" s="221"/>
      <c r="C29" s="219">
        <v>31</v>
      </c>
      <c r="D29" s="219"/>
      <c r="E29" s="219">
        <v>25</v>
      </c>
      <c r="F29" s="219"/>
      <c r="G29" s="219">
        <v>56</v>
      </c>
      <c r="H29" s="219"/>
      <c r="I29" s="219">
        <v>36</v>
      </c>
      <c r="J29" s="220"/>
      <c r="K29" s="219">
        <v>56</v>
      </c>
      <c r="L29" s="220"/>
      <c r="M29" s="219">
        <v>51</v>
      </c>
      <c r="N29" s="221"/>
    </row>
    <row r="30" spans="1:14" ht="3.75" customHeight="1">
      <c r="A30" s="221"/>
      <c r="B30" s="221"/>
      <c r="C30" s="218"/>
      <c r="D30" s="219"/>
      <c r="E30" s="218"/>
      <c r="F30" s="219"/>
      <c r="G30" s="218"/>
      <c r="H30" s="219"/>
      <c r="I30" s="218"/>
      <c r="J30" s="220"/>
      <c r="K30" s="218"/>
      <c r="L30" s="220"/>
      <c r="M30" s="218"/>
      <c r="N30" s="221"/>
    </row>
    <row r="31" spans="1:14" ht="10.5" customHeight="1">
      <c r="A31" s="221" t="s">
        <v>285</v>
      </c>
      <c r="B31" s="221"/>
      <c r="C31" s="219">
        <f>+C9-SUM(C11:C29)</f>
        <v>407</v>
      </c>
      <c r="D31" s="219"/>
      <c r="E31" s="219">
        <f>+E9-SUM(E11:E29)</f>
        <v>832</v>
      </c>
      <c r="F31" s="219"/>
      <c r="G31" s="219">
        <f>+G9-SUM(G11:G29)</f>
        <v>457</v>
      </c>
      <c r="H31" s="219"/>
      <c r="I31" s="219">
        <f>+I9-SUM(I11:I29)</f>
        <v>381</v>
      </c>
      <c r="J31" s="220"/>
      <c r="K31" s="219">
        <f>+K9-SUM(K11:K29)</f>
        <v>462</v>
      </c>
      <c r="L31" s="220"/>
      <c r="M31" s="219">
        <f>+M9-SUM(M11:M29)</f>
        <v>383</v>
      </c>
      <c r="N31" s="221"/>
    </row>
    <row r="32" spans="1:14" ht="3.75" customHeight="1">
      <c r="A32" s="216"/>
      <c r="B32" s="216"/>
      <c r="C32" s="224"/>
      <c r="D32" s="224"/>
      <c r="E32" s="224"/>
      <c r="F32" s="224"/>
      <c r="G32" s="224"/>
      <c r="H32" s="224"/>
      <c r="I32" s="224"/>
      <c r="J32" s="225"/>
      <c r="K32" s="225"/>
      <c r="L32" s="225"/>
      <c r="M32" s="225"/>
      <c r="N32" s="216"/>
    </row>
    <row r="33" spans="1:14" ht="13.5" customHeight="1">
      <c r="A33" s="226" t="s">
        <v>287</v>
      </c>
      <c r="B33" s="233"/>
      <c r="C33" s="236"/>
      <c r="D33" s="236"/>
      <c r="E33" s="236"/>
      <c r="F33" s="236"/>
      <c r="G33" s="236"/>
      <c r="H33" s="236"/>
      <c r="I33" s="236"/>
      <c r="J33" s="237"/>
      <c r="L33" s="237"/>
      <c r="N33" s="233"/>
    </row>
    <row r="34" spans="1:12" ht="10.5" customHeight="1">
      <c r="A34" s="226" t="s">
        <v>288</v>
      </c>
      <c r="B34" s="226"/>
      <c r="C34" s="226"/>
      <c r="D34" s="226"/>
      <c r="E34" s="227"/>
      <c r="F34" s="227"/>
      <c r="G34" s="227"/>
      <c r="H34" s="227"/>
      <c r="I34" s="227"/>
      <c r="J34" s="227"/>
      <c r="L34" s="227"/>
    </row>
    <row r="35" spans="1:13" ht="10.5" customHeight="1">
      <c r="A35" s="226" t="s">
        <v>286</v>
      </c>
      <c r="B35" s="226"/>
      <c r="C35" s="226"/>
      <c r="D35" s="226"/>
      <c r="E35" s="227"/>
      <c r="F35" s="227"/>
      <c r="G35" s="227"/>
      <c r="H35" s="227"/>
      <c r="I35" s="227"/>
      <c r="J35" s="227"/>
      <c r="K35" s="228"/>
      <c r="L35" s="227"/>
      <c r="M35" s="229"/>
    </row>
    <row r="36" spans="1:13" ht="3" customHeight="1">
      <c r="A36" s="230"/>
      <c r="B36" s="230"/>
      <c r="C36" s="230"/>
      <c r="D36" s="230"/>
      <c r="E36" s="231"/>
      <c r="F36" s="231"/>
      <c r="G36" s="231"/>
      <c r="H36" s="231"/>
      <c r="I36" s="231"/>
      <c r="J36" s="231"/>
      <c r="K36" s="231"/>
      <c r="L36" s="231"/>
      <c r="M36" s="232"/>
    </row>
    <row r="37" ht="11.25" customHeight="1">
      <c r="A37" s="239" t="s">
        <v>355</v>
      </c>
    </row>
  </sheetData>
  <printOptions horizontalCentered="1"/>
  <pageMargins left="0.167" right="0.167" top="0.52" bottom="0.75" header="0" footer="0.28"/>
  <pageSetup fitToHeight="1" fitToWidth="1" horizontalDpi="600" verticalDpi="600" orientation="portrait" r:id="rId1"/>
  <headerFooter alignWithMargins="0">
    <oddFooter>&amp;C&amp;"Arial,Italic"&amp;9Vegetables and Melons Outlook&amp;"Arial,Regular"/VGS-330/December 16, 2008
Economic Research Service, USDA</oddFooter>
  </headerFooter>
</worksheet>
</file>

<file path=xl/worksheets/sheet18.xml><?xml version="1.0" encoding="utf-8"?>
<worksheet xmlns="http://schemas.openxmlformats.org/spreadsheetml/2006/main" xmlns:r="http://schemas.openxmlformats.org/officeDocument/2006/relationships">
  <sheetPr>
    <tabColor indexed="50"/>
    <pageSetUpPr fitToPage="1"/>
  </sheetPr>
  <dimension ref="A1:V117"/>
  <sheetViews>
    <sheetView showGridLines="0" workbookViewId="0" topLeftCell="A1">
      <selection activeCell="A1" sqref="A1"/>
    </sheetView>
  </sheetViews>
  <sheetFormatPr defaultColWidth="9.140625" defaultRowHeight="12.75"/>
  <cols>
    <col min="1" max="1" width="10.7109375" style="417" customWidth="1"/>
    <col min="2" max="2" width="8.57421875" style="417" customWidth="1"/>
    <col min="3" max="3" width="8.00390625" style="417" customWidth="1"/>
    <col min="4" max="4" width="8.421875" style="417" customWidth="1"/>
    <col min="5" max="5" width="7.8515625" style="417" customWidth="1"/>
    <col min="6" max="6" width="7.7109375" style="417" customWidth="1"/>
    <col min="7" max="7" width="2.421875" style="417" customWidth="1"/>
    <col min="8" max="8" width="8.140625" style="417" customWidth="1"/>
    <col min="9" max="9" width="8.00390625" style="417" customWidth="1"/>
    <col min="10" max="10" width="8.7109375" style="417" customWidth="1"/>
    <col min="11" max="11" width="7.8515625" style="417" customWidth="1"/>
    <col min="12" max="12" width="8.28125" style="417" customWidth="1"/>
  </cols>
  <sheetData>
    <row r="1" spans="1:5" ht="22.5" customHeight="1">
      <c r="A1" s="606" t="s">
        <v>569</v>
      </c>
      <c r="B1" s="607"/>
      <c r="C1" s="594"/>
      <c r="D1" s="594"/>
      <c r="E1" s="594"/>
    </row>
    <row r="2" spans="1:12" ht="12.75">
      <c r="A2" s="608"/>
      <c r="B2" s="672" t="s">
        <v>553</v>
      </c>
      <c r="C2" s="673"/>
      <c r="D2" s="673"/>
      <c r="E2" s="673"/>
      <c r="F2" s="673"/>
      <c r="G2" s="609"/>
      <c r="H2" s="672" t="s">
        <v>554</v>
      </c>
      <c r="I2" s="672"/>
      <c r="J2" s="672"/>
      <c r="K2" s="672"/>
      <c r="L2" s="672"/>
    </row>
    <row r="3" spans="1:12" ht="12.75">
      <c r="A3" s="610" t="s">
        <v>555</v>
      </c>
      <c r="B3" s="611" t="s">
        <v>305</v>
      </c>
      <c r="C3" s="611" t="s">
        <v>556</v>
      </c>
      <c r="D3" s="610"/>
      <c r="E3" s="611"/>
      <c r="F3" s="611" t="s">
        <v>557</v>
      </c>
      <c r="G3" s="611"/>
      <c r="H3" s="611" t="s">
        <v>305</v>
      </c>
      <c r="I3" s="611" t="s">
        <v>556</v>
      </c>
      <c r="J3" s="610"/>
      <c r="K3" s="611"/>
      <c r="L3" s="611" t="s">
        <v>557</v>
      </c>
    </row>
    <row r="4" spans="1:12" ht="10.5" customHeight="1">
      <c r="A4" s="612" t="s">
        <v>558</v>
      </c>
      <c r="B4" s="613" t="s">
        <v>559</v>
      </c>
      <c r="C4" s="588" t="s">
        <v>560</v>
      </c>
      <c r="D4" s="614" t="s">
        <v>237</v>
      </c>
      <c r="E4" s="588" t="s">
        <v>535</v>
      </c>
      <c r="F4" s="615" t="s">
        <v>561</v>
      </c>
      <c r="G4" s="616"/>
      <c r="H4" s="613" t="s">
        <v>559</v>
      </c>
      <c r="I4" s="588" t="s">
        <v>560</v>
      </c>
      <c r="J4" s="614" t="s">
        <v>237</v>
      </c>
      <c r="K4" s="588" t="s">
        <v>535</v>
      </c>
      <c r="L4" s="615" t="s">
        <v>561</v>
      </c>
    </row>
    <row r="5" spans="1:13" ht="6.75" customHeight="1">
      <c r="A5" s="617"/>
      <c r="B5" s="618"/>
      <c r="C5" s="619"/>
      <c r="D5" s="620"/>
      <c r="E5" s="619"/>
      <c r="F5" s="621"/>
      <c r="G5" s="621"/>
      <c r="H5" s="618"/>
      <c r="I5" s="619"/>
      <c r="J5" s="620"/>
      <c r="K5" s="619"/>
      <c r="L5" s="621"/>
      <c r="M5" s="620"/>
    </row>
    <row r="6" spans="1:13" s="664" customFormat="1" ht="9.75" customHeight="1">
      <c r="A6" s="658"/>
      <c r="B6" s="659" t="s">
        <v>509</v>
      </c>
      <c r="C6" s="660" t="s">
        <v>562</v>
      </c>
      <c r="D6" s="659" t="s">
        <v>563</v>
      </c>
      <c r="E6" s="660" t="s">
        <v>564</v>
      </c>
      <c r="F6" s="661" t="s">
        <v>565</v>
      </c>
      <c r="G6" s="662"/>
      <c r="H6" s="659" t="s">
        <v>509</v>
      </c>
      <c r="I6" s="660" t="s">
        <v>562</v>
      </c>
      <c r="J6" s="659" t="s">
        <v>563</v>
      </c>
      <c r="K6" s="660" t="s">
        <v>564</v>
      </c>
      <c r="L6" s="661" t="s">
        <v>565</v>
      </c>
      <c r="M6" s="663"/>
    </row>
    <row r="7" spans="1:13" ht="11.25" customHeight="1">
      <c r="A7" s="617">
        <v>2004</v>
      </c>
      <c r="B7" s="618"/>
      <c r="C7" s="619"/>
      <c r="D7" s="620"/>
      <c r="E7" s="619"/>
      <c r="F7" s="621"/>
      <c r="G7" s="621"/>
      <c r="H7" s="173"/>
      <c r="I7" s="173"/>
      <c r="J7" s="173"/>
      <c r="K7" s="173"/>
      <c r="L7" s="173"/>
      <c r="M7" s="620"/>
    </row>
    <row r="8" spans="1:13" ht="11.25" customHeight="1">
      <c r="A8" s="622" t="s">
        <v>161</v>
      </c>
      <c r="B8" s="623">
        <v>14</v>
      </c>
      <c r="C8" s="623">
        <v>90</v>
      </c>
      <c r="D8" s="624">
        <v>1260</v>
      </c>
      <c r="E8" s="625">
        <v>11.5</v>
      </c>
      <c r="F8" s="624">
        <v>14490</v>
      </c>
      <c r="G8" s="621"/>
      <c r="H8" s="623">
        <v>0.6</v>
      </c>
      <c r="I8" s="623">
        <v>120</v>
      </c>
      <c r="J8" s="623">
        <v>72</v>
      </c>
      <c r="K8" s="625">
        <v>9.5</v>
      </c>
      <c r="L8" s="623">
        <v>684</v>
      </c>
      <c r="M8" s="620"/>
    </row>
    <row r="9" spans="1:13" ht="11.25" customHeight="1">
      <c r="A9" s="622" t="s">
        <v>566</v>
      </c>
      <c r="B9" s="623">
        <v>11</v>
      </c>
      <c r="C9" s="623">
        <v>54</v>
      </c>
      <c r="D9" s="623">
        <v>594</v>
      </c>
      <c r="E9" s="625">
        <v>11.5</v>
      </c>
      <c r="F9" s="624">
        <v>6831</v>
      </c>
      <c r="G9" s="621"/>
      <c r="H9" s="623">
        <v>1.6</v>
      </c>
      <c r="I9" s="623">
        <v>40</v>
      </c>
      <c r="J9" s="623">
        <v>64</v>
      </c>
      <c r="K9" s="625">
        <v>9.8</v>
      </c>
      <c r="L9" s="623">
        <v>627</v>
      </c>
      <c r="M9" s="620"/>
    </row>
    <row r="10" spans="1:13" ht="11.25" customHeight="1">
      <c r="A10" s="622" t="s">
        <v>162</v>
      </c>
      <c r="B10" s="623">
        <v>1</v>
      </c>
      <c r="C10" s="623">
        <v>45</v>
      </c>
      <c r="D10" s="623">
        <v>45</v>
      </c>
      <c r="E10" s="625">
        <v>10.9</v>
      </c>
      <c r="F10" s="623">
        <v>491</v>
      </c>
      <c r="G10" s="621"/>
      <c r="H10" s="623">
        <v>1.6</v>
      </c>
      <c r="I10" s="623">
        <v>45</v>
      </c>
      <c r="J10" s="623">
        <v>72</v>
      </c>
      <c r="K10" s="625">
        <v>9.3</v>
      </c>
      <c r="L10" s="623">
        <v>670</v>
      </c>
      <c r="M10" s="620"/>
    </row>
    <row r="11" spans="1:13" ht="11.25" customHeight="1">
      <c r="A11" s="622" t="s">
        <v>166</v>
      </c>
      <c r="B11" s="623">
        <v>24.5</v>
      </c>
      <c r="C11" s="623">
        <v>90</v>
      </c>
      <c r="D11" s="624">
        <v>2205</v>
      </c>
      <c r="E11" s="625">
        <v>13.2</v>
      </c>
      <c r="F11" s="624">
        <v>29106</v>
      </c>
      <c r="G11" s="621"/>
      <c r="H11" s="623">
        <v>1.5</v>
      </c>
      <c r="I11" s="623">
        <v>135</v>
      </c>
      <c r="J11" s="623">
        <v>203</v>
      </c>
      <c r="K11" s="625">
        <v>10</v>
      </c>
      <c r="L11" s="624">
        <v>2030</v>
      </c>
      <c r="M11" s="620"/>
    </row>
    <row r="12" spans="1:13" ht="11.25" customHeight="1">
      <c r="A12" s="622" t="s">
        <v>170</v>
      </c>
      <c r="B12" s="623">
        <v>24</v>
      </c>
      <c r="C12" s="623">
        <v>120</v>
      </c>
      <c r="D12" s="624">
        <v>2880</v>
      </c>
      <c r="E12" s="625">
        <v>11.4</v>
      </c>
      <c r="F12" s="624">
        <v>32832</v>
      </c>
      <c r="G12" s="621"/>
      <c r="H12" s="623">
        <v>9.5</v>
      </c>
      <c r="I12" s="623">
        <v>145</v>
      </c>
      <c r="J12" s="624">
        <v>1378</v>
      </c>
      <c r="K12" s="625">
        <v>9.6</v>
      </c>
      <c r="L12" s="624">
        <v>13229</v>
      </c>
      <c r="M12" s="620"/>
    </row>
    <row r="13" spans="1:13" ht="11.25" customHeight="1">
      <c r="A13" s="622" t="s">
        <v>171</v>
      </c>
      <c r="B13" s="623">
        <v>4.2</v>
      </c>
      <c r="C13" s="623">
        <v>60</v>
      </c>
      <c r="D13" s="623">
        <v>252</v>
      </c>
      <c r="E13" s="625">
        <v>10.6</v>
      </c>
      <c r="F13" s="624">
        <v>2671</v>
      </c>
      <c r="G13" s="621"/>
      <c r="H13" s="623">
        <v>1</v>
      </c>
      <c r="I13" s="623">
        <v>50</v>
      </c>
      <c r="J13" s="623">
        <v>50</v>
      </c>
      <c r="K13" s="625">
        <v>9.2</v>
      </c>
      <c r="L13" s="623">
        <v>460</v>
      </c>
      <c r="M13" s="620"/>
    </row>
    <row r="14" spans="1:13" ht="11.25" customHeight="1">
      <c r="A14" s="622" t="s">
        <v>567</v>
      </c>
      <c r="B14" s="623">
        <v>78.7</v>
      </c>
      <c r="C14" s="623">
        <v>92</v>
      </c>
      <c r="D14" s="624">
        <v>7236</v>
      </c>
      <c r="E14" s="625">
        <v>11.9</v>
      </c>
      <c r="F14" s="624">
        <v>86421</v>
      </c>
      <c r="G14" s="621"/>
      <c r="H14" s="623">
        <v>15.8</v>
      </c>
      <c r="I14" s="623">
        <v>116</v>
      </c>
      <c r="J14" s="624">
        <v>1839</v>
      </c>
      <c r="K14" s="625">
        <v>9.62</v>
      </c>
      <c r="L14" s="624">
        <v>17700</v>
      </c>
      <c r="M14" s="620"/>
    </row>
    <row r="15" spans="1:13" ht="6.75" customHeight="1">
      <c r="A15" s="622"/>
      <c r="B15" s="618"/>
      <c r="C15" s="619"/>
      <c r="D15" s="619"/>
      <c r="E15" s="626"/>
      <c r="F15" s="621"/>
      <c r="G15" s="621"/>
      <c r="H15" s="173"/>
      <c r="I15" s="173"/>
      <c r="J15" s="173"/>
      <c r="K15" s="627"/>
      <c r="L15" s="173"/>
      <c r="M15" s="620"/>
    </row>
    <row r="16" spans="1:13" ht="11.25" customHeight="1">
      <c r="A16" s="628">
        <v>2005</v>
      </c>
      <c r="B16" s="620"/>
      <c r="C16" s="620"/>
      <c r="D16" s="620"/>
      <c r="E16" s="629"/>
      <c r="F16" s="620"/>
      <c r="G16" s="620"/>
      <c r="H16" s="620"/>
      <c r="I16" s="620"/>
      <c r="J16" s="620"/>
      <c r="K16" s="629"/>
      <c r="L16" s="620"/>
      <c r="M16" s="620"/>
    </row>
    <row r="17" spans="1:13" ht="11.25" customHeight="1">
      <c r="A17" s="622" t="s">
        <v>161</v>
      </c>
      <c r="B17" s="623">
        <v>14</v>
      </c>
      <c r="C17" s="623">
        <v>100</v>
      </c>
      <c r="D17" s="624">
        <v>1400</v>
      </c>
      <c r="E17" s="625">
        <v>11.8</v>
      </c>
      <c r="F17" s="624">
        <v>16520</v>
      </c>
      <c r="G17" s="630"/>
      <c r="H17" s="623">
        <v>0.6</v>
      </c>
      <c r="I17" s="623">
        <v>125</v>
      </c>
      <c r="J17" s="623">
        <v>75</v>
      </c>
      <c r="K17" s="625">
        <v>11.4</v>
      </c>
      <c r="L17" s="623">
        <v>855</v>
      </c>
      <c r="M17" s="620"/>
    </row>
    <row r="18" spans="1:13" ht="11.25" customHeight="1">
      <c r="A18" s="622" t="s">
        <v>566</v>
      </c>
      <c r="B18" s="623">
        <v>11</v>
      </c>
      <c r="C18" s="623">
        <v>45</v>
      </c>
      <c r="D18" s="623">
        <v>495</v>
      </c>
      <c r="E18" s="625">
        <v>11.6</v>
      </c>
      <c r="F18" s="624">
        <v>5742</v>
      </c>
      <c r="G18" s="621"/>
      <c r="H18" s="623">
        <v>1.6</v>
      </c>
      <c r="I18" s="623">
        <v>45</v>
      </c>
      <c r="J18" s="623">
        <v>72</v>
      </c>
      <c r="K18" s="625">
        <v>10.6</v>
      </c>
      <c r="L18" s="623">
        <v>763</v>
      </c>
      <c r="M18" s="620"/>
    </row>
    <row r="19" spans="1:13" ht="11.25" customHeight="1">
      <c r="A19" s="622" t="s">
        <v>162</v>
      </c>
      <c r="B19" s="623">
        <v>1</v>
      </c>
      <c r="C19" s="623">
        <v>35</v>
      </c>
      <c r="D19" s="623">
        <v>35</v>
      </c>
      <c r="E19" s="625">
        <v>12</v>
      </c>
      <c r="F19" s="623">
        <v>420</v>
      </c>
      <c r="G19" s="621"/>
      <c r="H19" s="623">
        <v>1.6</v>
      </c>
      <c r="I19" s="623">
        <v>35</v>
      </c>
      <c r="J19" s="623">
        <v>56</v>
      </c>
      <c r="K19" s="625">
        <v>9.5</v>
      </c>
      <c r="L19" s="623">
        <v>532</v>
      </c>
      <c r="M19" s="620"/>
    </row>
    <row r="20" spans="1:13" ht="11.25" customHeight="1">
      <c r="A20" s="622" t="s">
        <v>166</v>
      </c>
      <c r="B20" s="623">
        <v>23</v>
      </c>
      <c r="C20" s="623">
        <v>95</v>
      </c>
      <c r="D20" s="624">
        <v>2185</v>
      </c>
      <c r="E20" s="625">
        <v>13.1</v>
      </c>
      <c r="F20" s="624">
        <v>28624</v>
      </c>
      <c r="G20" s="621"/>
      <c r="H20" s="623">
        <v>2.4</v>
      </c>
      <c r="I20" s="623">
        <v>105</v>
      </c>
      <c r="J20" s="623">
        <v>252</v>
      </c>
      <c r="K20" s="625">
        <v>10.8</v>
      </c>
      <c r="L20" s="624">
        <v>2722</v>
      </c>
      <c r="M20" s="620"/>
    </row>
    <row r="21" spans="1:13" ht="11.25" customHeight="1">
      <c r="A21" s="622" t="s">
        <v>170</v>
      </c>
      <c r="B21" s="623">
        <v>23</v>
      </c>
      <c r="C21" s="623">
        <v>115</v>
      </c>
      <c r="D21" s="624">
        <v>2645</v>
      </c>
      <c r="E21" s="625">
        <v>11.9</v>
      </c>
      <c r="F21" s="624">
        <v>31476</v>
      </c>
      <c r="G21" s="621"/>
      <c r="H21" s="623">
        <v>9.5</v>
      </c>
      <c r="I21" s="623">
        <v>135</v>
      </c>
      <c r="J21" s="624">
        <v>1283</v>
      </c>
      <c r="K21" s="625">
        <v>10.7</v>
      </c>
      <c r="L21" s="624">
        <v>13728</v>
      </c>
      <c r="M21" s="620"/>
    </row>
    <row r="22" spans="1:13" ht="11.25" customHeight="1">
      <c r="A22" s="622" t="s">
        <v>171</v>
      </c>
      <c r="B22" s="623">
        <v>4</v>
      </c>
      <c r="C22" s="623">
        <v>55</v>
      </c>
      <c r="D22" s="623">
        <v>220</v>
      </c>
      <c r="E22" s="625">
        <v>10.6</v>
      </c>
      <c r="F22" s="624">
        <v>2332</v>
      </c>
      <c r="G22" s="621"/>
      <c r="H22" s="623">
        <v>1</v>
      </c>
      <c r="I22" s="623">
        <v>60</v>
      </c>
      <c r="J22" s="623">
        <v>60</v>
      </c>
      <c r="K22" s="625">
        <v>10.5</v>
      </c>
      <c r="L22" s="623">
        <v>630</v>
      </c>
      <c r="M22" s="620"/>
    </row>
    <row r="23" spans="1:13" ht="11.25" customHeight="1">
      <c r="A23" s="622" t="s">
        <v>567</v>
      </c>
      <c r="B23" s="623">
        <v>76</v>
      </c>
      <c r="C23" s="623">
        <v>92</v>
      </c>
      <c r="D23" s="624">
        <v>6980</v>
      </c>
      <c r="E23" s="625">
        <v>12.2</v>
      </c>
      <c r="F23" s="624">
        <v>85114</v>
      </c>
      <c r="G23" s="621"/>
      <c r="H23" s="623">
        <v>16.7</v>
      </c>
      <c r="I23" s="623">
        <v>108</v>
      </c>
      <c r="J23" s="624">
        <v>1798</v>
      </c>
      <c r="K23" s="625">
        <v>10.7</v>
      </c>
      <c r="L23" s="624">
        <v>19230</v>
      </c>
      <c r="M23" s="620"/>
    </row>
    <row r="24" spans="1:13" ht="8.25" customHeight="1">
      <c r="A24" s="622"/>
      <c r="B24" s="618"/>
      <c r="C24" s="619"/>
      <c r="D24" s="619"/>
      <c r="E24" s="626"/>
      <c r="F24" s="621"/>
      <c r="G24" s="621"/>
      <c r="H24" s="173"/>
      <c r="I24" s="173"/>
      <c r="J24" s="173"/>
      <c r="K24" s="627"/>
      <c r="L24" s="173"/>
      <c r="M24" s="620"/>
    </row>
    <row r="25" spans="1:13" ht="11.25" customHeight="1">
      <c r="A25" s="631">
        <v>2006</v>
      </c>
      <c r="B25" s="620"/>
      <c r="C25" s="620"/>
      <c r="D25" s="620"/>
      <c r="E25" s="629"/>
      <c r="F25" s="620"/>
      <c r="G25" s="620"/>
      <c r="H25" s="620"/>
      <c r="I25" s="620"/>
      <c r="J25" s="620"/>
      <c r="K25" s="629"/>
      <c r="L25" s="620"/>
      <c r="M25" s="622"/>
    </row>
    <row r="26" spans="1:13" ht="11.25" customHeight="1">
      <c r="A26" s="622" t="s">
        <v>161</v>
      </c>
      <c r="B26" s="623">
        <v>15.5</v>
      </c>
      <c r="C26" s="623">
        <v>95</v>
      </c>
      <c r="D26" s="624">
        <v>1473</v>
      </c>
      <c r="E26" s="625">
        <v>12.5</v>
      </c>
      <c r="F26" s="624">
        <v>18413</v>
      </c>
      <c r="G26" s="632"/>
      <c r="H26" s="623">
        <v>0.7</v>
      </c>
      <c r="I26" s="623">
        <v>105</v>
      </c>
      <c r="J26" s="623">
        <v>74</v>
      </c>
      <c r="K26" s="625">
        <v>11.6</v>
      </c>
      <c r="L26" s="623">
        <v>858</v>
      </c>
      <c r="M26" s="622"/>
    </row>
    <row r="27" spans="1:13" ht="11.25" customHeight="1">
      <c r="A27" s="622" t="s">
        <v>566</v>
      </c>
      <c r="B27" s="623">
        <v>12</v>
      </c>
      <c r="C27" s="623">
        <v>51</v>
      </c>
      <c r="D27" s="623">
        <v>612</v>
      </c>
      <c r="E27" s="625">
        <v>13.4</v>
      </c>
      <c r="F27" s="624">
        <v>8201</v>
      </c>
      <c r="G27" s="621"/>
      <c r="H27" s="623">
        <v>1.7</v>
      </c>
      <c r="I27" s="623">
        <v>53</v>
      </c>
      <c r="J27" s="623">
        <v>90</v>
      </c>
      <c r="K27" s="625">
        <v>12.1</v>
      </c>
      <c r="L27" s="624">
        <v>1089</v>
      </c>
      <c r="M27" s="622"/>
    </row>
    <row r="28" spans="1:13" ht="11.25" customHeight="1">
      <c r="A28" s="622" t="s">
        <v>162</v>
      </c>
      <c r="B28" s="623">
        <v>0.7</v>
      </c>
      <c r="C28" s="623">
        <v>50</v>
      </c>
      <c r="D28" s="623">
        <v>35</v>
      </c>
      <c r="E28" s="625">
        <v>13.5</v>
      </c>
      <c r="F28" s="623">
        <v>473</v>
      </c>
      <c r="G28" s="621"/>
      <c r="H28" s="623">
        <v>1.6</v>
      </c>
      <c r="I28" s="623">
        <v>60</v>
      </c>
      <c r="J28" s="623">
        <v>96</v>
      </c>
      <c r="K28" s="625">
        <v>10</v>
      </c>
      <c r="L28" s="623">
        <v>960</v>
      </c>
      <c r="M28" s="622"/>
    </row>
    <row r="29" spans="1:13" ht="11.25" customHeight="1">
      <c r="A29" s="622" t="s">
        <v>166</v>
      </c>
      <c r="B29" s="623">
        <v>22</v>
      </c>
      <c r="C29" s="623">
        <v>94</v>
      </c>
      <c r="D29" s="624">
        <v>2068</v>
      </c>
      <c r="E29" s="625">
        <v>13</v>
      </c>
      <c r="F29" s="624">
        <v>26884</v>
      </c>
      <c r="G29" s="621"/>
      <c r="H29" s="623">
        <v>2</v>
      </c>
      <c r="I29" s="623">
        <v>115</v>
      </c>
      <c r="J29" s="623">
        <v>230</v>
      </c>
      <c r="K29" s="625">
        <v>11.7</v>
      </c>
      <c r="L29" s="624">
        <v>2691</v>
      </c>
      <c r="M29" s="622"/>
    </row>
    <row r="30" spans="1:13" ht="11.25" customHeight="1">
      <c r="A30" s="622" t="s">
        <v>170</v>
      </c>
      <c r="B30" s="623">
        <v>24</v>
      </c>
      <c r="C30" s="623">
        <v>115</v>
      </c>
      <c r="D30" s="624">
        <v>2760</v>
      </c>
      <c r="E30" s="625">
        <v>12.3</v>
      </c>
      <c r="F30" s="624">
        <v>33948</v>
      </c>
      <c r="G30" s="621"/>
      <c r="H30" s="623">
        <v>11.5</v>
      </c>
      <c r="I30" s="623">
        <v>130</v>
      </c>
      <c r="J30" s="624">
        <v>1498</v>
      </c>
      <c r="K30" s="625">
        <v>11.2</v>
      </c>
      <c r="L30" s="624">
        <v>16841</v>
      </c>
      <c r="M30" s="622"/>
    </row>
    <row r="31" spans="1:13" ht="11.25" customHeight="1">
      <c r="A31" s="622" t="s">
        <v>171</v>
      </c>
      <c r="B31" s="623">
        <v>5</v>
      </c>
      <c r="C31" s="623">
        <v>60</v>
      </c>
      <c r="D31" s="623">
        <v>300</v>
      </c>
      <c r="E31" s="625">
        <v>12.6</v>
      </c>
      <c r="F31" s="624">
        <v>3780</v>
      </c>
      <c r="G31" s="621"/>
      <c r="H31" s="623">
        <v>1</v>
      </c>
      <c r="I31" s="623">
        <v>50</v>
      </c>
      <c r="J31" s="623">
        <v>50</v>
      </c>
      <c r="K31" s="625">
        <v>12.1</v>
      </c>
      <c r="L31" s="623">
        <v>605</v>
      </c>
      <c r="M31" s="622"/>
    </row>
    <row r="32" spans="1:13" ht="11.25" customHeight="1">
      <c r="A32" s="622" t="s">
        <v>567</v>
      </c>
      <c r="B32" s="623">
        <v>79.2</v>
      </c>
      <c r="C32" s="623">
        <v>92</v>
      </c>
      <c r="D32" s="624">
        <v>7248</v>
      </c>
      <c r="E32" s="625">
        <v>12.7</v>
      </c>
      <c r="F32" s="624">
        <v>91699</v>
      </c>
      <c r="G32" s="621"/>
      <c r="H32" s="623">
        <v>18.5</v>
      </c>
      <c r="I32" s="623">
        <v>110</v>
      </c>
      <c r="J32" s="624">
        <v>2038</v>
      </c>
      <c r="K32" s="625">
        <v>11.3</v>
      </c>
      <c r="L32" s="624">
        <v>23044</v>
      </c>
      <c r="M32" s="620"/>
    </row>
    <row r="33" spans="1:13" ht="8.25" customHeight="1">
      <c r="A33" s="622"/>
      <c r="B33" s="618"/>
      <c r="C33" s="619"/>
      <c r="D33" s="619"/>
      <c r="E33" s="626"/>
      <c r="F33" s="621"/>
      <c r="G33" s="621"/>
      <c r="H33" s="173"/>
      <c r="I33" s="173"/>
      <c r="J33" s="173"/>
      <c r="K33" s="627"/>
      <c r="L33" s="173"/>
      <c r="M33" s="620"/>
    </row>
    <row r="34" spans="1:13" ht="11.25" customHeight="1">
      <c r="A34" s="631">
        <v>2007</v>
      </c>
      <c r="B34" s="633"/>
      <c r="C34" s="634"/>
      <c r="D34" s="634"/>
      <c r="E34" s="635"/>
      <c r="F34" s="632"/>
      <c r="G34" s="632"/>
      <c r="H34" s="173"/>
      <c r="I34" s="173"/>
      <c r="J34" s="173"/>
      <c r="K34" s="627"/>
      <c r="L34" s="173"/>
      <c r="M34" s="620"/>
    </row>
    <row r="35" spans="1:13" ht="11.25" customHeight="1">
      <c r="A35" s="622" t="s">
        <v>161</v>
      </c>
      <c r="B35" s="623">
        <v>15.5</v>
      </c>
      <c r="C35" s="623">
        <v>95</v>
      </c>
      <c r="D35" s="624">
        <v>1473</v>
      </c>
      <c r="E35" s="625">
        <v>13.4</v>
      </c>
      <c r="F35" s="624">
        <v>19738</v>
      </c>
      <c r="G35" s="621"/>
      <c r="H35" s="623">
        <v>0.9</v>
      </c>
      <c r="I35" s="623">
        <v>125</v>
      </c>
      <c r="J35" s="623">
        <v>113</v>
      </c>
      <c r="K35" s="625">
        <v>13.8</v>
      </c>
      <c r="L35" s="624">
        <v>1559</v>
      </c>
      <c r="M35" s="620"/>
    </row>
    <row r="36" spans="1:13" ht="11.25" customHeight="1">
      <c r="A36" s="622" t="s">
        <v>566</v>
      </c>
      <c r="B36" s="623">
        <v>7.8</v>
      </c>
      <c r="C36" s="623">
        <v>48</v>
      </c>
      <c r="D36" s="623">
        <v>374</v>
      </c>
      <c r="E36" s="625">
        <v>14.8</v>
      </c>
      <c r="F36" s="624">
        <v>5535</v>
      </c>
      <c r="G36" s="621"/>
      <c r="H36" s="623">
        <v>1.4</v>
      </c>
      <c r="I36" s="623">
        <v>56</v>
      </c>
      <c r="J36" s="623">
        <v>78</v>
      </c>
      <c r="K36" s="625">
        <v>12.4</v>
      </c>
      <c r="L36" s="623">
        <v>967</v>
      </c>
      <c r="M36" s="620"/>
    </row>
    <row r="37" spans="1:13" ht="11.25" customHeight="1">
      <c r="A37" s="622" t="s">
        <v>162</v>
      </c>
      <c r="B37" s="623">
        <v>0.7</v>
      </c>
      <c r="C37" s="623">
        <v>40</v>
      </c>
      <c r="D37" s="623">
        <v>28</v>
      </c>
      <c r="E37" s="625">
        <v>14.4</v>
      </c>
      <c r="F37" s="623">
        <v>403</v>
      </c>
      <c r="G37" s="621"/>
      <c r="H37" s="623">
        <v>1.5</v>
      </c>
      <c r="I37" s="623">
        <v>60</v>
      </c>
      <c r="J37" s="623">
        <v>90</v>
      </c>
      <c r="K37" s="625">
        <v>12</v>
      </c>
      <c r="L37" s="624">
        <v>1080</v>
      </c>
      <c r="M37" s="620"/>
    </row>
    <row r="38" spans="1:13" ht="11.25" customHeight="1">
      <c r="A38" s="622" t="s">
        <v>166</v>
      </c>
      <c r="B38" s="623">
        <v>22</v>
      </c>
      <c r="C38" s="623">
        <v>87</v>
      </c>
      <c r="D38" s="624">
        <v>1914</v>
      </c>
      <c r="E38" s="625">
        <v>14</v>
      </c>
      <c r="F38" s="624">
        <v>26796</v>
      </c>
      <c r="G38" s="621"/>
      <c r="H38" s="623">
        <v>2.2</v>
      </c>
      <c r="I38" s="623">
        <v>129</v>
      </c>
      <c r="J38" s="623">
        <v>284</v>
      </c>
      <c r="K38" s="625">
        <v>12.9</v>
      </c>
      <c r="L38" s="624">
        <v>3664</v>
      </c>
      <c r="M38" s="620"/>
    </row>
    <row r="39" spans="1:13" ht="11.25" customHeight="1">
      <c r="A39" s="622" t="s">
        <v>170</v>
      </c>
      <c r="B39" s="623">
        <v>23</v>
      </c>
      <c r="C39" s="623">
        <v>120</v>
      </c>
      <c r="D39" s="624">
        <v>2760</v>
      </c>
      <c r="E39" s="625">
        <v>13.2</v>
      </c>
      <c r="F39" s="624">
        <v>36432</v>
      </c>
      <c r="G39" s="621"/>
      <c r="H39" s="623">
        <v>12.7</v>
      </c>
      <c r="I39" s="623">
        <v>140</v>
      </c>
      <c r="J39" s="624">
        <v>1778</v>
      </c>
      <c r="K39" s="625">
        <v>12.6</v>
      </c>
      <c r="L39" s="624">
        <v>22383</v>
      </c>
      <c r="M39" s="620"/>
    </row>
    <row r="40" spans="1:13" ht="11.25" customHeight="1">
      <c r="A40" s="622" t="s">
        <v>171</v>
      </c>
      <c r="B40" s="623">
        <v>4.3</v>
      </c>
      <c r="C40" s="623">
        <v>57</v>
      </c>
      <c r="D40" s="623">
        <v>245</v>
      </c>
      <c r="E40" s="625">
        <v>14.2</v>
      </c>
      <c r="F40" s="624">
        <v>3479</v>
      </c>
      <c r="G40" s="621"/>
      <c r="H40" s="623">
        <v>0.9</v>
      </c>
      <c r="I40" s="623">
        <v>40</v>
      </c>
      <c r="J40" s="623">
        <v>36</v>
      </c>
      <c r="K40" s="625">
        <v>13.4</v>
      </c>
      <c r="L40" s="623">
        <v>482</v>
      </c>
      <c r="M40" s="620"/>
    </row>
    <row r="41" spans="1:13" ht="11.25" customHeight="1">
      <c r="A41" s="636" t="s">
        <v>567</v>
      </c>
      <c r="B41" s="637">
        <v>73.3</v>
      </c>
      <c r="C41" s="637">
        <v>93</v>
      </c>
      <c r="D41" s="638">
        <v>6794</v>
      </c>
      <c r="E41" s="639">
        <v>13.6</v>
      </c>
      <c r="F41" s="638">
        <v>92383</v>
      </c>
      <c r="G41" s="640"/>
      <c r="H41" s="637">
        <v>19.6</v>
      </c>
      <c r="I41" s="637">
        <v>121</v>
      </c>
      <c r="J41" s="638">
        <v>2379</v>
      </c>
      <c r="K41" s="639">
        <v>12.7</v>
      </c>
      <c r="L41" s="638">
        <v>30135</v>
      </c>
      <c r="M41" s="620"/>
    </row>
    <row r="42" spans="1:13" ht="7.5" customHeight="1">
      <c r="A42" s="622"/>
      <c r="B42" s="618"/>
      <c r="C42" s="619"/>
      <c r="D42" s="619"/>
      <c r="E42" s="619"/>
      <c r="F42" s="621"/>
      <c r="G42" s="621"/>
      <c r="H42" s="173"/>
      <c r="I42" s="173"/>
      <c r="J42" s="173"/>
      <c r="K42" s="627"/>
      <c r="L42" s="173"/>
      <c r="M42" s="620"/>
    </row>
    <row r="43" spans="1:5" ht="12.75">
      <c r="A43" s="417" t="s">
        <v>568</v>
      </c>
      <c r="C43" s="596"/>
      <c r="D43" s="596"/>
      <c r="E43" s="596"/>
    </row>
    <row r="44" spans="1:7" ht="12.75">
      <c r="A44" s="641"/>
      <c r="B44" s="641"/>
      <c r="C44" s="642"/>
      <c r="D44" s="642"/>
      <c r="E44" s="642"/>
      <c r="F44" s="641"/>
      <c r="G44" s="641"/>
    </row>
    <row r="45" spans="2:7" ht="12.75">
      <c r="B45" s="641"/>
      <c r="C45" s="642"/>
      <c r="D45" s="642"/>
      <c r="E45" s="642"/>
      <c r="F45" s="641"/>
      <c r="G45" s="641"/>
    </row>
    <row r="46" spans="2:7" ht="12.75">
      <c r="B46" s="641"/>
      <c r="C46" s="642"/>
      <c r="D46" s="642"/>
      <c r="E46" s="642"/>
      <c r="F46" s="641"/>
      <c r="G46" s="641"/>
    </row>
    <row r="47" spans="2:7" ht="12.75">
      <c r="B47" s="643"/>
      <c r="C47" s="642"/>
      <c r="D47" s="642"/>
      <c r="E47" s="642"/>
      <c r="F47" s="641"/>
      <c r="G47" s="641"/>
    </row>
    <row r="48" spans="2:7" ht="12.75">
      <c r="B48" s="644"/>
      <c r="C48" s="642"/>
      <c r="D48" s="642"/>
      <c r="E48" s="642"/>
      <c r="F48" s="641"/>
      <c r="G48" s="641"/>
    </row>
    <row r="49" spans="2:7" ht="12.75">
      <c r="B49" s="674"/>
      <c r="C49" s="674"/>
      <c r="D49" s="674"/>
      <c r="E49" s="674"/>
      <c r="F49" s="641"/>
      <c r="G49" s="641"/>
    </row>
    <row r="50" spans="2:22" ht="12.75">
      <c r="B50" s="641"/>
      <c r="C50" s="642"/>
      <c r="D50" s="642"/>
      <c r="E50" s="642"/>
      <c r="F50" s="641"/>
      <c r="G50" s="641"/>
      <c r="N50" s="645"/>
      <c r="O50" s="645"/>
      <c r="P50" s="645"/>
      <c r="Q50" s="645"/>
      <c r="R50" s="645"/>
      <c r="S50" s="645"/>
      <c r="T50" s="645"/>
      <c r="U50" s="645"/>
      <c r="V50" s="645"/>
    </row>
    <row r="51" spans="2:22" ht="12.75">
      <c r="B51" s="641"/>
      <c r="C51" s="642"/>
      <c r="D51" s="642"/>
      <c r="E51" s="642"/>
      <c r="F51" s="641"/>
      <c r="G51" s="641"/>
      <c r="H51" s="641"/>
      <c r="I51" s="641"/>
      <c r="J51" s="641"/>
      <c r="K51" s="641"/>
      <c r="L51" s="641"/>
      <c r="N51" s="646"/>
      <c r="O51" s="647"/>
      <c r="P51" s="645"/>
      <c r="Q51" s="645"/>
      <c r="R51" s="645"/>
      <c r="S51" s="645"/>
      <c r="T51" s="645"/>
      <c r="U51" s="645"/>
      <c r="V51" s="645"/>
    </row>
    <row r="52" spans="1:22" ht="12.75">
      <c r="A52" s="641"/>
      <c r="B52" s="648"/>
      <c r="C52" s="649"/>
      <c r="D52" s="649"/>
      <c r="E52" s="650"/>
      <c r="F52" s="648"/>
      <c r="G52" s="648"/>
      <c r="H52" s="650"/>
      <c r="I52" s="648"/>
      <c r="J52" s="651"/>
      <c r="K52" s="648"/>
      <c r="L52" s="650"/>
      <c r="N52" s="652"/>
      <c r="O52" s="647"/>
      <c r="P52" s="646"/>
      <c r="Q52" s="647"/>
      <c r="R52" s="645"/>
      <c r="S52" s="645"/>
      <c r="T52" s="645"/>
      <c r="U52" s="645"/>
      <c r="V52" s="645"/>
    </row>
    <row r="53" spans="1:22" ht="12.75">
      <c r="A53" s="641"/>
      <c r="B53" s="648"/>
      <c r="C53" s="648"/>
      <c r="D53" s="648"/>
      <c r="E53" s="649"/>
      <c r="F53" s="649"/>
      <c r="G53" s="649"/>
      <c r="H53" s="650"/>
      <c r="I53" s="648"/>
      <c r="J53" s="650"/>
      <c r="K53" s="648"/>
      <c r="L53" s="650"/>
      <c r="N53" s="652"/>
      <c r="O53" s="647"/>
      <c r="P53" s="652"/>
      <c r="Q53" s="647"/>
      <c r="R53" s="645"/>
      <c r="S53" s="645"/>
      <c r="T53" s="645"/>
      <c r="U53" s="645"/>
      <c r="V53" s="645"/>
    </row>
    <row r="54" spans="1:22" ht="12.75">
      <c r="A54" s="641"/>
      <c r="B54" s="648"/>
      <c r="C54" s="648"/>
      <c r="D54" s="648"/>
      <c r="E54" s="649"/>
      <c r="F54" s="649"/>
      <c r="G54" s="649"/>
      <c r="H54" s="650"/>
      <c r="I54" s="648"/>
      <c r="J54" s="650"/>
      <c r="K54" s="648"/>
      <c r="L54" s="650"/>
      <c r="N54" s="652"/>
      <c r="O54" s="647"/>
      <c r="P54" s="646"/>
      <c r="Q54" s="647"/>
      <c r="R54" s="645"/>
      <c r="S54" s="645"/>
      <c r="T54" s="645"/>
      <c r="U54" s="645"/>
      <c r="V54" s="645"/>
    </row>
    <row r="55" spans="1:22" ht="12.75">
      <c r="A55" s="641"/>
      <c r="B55" s="648"/>
      <c r="C55" s="648"/>
      <c r="D55" s="648"/>
      <c r="E55" s="649"/>
      <c r="F55" s="649"/>
      <c r="G55" s="649"/>
      <c r="H55" s="650"/>
      <c r="I55" s="648"/>
      <c r="J55" s="650"/>
      <c r="K55" s="648"/>
      <c r="L55" s="651"/>
      <c r="N55" s="652"/>
      <c r="O55" s="647"/>
      <c r="P55" s="646"/>
      <c r="Q55" s="647"/>
      <c r="R55" s="645"/>
      <c r="S55" s="645"/>
      <c r="T55" s="645"/>
      <c r="U55" s="645"/>
      <c r="V55" s="645"/>
    </row>
    <row r="56" spans="1:22" ht="12.75">
      <c r="A56" s="641"/>
      <c r="B56" s="648"/>
      <c r="C56" s="648"/>
      <c r="D56" s="648"/>
      <c r="E56" s="649"/>
      <c r="F56" s="649"/>
      <c r="G56" s="649"/>
      <c r="H56" s="650"/>
      <c r="I56" s="648"/>
      <c r="J56" s="650"/>
      <c r="K56" s="648"/>
      <c r="L56" s="651"/>
      <c r="N56" s="645"/>
      <c r="O56" s="645"/>
      <c r="P56" s="645"/>
      <c r="Q56" s="645"/>
      <c r="R56" s="645"/>
      <c r="S56" s="645"/>
      <c r="T56" s="645"/>
      <c r="U56" s="645"/>
      <c r="V56" s="645"/>
    </row>
    <row r="57" spans="1:22" ht="12.75">
      <c r="A57" s="593"/>
      <c r="B57" s="648"/>
      <c r="C57" s="648"/>
      <c r="D57" s="648"/>
      <c r="E57" s="641"/>
      <c r="F57" s="641"/>
      <c r="G57" s="641"/>
      <c r="H57" s="641"/>
      <c r="I57" s="641"/>
      <c r="J57" s="641"/>
      <c r="K57" s="641"/>
      <c r="L57" s="641"/>
      <c r="N57" s="645"/>
      <c r="O57" s="645"/>
      <c r="P57" s="645"/>
      <c r="Q57" s="645"/>
      <c r="R57" s="645"/>
      <c r="S57" s="645"/>
      <c r="T57" s="645"/>
      <c r="U57" s="645"/>
      <c r="V57" s="645"/>
    </row>
    <row r="58" spans="1:12" ht="12.75">
      <c r="A58" s="653"/>
      <c r="B58" s="641"/>
      <c r="C58" s="641"/>
      <c r="D58" s="641"/>
      <c r="E58" s="641"/>
      <c r="F58" s="641"/>
      <c r="G58" s="641"/>
      <c r="H58" s="641"/>
      <c r="I58" s="641"/>
      <c r="J58" s="641"/>
      <c r="K58" s="641"/>
      <c r="L58" s="641"/>
    </row>
    <row r="59" spans="1:5" ht="12.75">
      <c r="A59" s="653"/>
      <c r="B59" s="653"/>
      <c r="C59" s="653"/>
      <c r="D59" s="653"/>
      <c r="E59" s="653"/>
    </row>
    <row r="60" spans="1:5" ht="12.75">
      <c r="A60" s="653"/>
      <c r="B60" s="653"/>
      <c r="C60" s="653"/>
      <c r="D60" s="653"/>
      <c r="E60" s="653"/>
    </row>
    <row r="61" spans="1:5" ht="11.25">
      <c r="A61" s="653"/>
      <c r="B61" s="653"/>
      <c r="C61" s="653"/>
      <c r="D61" s="653"/>
      <c r="E61" s="653"/>
    </row>
    <row r="62" spans="1:5" ht="12.75">
      <c r="A62" s="654"/>
      <c r="B62" s="654"/>
      <c r="C62" s="654"/>
      <c r="D62" s="654"/>
      <c r="E62" s="654"/>
    </row>
    <row r="63" spans="1:5" ht="12.75">
      <c r="A63" s="655"/>
      <c r="B63" s="655"/>
      <c r="C63" s="655"/>
      <c r="D63" s="655"/>
      <c r="E63" s="655"/>
    </row>
    <row r="64" spans="1:5" ht="12.75">
      <c r="A64" s="656"/>
      <c r="B64" s="656"/>
      <c r="C64" s="657"/>
      <c r="D64" s="657"/>
      <c r="E64" s="657"/>
    </row>
    <row r="65" spans="1:5" ht="12.75">
      <c r="A65" s="656"/>
      <c r="B65" s="656"/>
      <c r="C65" s="657"/>
      <c r="D65" s="657"/>
      <c r="E65" s="657"/>
    </row>
    <row r="66" spans="1:5" ht="12.75">
      <c r="A66" s="653"/>
      <c r="B66" s="653"/>
      <c r="C66" s="653"/>
      <c r="D66" s="653"/>
      <c r="E66" s="653"/>
    </row>
    <row r="67" spans="1:5" ht="12.75">
      <c r="A67" s="653"/>
      <c r="B67" s="653"/>
      <c r="C67" s="653"/>
      <c r="D67" s="653"/>
      <c r="E67" s="653"/>
    </row>
    <row r="68" spans="1:5" ht="12.75">
      <c r="A68" s="653"/>
      <c r="B68" s="653"/>
      <c r="C68" s="653"/>
      <c r="D68" s="653"/>
      <c r="E68" s="653"/>
    </row>
    <row r="69" spans="1:5" ht="12.75">
      <c r="A69" s="653"/>
      <c r="B69" s="653"/>
      <c r="C69" s="653"/>
      <c r="D69" s="653"/>
      <c r="E69" s="653"/>
    </row>
    <row r="70" spans="1:5" ht="12.75">
      <c r="A70" s="653"/>
      <c r="B70" s="653"/>
      <c r="C70" s="653"/>
      <c r="D70" s="653"/>
      <c r="E70" s="653"/>
    </row>
    <row r="71" spans="1:5" ht="12.75">
      <c r="A71" s="653"/>
      <c r="B71" s="653"/>
      <c r="C71" s="653"/>
      <c r="D71" s="653"/>
      <c r="E71" s="653"/>
    </row>
    <row r="72" spans="1:5" ht="12.75">
      <c r="A72" s="653"/>
      <c r="B72" s="653"/>
      <c r="C72" s="653"/>
      <c r="D72" s="653"/>
      <c r="E72" s="653"/>
    </row>
    <row r="73" spans="1:5" ht="12.75">
      <c r="A73" s="653"/>
      <c r="B73" s="653"/>
      <c r="C73" s="653"/>
      <c r="D73" s="653"/>
      <c r="E73" s="653"/>
    </row>
    <row r="74" spans="1:5" ht="12.75">
      <c r="A74" s="653"/>
      <c r="B74" s="653"/>
      <c r="C74" s="653"/>
      <c r="D74" s="653"/>
      <c r="E74" s="653"/>
    </row>
    <row r="75" spans="1:5" ht="12.75">
      <c r="A75" s="653"/>
      <c r="B75" s="653"/>
      <c r="C75" s="653"/>
      <c r="D75" s="653"/>
      <c r="E75" s="653"/>
    </row>
    <row r="76" spans="1:5" ht="12.75">
      <c r="A76" s="653"/>
      <c r="B76" s="653"/>
      <c r="C76" s="653"/>
      <c r="D76" s="653"/>
      <c r="E76" s="653"/>
    </row>
    <row r="77" spans="1:5" ht="12.75">
      <c r="A77" s="653"/>
      <c r="B77" s="653"/>
      <c r="C77" s="653"/>
      <c r="D77" s="653"/>
      <c r="E77" s="653"/>
    </row>
    <row r="78" spans="1:5" ht="12.75">
      <c r="A78" s="653"/>
      <c r="B78" s="653"/>
      <c r="C78" s="653"/>
      <c r="D78" s="653"/>
      <c r="E78" s="653"/>
    </row>
    <row r="79" spans="1:5" ht="12.75">
      <c r="A79" s="653"/>
      <c r="B79" s="653"/>
      <c r="C79" s="653"/>
      <c r="D79" s="653"/>
      <c r="E79" s="653"/>
    </row>
    <row r="80" spans="1:5" ht="12.75">
      <c r="A80" s="653"/>
      <c r="B80" s="653"/>
      <c r="C80" s="653"/>
      <c r="D80" s="653"/>
      <c r="E80" s="653"/>
    </row>
    <row r="81" spans="1:5" ht="12.75">
      <c r="A81" s="653"/>
      <c r="B81" s="653"/>
      <c r="C81" s="653"/>
      <c r="D81" s="653"/>
      <c r="E81" s="653"/>
    </row>
    <row r="82" spans="1:5" ht="12.75">
      <c r="A82" s="653"/>
      <c r="B82" s="653"/>
      <c r="C82" s="653"/>
      <c r="D82" s="653"/>
      <c r="E82" s="653"/>
    </row>
    <row r="83" spans="1:5" ht="12.75">
      <c r="A83" s="653"/>
      <c r="B83" s="653"/>
      <c r="C83" s="653"/>
      <c r="D83" s="653"/>
      <c r="E83" s="653"/>
    </row>
    <row r="84" spans="1:5" ht="12.75">
      <c r="A84" s="653"/>
      <c r="B84" s="653"/>
      <c r="C84" s="653"/>
      <c r="D84" s="653"/>
      <c r="E84" s="653"/>
    </row>
    <row r="85" spans="1:5" ht="12.75">
      <c r="A85" s="653"/>
      <c r="B85" s="653"/>
      <c r="C85" s="653"/>
      <c r="D85" s="653"/>
      <c r="E85" s="653"/>
    </row>
    <row r="86" spans="1:5" ht="12.75">
      <c r="A86" s="653"/>
      <c r="B86" s="653"/>
      <c r="C86" s="653"/>
      <c r="D86" s="653"/>
      <c r="E86" s="653"/>
    </row>
    <row r="87" spans="1:5" ht="12.75">
      <c r="A87" s="653"/>
      <c r="B87" s="653"/>
      <c r="C87" s="653"/>
      <c r="D87" s="653"/>
      <c r="E87" s="653"/>
    </row>
    <row r="88" spans="1:5" ht="12.75">
      <c r="A88" s="653"/>
      <c r="B88" s="653"/>
      <c r="C88" s="653"/>
      <c r="D88" s="653"/>
      <c r="E88" s="653"/>
    </row>
    <row r="89" spans="1:5" ht="12.75">
      <c r="A89" s="653"/>
      <c r="B89" s="653"/>
      <c r="C89" s="653"/>
      <c r="D89" s="653"/>
      <c r="E89" s="653"/>
    </row>
    <row r="90" spans="1:5" ht="12.75">
      <c r="A90" s="653"/>
      <c r="B90" s="653"/>
      <c r="C90" s="653"/>
      <c r="D90" s="653"/>
      <c r="E90" s="653"/>
    </row>
    <row r="91" spans="1:5" ht="12.75">
      <c r="A91" s="653"/>
      <c r="B91" s="653"/>
      <c r="C91" s="653"/>
      <c r="D91" s="653"/>
      <c r="E91" s="653"/>
    </row>
    <row r="92" spans="1:5" ht="12.75">
      <c r="A92" s="653"/>
      <c r="B92" s="653"/>
      <c r="C92" s="653"/>
      <c r="D92" s="653"/>
      <c r="E92" s="653"/>
    </row>
    <row r="93" spans="1:5" ht="12.75">
      <c r="A93" s="653"/>
      <c r="B93" s="653"/>
      <c r="C93" s="653"/>
      <c r="D93" s="653"/>
      <c r="E93" s="653"/>
    </row>
    <row r="94" spans="1:5" ht="12.75">
      <c r="A94" s="653"/>
      <c r="B94" s="653"/>
      <c r="C94" s="653"/>
      <c r="D94" s="653"/>
      <c r="E94" s="653"/>
    </row>
    <row r="95" spans="1:5" ht="12.75">
      <c r="A95" s="653"/>
      <c r="B95" s="653"/>
      <c r="C95" s="653"/>
      <c r="D95" s="653"/>
      <c r="E95" s="653"/>
    </row>
    <row r="96" spans="1:5" ht="12.75">
      <c r="A96" s="653"/>
      <c r="B96" s="653"/>
      <c r="C96" s="653"/>
      <c r="D96" s="653"/>
      <c r="E96" s="653"/>
    </row>
    <row r="97" spans="1:5" ht="12.75">
      <c r="A97" s="653"/>
      <c r="B97" s="653"/>
      <c r="C97" s="653"/>
      <c r="D97" s="653"/>
      <c r="E97" s="653"/>
    </row>
    <row r="98" spans="1:5" ht="12.75">
      <c r="A98" s="653"/>
      <c r="B98" s="653"/>
      <c r="C98" s="653"/>
      <c r="D98" s="653"/>
      <c r="E98" s="653"/>
    </row>
    <row r="99" spans="1:5" ht="12.75">
      <c r="A99" s="653"/>
      <c r="B99" s="653"/>
      <c r="C99" s="653"/>
      <c r="D99" s="653"/>
      <c r="E99" s="653"/>
    </row>
    <row r="100" spans="1:5" ht="12.75">
      <c r="A100" s="653"/>
      <c r="B100" s="653"/>
      <c r="C100" s="653"/>
      <c r="D100" s="653"/>
      <c r="E100" s="653"/>
    </row>
    <row r="101" spans="1:5" ht="12.75">
      <c r="A101" s="653"/>
      <c r="B101" s="653"/>
      <c r="C101" s="653"/>
      <c r="D101" s="653"/>
      <c r="E101" s="653"/>
    </row>
    <row r="102" spans="1:5" ht="12.75">
      <c r="A102" s="653"/>
      <c r="B102" s="653"/>
      <c r="C102" s="653"/>
      <c r="D102" s="653"/>
      <c r="E102" s="653"/>
    </row>
    <row r="103" spans="1:5" ht="12.75">
      <c r="A103" s="653"/>
      <c r="B103" s="653"/>
      <c r="C103" s="653"/>
      <c r="D103" s="653"/>
      <c r="E103" s="653"/>
    </row>
    <row r="104" spans="1:5" ht="12.75">
      <c r="A104" s="653"/>
      <c r="B104" s="653"/>
      <c r="C104" s="653"/>
      <c r="D104" s="653"/>
      <c r="E104" s="653"/>
    </row>
    <row r="105" spans="1:5" ht="12.75">
      <c r="A105" s="653"/>
      <c r="B105" s="653"/>
      <c r="C105" s="653"/>
      <c r="D105" s="653"/>
      <c r="E105" s="653"/>
    </row>
    <row r="106" spans="1:5" ht="12.75">
      <c r="A106" s="653"/>
      <c r="B106" s="653"/>
      <c r="C106" s="653"/>
      <c r="D106" s="653"/>
      <c r="E106" s="653"/>
    </row>
    <row r="107" spans="1:5" ht="12.75">
      <c r="A107" s="653"/>
      <c r="B107" s="653"/>
      <c r="C107" s="653"/>
      <c r="D107" s="653"/>
      <c r="E107" s="653"/>
    </row>
    <row r="108" spans="1:5" ht="12.75">
      <c r="A108" s="653"/>
      <c r="B108" s="653"/>
      <c r="C108" s="653"/>
      <c r="D108" s="653"/>
      <c r="E108" s="653"/>
    </row>
    <row r="109" spans="1:5" ht="12.75">
      <c r="A109" s="653"/>
      <c r="B109" s="653"/>
      <c r="C109" s="653"/>
      <c r="D109" s="653"/>
      <c r="E109" s="653"/>
    </row>
    <row r="110" spans="1:5" ht="12.75">
      <c r="A110" s="653"/>
      <c r="B110" s="653"/>
      <c r="C110" s="653"/>
      <c r="D110" s="653"/>
      <c r="E110" s="653"/>
    </row>
    <row r="111" spans="1:5" ht="12.75">
      <c r="A111" s="653"/>
      <c r="B111" s="653"/>
      <c r="C111" s="653"/>
      <c r="D111" s="653"/>
      <c r="E111" s="653"/>
    </row>
    <row r="112" spans="1:5" ht="12.75">
      <c r="A112" s="653"/>
      <c r="B112" s="653"/>
      <c r="C112" s="653"/>
      <c r="D112" s="653"/>
      <c r="E112" s="653"/>
    </row>
    <row r="113" spans="1:5" ht="12.75">
      <c r="A113" s="653"/>
      <c r="B113" s="653"/>
      <c r="C113" s="653"/>
      <c r="D113" s="653"/>
      <c r="E113" s="653"/>
    </row>
    <row r="114" spans="1:5" ht="12.75">
      <c r="A114" s="653"/>
      <c r="B114" s="653"/>
      <c r="C114" s="653"/>
      <c r="D114" s="653"/>
      <c r="E114" s="653"/>
    </row>
    <row r="115" spans="1:5" ht="12.75">
      <c r="A115" s="653"/>
      <c r="B115" s="653"/>
      <c r="C115" s="653"/>
      <c r="D115" s="653"/>
      <c r="E115" s="653"/>
    </row>
    <row r="116" spans="1:5" ht="12.75">
      <c r="A116" s="653"/>
      <c r="B116" s="653"/>
      <c r="C116" s="653"/>
      <c r="D116" s="653"/>
      <c r="E116" s="653"/>
    </row>
    <row r="117" spans="1:5" ht="12.75">
      <c r="A117" s="653"/>
      <c r="B117" s="653"/>
      <c r="C117" s="653"/>
      <c r="D117" s="653"/>
      <c r="E117" s="653"/>
    </row>
  </sheetData>
  <mergeCells count="3">
    <mergeCell ref="H2:L2"/>
    <mergeCell ref="B2:F2"/>
    <mergeCell ref="B49:E49"/>
  </mergeCells>
  <printOptions horizontalCentered="1"/>
  <pageMargins left="0.167" right="0.167" top="0.52" bottom="0.75" header="0" footer="0.28"/>
  <pageSetup fitToHeight="1" fitToWidth="1" horizontalDpi="600" verticalDpi="600" orientation="portrait" r:id="rId2"/>
  <headerFooter alignWithMargins="0">
    <oddFooter>&amp;C&amp;"Arial,Italic"&amp;9Vegetables and Melons Outlook&amp;"Arial,Regular"/VGS-330/December 16, 2008
Economic Research Service, USDA</oddFooter>
  </headerFooter>
  <drawing r:id="rId1"/>
</worksheet>
</file>

<file path=xl/worksheets/sheet19.xml><?xml version="1.0" encoding="utf-8"?>
<worksheet xmlns="http://schemas.openxmlformats.org/spreadsheetml/2006/main" xmlns:r="http://schemas.openxmlformats.org/officeDocument/2006/relationships">
  <sheetPr>
    <tabColor indexed="50"/>
    <pageSetUpPr fitToPage="1"/>
  </sheetPr>
  <dimension ref="A1:H37"/>
  <sheetViews>
    <sheetView showGridLines="0" workbookViewId="0" topLeftCell="A1">
      <selection activeCell="A1" sqref="A1"/>
    </sheetView>
  </sheetViews>
  <sheetFormatPr defaultColWidth="9.140625" defaultRowHeight="12.75"/>
  <cols>
    <col min="1" max="1" width="24.7109375" style="0" customWidth="1"/>
    <col min="5" max="5" width="2.421875" style="0" customWidth="1"/>
    <col min="9" max="9" width="4.140625" style="417" customWidth="1"/>
  </cols>
  <sheetData>
    <row r="1" spans="1:8" ht="18.75" customHeight="1">
      <c r="A1" s="605" t="s">
        <v>570</v>
      </c>
      <c r="B1" s="583"/>
      <c r="C1" s="583"/>
      <c r="D1" s="584"/>
      <c r="E1" s="584"/>
      <c r="F1" s="584"/>
      <c r="G1" s="584"/>
      <c r="H1" s="584"/>
    </row>
    <row r="2" spans="1:8" ht="12.75">
      <c r="A2" s="585"/>
      <c r="B2" s="675" t="s">
        <v>532</v>
      </c>
      <c r="C2" s="676"/>
      <c r="D2" s="676"/>
      <c r="E2" s="586"/>
      <c r="F2" s="675" t="s">
        <v>533</v>
      </c>
      <c r="G2" s="676"/>
      <c r="H2" s="676"/>
    </row>
    <row r="3" spans="1:8" ht="12.75">
      <c r="A3" s="587" t="s">
        <v>89</v>
      </c>
      <c r="B3" s="588" t="s">
        <v>534</v>
      </c>
      <c r="C3" s="588" t="s">
        <v>535</v>
      </c>
      <c r="D3" s="588" t="s">
        <v>536</v>
      </c>
      <c r="E3" s="588"/>
      <c r="F3" s="588" t="s">
        <v>534</v>
      </c>
      <c r="G3" s="588" t="s">
        <v>535</v>
      </c>
      <c r="H3" s="588" t="s">
        <v>536</v>
      </c>
    </row>
    <row r="4" spans="1:8" ht="17.25" customHeight="1">
      <c r="A4" s="589"/>
      <c r="B4" s="590" t="s">
        <v>537</v>
      </c>
      <c r="C4" s="591" t="s">
        <v>538</v>
      </c>
      <c r="D4" s="592" t="s">
        <v>539</v>
      </c>
      <c r="E4" s="590"/>
      <c r="F4" s="590" t="s">
        <v>537</v>
      </c>
      <c r="G4" s="591" t="s">
        <v>538</v>
      </c>
      <c r="H4" s="592" t="s">
        <v>539</v>
      </c>
    </row>
    <row r="5" spans="1:8" ht="3.75" customHeight="1">
      <c r="A5" s="593"/>
      <c r="B5" s="594"/>
      <c r="C5" s="594"/>
      <c r="D5" s="594"/>
      <c r="E5" s="594"/>
      <c r="F5" s="594"/>
      <c r="G5" s="594"/>
      <c r="H5" s="594"/>
    </row>
    <row r="6" spans="1:8" ht="12.75">
      <c r="A6" s="595" t="s">
        <v>325</v>
      </c>
      <c r="B6" s="596"/>
      <c r="C6" s="596"/>
      <c r="E6" s="596"/>
      <c r="F6" s="596"/>
      <c r="G6" s="596"/>
      <c r="H6" s="596"/>
    </row>
    <row r="7" spans="1:8" ht="11.25" customHeight="1">
      <c r="A7" s="417" t="s">
        <v>540</v>
      </c>
      <c r="B7" s="596">
        <v>152615.92357443602</v>
      </c>
      <c r="C7" s="597">
        <v>0.4881377202010312</v>
      </c>
      <c r="D7" s="596">
        <v>74497.589</v>
      </c>
      <c r="E7" s="596"/>
      <c r="F7" s="596">
        <v>11018.012913936</v>
      </c>
      <c r="G7" s="597">
        <v>0.7383687116313046</v>
      </c>
      <c r="H7" s="596">
        <v>8135.356</v>
      </c>
    </row>
    <row r="8" spans="1:8" ht="11.25" customHeight="1">
      <c r="A8" s="417" t="s">
        <v>541</v>
      </c>
      <c r="B8" s="596">
        <v>66864.060004392</v>
      </c>
      <c r="C8" s="597">
        <v>0.4570008312087668</v>
      </c>
      <c r="D8" s="596">
        <v>30556.931</v>
      </c>
      <c r="E8" s="596"/>
      <c r="F8" s="596">
        <v>1589.77497042</v>
      </c>
      <c r="G8" s="597">
        <v>1.0706496401502203</v>
      </c>
      <c r="H8" s="596">
        <v>1702.092</v>
      </c>
    </row>
    <row r="9" spans="1:8" ht="11.25" customHeight="1">
      <c r="A9" s="417" t="s">
        <v>542</v>
      </c>
      <c r="B9" s="596">
        <v>3795.585261678</v>
      </c>
      <c r="C9" s="597">
        <v>1.2944786274746638</v>
      </c>
      <c r="D9" s="596">
        <v>4913.304</v>
      </c>
      <c r="E9" s="596"/>
      <c r="F9" s="596">
        <v>105.574938336</v>
      </c>
      <c r="G9" s="597">
        <v>2.010533970898099</v>
      </c>
      <c r="H9" s="596">
        <v>212.262</v>
      </c>
    </row>
    <row r="10" spans="1:8" ht="11.25" customHeight="1">
      <c r="A10" s="417" t="s">
        <v>543</v>
      </c>
      <c r="B10" s="596">
        <v>9456.562926972</v>
      </c>
      <c r="C10" s="597">
        <v>0.45222815446006315</v>
      </c>
      <c r="D10" s="596">
        <v>4276.524</v>
      </c>
      <c r="E10" s="596"/>
      <c r="F10" s="596">
        <v>9503.741837772</v>
      </c>
      <c r="G10" s="597">
        <v>0.8005564681651369</v>
      </c>
      <c r="H10" s="596">
        <v>7608.282</v>
      </c>
    </row>
    <row r="11" spans="1:8" ht="11.25" customHeight="1">
      <c r="A11" s="417" t="s">
        <v>544</v>
      </c>
      <c r="B11" s="596">
        <v>6511.7236581180005</v>
      </c>
      <c r="C11" s="597">
        <v>1.2072189197094991</v>
      </c>
      <c r="D11" s="596">
        <v>7861.076</v>
      </c>
      <c r="E11" s="596"/>
      <c r="F11" s="596">
        <v>112.570203942</v>
      </c>
      <c r="G11" s="597">
        <v>2.480434344276974</v>
      </c>
      <c r="H11" s="596">
        <v>279.223</v>
      </c>
    </row>
    <row r="12" spans="1:8" ht="11.25" customHeight="1">
      <c r="A12" s="417" t="s">
        <v>545</v>
      </c>
      <c r="B12" s="596">
        <v>4762.378147338</v>
      </c>
      <c r="C12" s="597">
        <v>1.1074674956141561</v>
      </c>
      <c r="D12" s="596">
        <v>5274.179</v>
      </c>
      <c r="E12" s="596"/>
      <c r="F12" s="598" t="s">
        <v>546</v>
      </c>
      <c r="G12" s="598" t="s">
        <v>546</v>
      </c>
      <c r="H12" s="598" t="s">
        <v>546</v>
      </c>
    </row>
    <row r="13" spans="1:8" ht="11.25" customHeight="1">
      <c r="A13" s="417" t="s">
        <v>547</v>
      </c>
      <c r="B13" s="596">
        <v>2566.7708466960003</v>
      </c>
      <c r="C13" s="597">
        <v>0.5256413916874266</v>
      </c>
      <c r="D13" s="596">
        <v>1349.201</v>
      </c>
      <c r="E13" s="596"/>
      <c r="F13" s="598" t="s">
        <v>546</v>
      </c>
      <c r="G13" s="598" t="s">
        <v>546</v>
      </c>
      <c r="H13" s="598" t="s">
        <v>546</v>
      </c>
    </row>
    <row r="14" spans="1:8" ht="7.5" customHeight="1">
      <c r="A14" s="593"/>
      <c r="B14" s="594"/>
      <c r="C14" s="594"/>
      <c r="D14" s="594"/>
      <c r="E14" s="594"/>
      <c r="F14" s="594"/>
      <c r="G14" s="594"/>
      <c r="H14" s="594"/>
    </row>
    <row r="15" spans="1:8" ht="12.75">
      <c r="A15" s="595" t="s">
        <v>380</v>
      </c>
      <c r="B15" s="596"/>
      <c r="C15" s="596"/>
      <c r="D15" s="596"/>
      <c r="E15" s="596"/>
      <c r="F15" s="596"/>
      <c r="G15" s="596"/>
      <c r="H15" s="596"/>
    </row>
    <row r="16" spans="1:8" ht="11.25" customHeight="1">
      <c r="A16" s="417" t="s">
        <v>540</v>
      </c>
      <c r="B16" s="596">
        <v>175888.23748587</v>
      </c>
      <c r="C16" s="597">
        <v>0.5132493411178346</v>
      </c>
      <c r="D16" s="596">
        <v>90274.522</v>
      </c>
      <c r="E16" s="596"/>
      <c r="F16" s="596">
        <v>10575.481852</v>
      </c>
      <c r="G16" s="597">
        <v>0.829443719232624</v>
      </c>
      <c r="H16" s="596">
        <v>8771.767</v>
      </c>
    </row>
    <row r="17" spans="1:8" ht="11.25" customHeight="1">
      <c r="A17" s="417" t="s">
        <v>541</v>
      </c>
      <c r="B17" s="596">
        <v>68738.546473758</v>
      </c>
      <c r="C17" s="597">
        <v>0.3082697858339151</v>
      </c>
      <c r="D17" s="596">
        <v>21190.017</v>
      </c>
      <c r="E17" s="596"/>
      <c r="F17" s="596">
        <v>1348.8898760000002</v>
      </c>
      <c r="G17" s="597">
        <v>1.0930825608776382</v>
      </c>
      <c r="H17" s="596">
        <v>1474.448</v>
      </c>
    </row>
    <row r="18" spans="1:8" ht="11.25" customHeight="1">
      <c r="A18" s="417" t="s">
        <v>542</v>
      </c>
      <c r="B18" s="596">
        <v>4087.918138878</v>
      </c>
      <c r="C18" s="597">
        <v>1.3486167806464804</v>
      </c>
      <c r="D18" s="596">
        <v>5513.035</v>
      </c>
      <c r="E18" s="596"/>
      <c r="F18" s="596">
        <v>149.973384</v>
      </c>
      <c r="G18" s="597">
        <v>1.7726545398215459</v>
      </c>
      <c r="H18" s="596">
        <v>265.851</v>
      </c>
    </row>
    <row r="19" spans="1:8" ht="11.25" customHeight="1">
      <c r="A19" s="417" t="s">
        <v>543</v>
      </c>
      <c r="B19" s="596">
        <v>10930.14109026</v>
      </c>
      <c r="C19" s="597">
        <v>0.37677747853317395</v>
      </c>
      <c r="D19" s="596">
        <v>4118.231</v>
      </c>
      <c r="E19" s="596"/>
      <c r="F19" s="596">
        <v>9409.087584</v>
      </c>
      <c r="G19" s="597">
        <v>0.837781445823132</v>
      </c>
      <c r="H19" s="596">
        <v>7882.759</v>
      </c>
    </row>
    <row r="20" spans="1:8" ht="11.25" customHeight="1">
      <c r="A20" s="417" t="s">
        <v>544</v>
      </c>
      <c r="B20" s="596">
        <v>8913.77176284</v>
      </c>
      <c r="C20" s="597">
        <v>1.007434253301869</v>
      </c>
      <c r="D20" s="596">
        <v>8980.039</v>
      </c>
      <c r="E20" s="596"/>
      <c r="F20" s="596">
        <v>235.39822000000004</v>
      </c>
      <c r="G20" s="597">
        <v>2.208024342749915</v>
      </c>
      <c r="H20" s="596">
        <v>519.765</v>
      </c>
    </row>
    <row r="21" spans="1:8" ht="11.25" customHeight="1">
      <c r="A21" s="417" t="s">
        <v>545</v>
      </c>
      <c r="B21" s="596">
        <v>5185.01741247</v>
      </c>
      <c r="C21" s="597">
        <v>1.2443294760174213</v>
      </c>
      <c r="D21" s="596">
        <v>6451.87</v>
      </c>
      <c r="E21" s="596"/>
      <c r="F21" s="598" t="s">
        <v>546</v>
      </c>
      <c r="G21" s="598" t="s">
        <v>546</v>
      </c>
      <c r="H21" s="598" t="s">
        <v>546</v>
      </c>
    </row>
    <row r="22" spans="1:8" ht="11.25" customHeight="1">
      <c r="A22" s="417" t="s">
        <v>547</v>
      </c>
      <c r="B22" s="596">
        <v>1754.5704649200002</v>
      </c>
      <c r="C22" s="597">
        <v>0.892650384418395</v>
      </c>
      <c r="D22" s="596">
        <v>1566.218</v>
      </c>
      <c r="E22" s="596"/>
      <c r="F22" s="598" t="s">
        <v>546</v>
      </c>
      <c r="G22" s="598" t="s">
        <v>546</v>
      </c>
      <c r="H22" s="598" t="s">
        <v>546</v>
      </c>
    </row>
    <row r="23" spans="1:8" ht="6.75" customHeight="1">
      <c r="A23" s="593"/>
      <c r="B23" s="594"/>
      <c r="C23" s="594"/>
      <c r="D23" s="594"/>
      <c r="E23" s="594"/>
      <c r="F23" s="596"/>
      <c r="G23" s="594"/>
      <c r="H23" s="594"/>
    </row>
    <row r="24" spans="1:8" ht="12.75">
      <c r="A24" s="595" t="s">
        <v>424</v>
      </c>
      <c r="B24" s="596"/>
      <c r="C24" s="596"/>
      <c r="D24" s="596"/>
      <c r="E24" s="596"/>
      <c r="F24" s="596"/>
      <c r="G24" s="596"/>
      <c r="H24" s="596"/>
    </row>
    <row r="25" spans="1:8" ht="11.25" customHeight="1">
      <c r="A25" s="417" t="s">
        <v>540</v>
      </c>
      <c r="B25" s="596">
        <v>195611.691997512</v>
      </c>
      <c r="C25" s="597">
        <v>0.5818196439988238</v>
      </c>
      <c r="D25" s="596">
        <v>113810.725</v>
      </c>
      <c r="E25" s="596"/>
      <c r="F25" s="596">
        <v>8653.189851684001</v>
      </c>
      <c r="G25" s="597">
        <v>0.884644637550655</v>
      </c>
      <c r="H25" s="596">
        <v>7654.998</v>
      </c>
    </row>
    <row r="26" spans="1:8" ht="11.25" customHeight="1">
      <c r="A26" s="417" t="s">
        <v>541</v>
      </c>
      <c r="B26" s="596">
        <v>75082.820272488</v>
      </c>
      <c r="C26" s="597">
        <v>0.30382666656914165</v>
      </c>
      <c r="D26" s="596">
        <v>22812.163</v>
      </c>
      <c r="E26" s="596"/>
      <c r="F26" s="596">
        <v>1084.096413036</v>
      </c>
      <c r="G26" s="597">
        <v>1.283903334853834</v>
      </c>
      <c r="H26" s="596">
        <v>1391.875</v>
      </c>
    </row>
    <row r="27" spans="1:8" ht="11.25" customHeight="1">
      <c r="A27" s="417" t="s">
        <v>542</v>
      </c>
      <c r="B27" s="596">
        <v>4051.705017906</v>
      </c>
      <c r="C27" s="597">
        <v>1.3617699155333736</v>
      </c>
      <c r="D27" s="596">
        <v>5517.49</v>
      </c>
      <c r="E27" s="596"/>
      <c r="F27" s="596">
        <v>176.63431463999999</v>
      </c>
      <c r="G27" s="597">
        <v>2.0353632912876005</v>
      </c>
      <c r="H27" s="596">
        <v>359.515</v>
      </c>
    </row>
    <row r="28" spans="1:8" ht="11.25" customHeight="1">
      <c r="A28" s="417" t="s">
        <v>543</v>
      </c>
      <c r="B28" s="596">
        <v>11181.481225992</v>
      </c>
      <c r="C28" s="597">
        <v>0.4118578663169411</v>
      </c>
      <c r="D28" s="596">
        <v>4605.181</v>
      </c>
      <c r="E28" s="596"/>
      <c r="F28" s="596">
        <v>8510.290662888</v>
      </c>
      <c r="G28" s="597">
        <v>0.970044188502313</v>
      </c>
      <c r="H28" s="596">
        <v>8255.358</v>
      </c>
    </row>
    <row r="29" spans="1:8" ht="11.25" customHeight="1">
      <c r="A29" s="417" t="s">
        <v>544</v>
      </c>
      <c r="B29" s="596">
        <v>8136.87399315</v>
      </c>
      <c r="C29" s="597">
        <v>1.1386528792014934</v>
      </c>
      <c r="D29" s="596">
        <v>9265.075</v>
      </c>
      <c r="E29" s="596"/>
      <c r="F29" s="596">
        <v>411.62497362</v>
      </c>
      <c r="G29" s="597">
        <v>1.621461385421564</v>
      </c>
      <c r="H29" s="596">
        <v>667.434</v>
      </c>
    </row>
    <row r="30" spans="1:8" ht="11.25" customHeight="1">
      <c r="A30" s="417" t="s">
        <v>545</v>
      </c>
      <c r="B30" s="596">
        <v>5886.448766478</v>
      </c>
      <c r="C30" s="597">
        <v>1.3981811999910423</v>
      </c>
      <c r="D30" s="596">
        <v>8230.322</v>
      </c>
      <c r="E30" s="596"/>
      <c r="F30" s="598" t="s">
        <v>546</v>
      </c>
      <c r="G30" s="598" t="s">
        <v>546</v>
      </c>
      <c r="H30" s="598" t="s">
        <v>546</v>
      </c>
    </row>
    <row r="31" spans="1:8" ht="11.25" customHeight="1">
      <c r="A31" s="417" t="s">
        <v>547</v>
      </c>
      <c r="B31" s="596">
        <v>1920.183874182</v>
      </c>
      <c r="C31" s="597">
        <v>1.2237442630336757</v>
      </c>
      <c r="D31" s="596">
        <v>2349.814</v>
      </c>
      <c r="E31" s="596"/>
      <c r="F31" s="598" t="s">
        <v>546</v>
      </c>
      <c r="G31" s="598" t="s">
        <v>546</v>
      </c>
      <c r="H31" s="598" t="s">
        <v>546</v>
      </c>
    </row>
    <row r="32" spans="1:8" ht="6.75" customHeight="1">
      <c r="A32" s="593"/>
      <c r="B32" s="594"/>
      <c r="C32" s="594"/>
      <c r="D32" s="594"/>
      <c r="E32" s="594"/>
      <c r="F32" s="594"/>
      <c r="G32" s="594"/>
      <c r="H32" s="594"/>
    </row>
    <row r="33" spans="1:8" ht="14.25" customHeight="1">
      <c r="A33" s="599" t="s">
        <v>548</v>
      </c>
      <c r="B33" s="600"/>
      <c r="C33" s="600"/>
      <c r="D33" s="600"/>
      <c r="E33" s="600"/>
      <c r="F33" s="600"/>
      <c r="G33" s="600"/>
      <c r="H33" s="600"/>
    </row>
    <row r="34" spans="1:8" ht="10.5" customHeight="1">
      <c r="A34" s="601" t="s">
        <v>549</v>
      </c>
      <c r="B34" s="602"/>
      <c r="C34" s="602"/>
      <c r="D34" s="602"/>
      <c r="E34" s="602"/>
      <c r="F34" s="602"/>
      <c r="G34" s="602"/>
      <c r="H34" s="602"/>
    </row>
    <row r="35" spans="1:8" ht="10.5" customHeight="1">
      <c r="A35" s="601" t="s">
        <v>550</v>
      </c>
      <c r="B35" s="602"/>
      <c r="C35" s="602"/>
      <c r="D35" s="602"/>
      <c r="E35" s="602"/>
      <c r="F35" s="602"/>
      <c r="G35" s="602"/>
      <c r="H35" s="602"/>
    </row>
    <row r="36" spans="1:8" ht="10.5" customHeight="1">
      <c r="A36" s="601" t="s">
        <v>551</v>
      </c>
      <c r="B36" s="602"/>
      <c r="C36" s="602"/>
      <c r="D36" s="602"/>
      <c r="E36" s="602"/>
      <c r="F36" s="602"/>
      <c r="G36" s="602"/>
      <c r="H36" s="602"/>
    </row>
    <row r="37" spans="1:8" ht="15">
      <c r="A37" s="603" t="s">
        <v>552</v>
      </c>
      <c r="B37" s="604"/>
      <c r="C37" s="604"/>
      <c r="D37" s="604"/>
      <c r="E37" s="604"/>
      <c r="F37" s="604"/>
      <c r="G37" s="604"/>
      <c r="H37" s="604"/>
    </row>
  </sheetData>
  <mergeCells count="2">
    <mergeCell ref="B2:D2"/>
    <mergeCell ref="F2:H2"/>
  </mergeCells>
  <printOptions horizontalCentered="1"/>
  <pageMargins left="0.167" right="0.167" top="0.52" bottom="0.75" header="0" footer="0.28"/>
  <pageSetup fitToHeight="1" fitToWidth="1" horizontalDpi="600" verticalDpi="600" orientation="portrait" r:id="rId1"/>
  <headerFooter alignWithMargins="0">
    <oddFooter>&amp;C&amp;"Arial,Italic"&amp;9Vegetables and Melons Outlook&amp;"Arial,Regular"/VGS-330/December 16, 2008
Economic Research Service, USDA</oddFooter>
  </headerFooter>
</worksheet>
</file>

<file path=xl/worksheets/sheet2.xml><?xml version="1.0" encoding="utf-8"?>
<worksheet xmlns="http://schemas.openxmlformats.org/spreadsheetml/2006/main" xmlns:r="http://schemas.openxmlformats.org/officeDocument/2006/relationships">
  <sheetPr transitionEvaluation="1" transitionEntry="1">
    <tabColor indexed="27"/>
    <pageSetUpPr fitToPage="1"/>
  </sheetPr>
  <dimension ref="A1:S60"/>
  <sheetViews>
    <sheetView showGridLines="0" workbookViewId="0" topLeftCell="A1">
      <pane xSplit="2" ySplit="5" topLeftCell="C6" activePane="bottomRight" state="frozen"/>
      <selection pane="topLeft" activeCell="A1" sqref="A1"/>
      <selection pane="topRight" activeCell="A1" sqref="A1"/>
      <selection pane="bottomLeft" activeCell="A1" sqref="A1"/>
      <selection pane="bottomRight" activeCell="C5" sqref="C5"/>
    </sheetView>
  </sheetViews>
  <sheetFormatPr defaultColWidth="9.7109375" defaultRowHeight="12.75"/>
  <cols>
    <col min="1" max="1" width="14.57421875" style="15" customWidth="1"/>
    <col min="2" max="2" width="1.57421875" style="15" customWidth="1"/>
    <col min="3" max="3" width="7.57421875" style="15" customWidth="1"/>
    <col min="4" max="4" width="7.8515625" style="15" customWidth="1"/>
    <col min="5" max="7" width="7.57421875" style="15" customWidth="1"/>
    <col min="8" max="8" width="0.9921875" style="15" customWidth="1"/>
    <col min="9" max="9" width="7.00390625" style="15" customWidth="1"/>
    <col min="10" max="10" width="7.57421875" style="15" customWidth="1"/>
    <col min="11" max="12" width="7.28125" style="15" customWidth="1"/>
    <col min="13" max="13" width="7.140625" style="15" customWidth="1"/>
    <col min="14" max="15" width="6.8515625" style="15" customWidth="1"/>
    <col min="16" max="19" width="7.7109375" style="15" customWidth="1"/>
    <col min="20" max="20" width="9.7109375" style="671" customWidth="1"/>
    <col min="21" max="16384" width="9.7109375" style="15" customWidth="1"/>
  </cols>
  <sheetData>
    <row r="1" spans="1:19" ht="18.75" customHeight="1">
      <c r="A1" s="191" t="s">
        <v>523</v>
      </c>
      <c r="B1" s="14"/>
      <c r="C1" s="14"/>
      <c r="D1" s="14"/>
      <c r="E1" s="14"/>
      <c r="F1" s="14"/>
      <c r="G1" s="14"/>
      <c r="H1" s="14"/>
      <c r="I1" s="14"/>
      <c r="J1" s="14"/>
      <c r="K1" s="14"/>
      <c r="L1" s="14"/>
      <c r="M1" s="14"/>
      <c r="N1" s="14"/>
      <c r="O1" s="14"/>
      <c r="P1" s="14"/>
      <c r="Q1" s="14"/>
      <c r="R1" s="14"/>
      <c r="S1" s="14"/>
    </row>
    <row r="2" spans="1:19" ht="12">
      <c r="A2" s="280"/>
      <c r="B2" s="283"/>
      <c r="C2" s="281">
        <v>2007</v>
      </c>
      <c r="D2" s="282"/>
      <c r="E2" s="282"/>
      <c r="F2" s="282"/>
      <c r="G2" s="282"/>
      <c r="H2" s="283"/>
      <c r="I2" s="282">
        <v>2008</v>
      </c>
      <c r="J2" s="282"/>
      <c r="K2" s="282"/>
      <c r="L2" s="282"/>
      <c r="M2" s="282"/>
      <c r="N2" s="282"/>
      <c r="O2" s="282"/>
      <c r="P2" s="282"/>
      <c r="Q2" s="282"/>
      <c r="R2" s="282"/>
      <c r="S2" s="282"/>
    </row>
    <row r="3" spans="1:19" ht="12">
      <c r="A3" s="284" t="s">
        <v>23</v>
      </c>
      <c r="B3" s="286"/>
      <c r="C3" s="285" t="s">
        <v>295</v>
      </c>
      <c r="D3" s="285" t="s">
        <v>294</v>
      </c>
      <c r="E3" s="285" t="s">
        <v>323</v>
      </c>
      <c r="F3" s="285" t="s">
        <v>322</v>
      </c>
      <c r="G3" s="285" t="s">
        <v>324</v>
      </c>
      <c r="H3" s="286"/>
      <c r="I3" s="285" t="s">
        <v>264</v>
      </c>
      <c r="J3" s="285" t="s">
        <v>279</v>
      </c>
      <c r="K3" s="285" t="s">
        <v>400</v>
      </c>
      <c r="L3" s="285" t="s">
        <v>289</v>
      </c>
      <c r="M3" s="285" t="s">
        <v>101</v>
      </c>
      <c r="N3" s="285" t="s">
        <v>102</v>
      </c>
      <c r="O3" s="285" t="s">
        <v>103</v>
      </c>
      <c r="P3" s="285" t="s">
        <v>295</v>
      </c>
      <c r="Q3" s="285" t="s">
        <v>294</v>
      </c>
      <c r="R3" s="285" t="s">
        <v>323</v>
      </c>
      <c r="S3" s="285" t="s">
        <v>322</v>
      </c>
    </row>
    <row r="4" spans="1:19" ht="13.5" customHeight="1">
      <c r="A4" s="16"/>
      <c r="B4" s="18"/>
      <c r="C4" s="192"/>
      <c r="D4" s="18"/>
      <c r="E4" s="516"/>
      <c r="F4" s="516"/>
      <c r="G4" s="516"/>
      <c r="H4" s="506"/>
      <c r="I4" s="18"/>
      <c r="J4" s="18"/>
      <c r="K4" s="18"/>
      <c r="L4" s="18"/>
      <c r="M4" s="18"/>
      <c r="N4" s="18"/>
      <c r="O4" s="18"/>
      <c r="P4" s="192"/>
      <c r="Q4" s="18"/>
      <c r="R4" s="516"/>
      <c r="S4" s="516"/>
    </row>
    <row r="5" spans="1:19" ht="4.5" customHeight="1">
      <c r="A5" s="16"/>
      <c r="B5" s="16"/>
      <c r="C5" s="16"/>
      <c r="D5" s="16"/>
      <c r="G5" s="16"/>
      <c r="H5" s="16"/>
      <c r="I5" s="16"/>
      <c r="J5" s="16"/>
      <c r="K5" s="16"/>
      <c r="L5" s="16"/>
      <c r="M5" s="16"/>
      <c r="N5" s="16"/>
      <c r="O5" s="16"/>
      <c r="P5" s="16"/>
      <c r="Q5" s="16"/>
      <c r="S5" s="16"/>
    </row>
    <row r="6" spans="1:19" ht="10.5" customHeight="1">
      <c r="A6" s="20" t="s">
        <v>31</v>
      </c>
      <c r="B6" s="21"/>
      <c r="C6" s="21">
        <v>65</v>
      </c>
      <c r="D6" s="21">
        <v>75</v>
      </c>
      <c r="E6" s="21">
        <v>74</v>
      </c>
      <c r="F6" s="21">
        <v>48</v>
      </c>
      <c r="G6" s="21">
        <v>40</v>
      </c>
      <c r="H6" s="21"/>
      <c r="I6" s="21">
        <f>47+5</f>
        <v>52</v>
      </c>
      <c r="J6" s="21">
        <f>87+8</f>
        <v>95</v>
      </c>
      <c r="K6" s="21">
        <f>75+5</f>
        <v>80</v>
      </c>
      <c r="L6" s="21">
        <f>112+5</f>
        <v>117</v>
      </c>
      <c r="M6" s="21">
        <f>149+2</f>
        <v>151</v>
      </c>
      <c r="N6" s="21">
        <v>80</v>
      </c>
      <c r="O6" s="21">
        <f>89+3</f>
        <v>92</v>
      </c>
      <c r="P6" s="21">
        <f>81+1</f>
        <v>82</v>
      </c>
      <c r="Q6" s="21">
        <v>73</v>
      </c>
      <c r="R6" s="21">
        <v>99</v>
      </c>
      <c r="S6" s="21">
        <v>72</v>
      </c>
    </row>
    <row r="7" spans="1:19" ht="10.5" customHeight="1">
      <c r="A7" s="20" t="s">
        <v>32</v>
      </c>
      <c r="B7" s="21"/>
      <c r="C7" s="21">
        <v>177</v>
      </c>
      <c r="D7" s="21">
        <v>220</v>
      </c>
      <c r="E7" s="21">
        <v>275</v>
      </c>
      <c r="F7" s="21">
        <v>282</v>
      </c>
      <c r="G7" s="21">
        <v>206</v>
      </c>
      <c r="H7" s="21"/>
      <c r="I7" s="21">
        <v>280</v>
      </c>
      <c r="J7" s="21">
        <v>452</v>
      </c>
      <c r="K7" s="21">
        <f>124+415</f>
        <v>539</v>
      </c>
      <c r="L7" s="21">
        <f>286+66</f>
        <v>352</v>
      </c>
      <c r="M7" s="21">
        <f>269+39</f>
        <v>308</v>
      </c>
      <c r="N7" s="21">
        <f>113+120</f>
        <v>233</v>
      </c>
      <c r="O7" s="21">
        <v>177</v>
      </c>
      <c r="P7" s="21">
        <v>190</v>
      </c>
      <c r="Q7" s="21">
        <v>155</v>
      </c>
      <c r="R7" s="21">
        <v>143</v>
      </c>
      <c r="S7" s="21">
        <v>148</v>
      </c>
    </row>
    <row r="8" spans="1:19" ht="10.5" customHeight="1">
      <c r="A8" s="24" t="s">
        <v>33</v>
      </c>
      <c r="B8" s="21"/>
      <c r="C8" s="21">
        <v>165</v>
      </c>
      <c r="D8" s="21">
        <v>100</v>
      </c>
      <c r="E8" s="21">
        <v>159</v>
      </c>
      <c r="F8" s="21">
        <v>360</v>
      </c>
      <c r="G8" s="21">
        <v>369</v>
      </c>
      <c r="H8" s="21"/>
      <c r="I8" s="21">
        <f>128+152+0</f>
        <v>280</v>
      </c>
      <c r="J8" s="21">
        <f>160+130</f>
        <v>290</v>
      </c>
      <c r="K8" s="21">
        <f>308+108</f>
        <v>416</v>
      </c>
      <c r="L8" s="21">
        <f>316+63+4</f>
        <v>383</v>
      </c>
      <c r="M8" s="21">
        <f>330+36+4</f>
        <v>370</v>
      </c>
      <c r="N8" s="21">
        <f>203+26</f>
        <v>229</v>
      </c>
      <c r="O8" s="21">
        <f>74+35</f>
        <v>109</v>
      </c>
      <c r="P8" s="21">
        <f>118+32</f>
        <v>150</v>
      </c>
      <c r="Q8" s="21">
        <f>66+25</f>
        <v>91</v>
      </c>
      <c r="R8" s="21">
        <f>199+26</f>
        <v>225</v>
      </c>
      <c r="S8" s="21">
        <f>273+42</f>
        <v>315</v>
      </c>
    </row>
    <row r="9" spans="1:19" ht="10.5" customHeight="1">
      <c r="A9" s="24" t="s">
        <v>34</v>
      </c>
      <c r="B9" s="21"/>
      <c r="C9" s="21">
        <v>692</v>
      </c>
      <c r="D9" s="21">
        <v>607</v>
      </c>
      <c r="E9" s="21">
        <v>805</v>
      </c>
      <c r="F9" s="21">
        <v>923</v>
      </c>
      <c r="G9" s="21">
        <v>830</v>
      </c>
      <c r="H9" s="21"/>
      <c r="I9" s="21">
        <f>651+295</f>
        <v>946</v>
      </c>
      <c r="J9" s="21">
        <f>796+279</f>
        <v>1075</v>
      </c>
      <c r="K9" s="21">
        <f>665+223</f>
        <v>888</v>
      </c>
      <c r="L9" s="21">
        <f>568+231</f>
        <v>799</v>
      </c>
      <c r="M9" s="21">
        <f>788+107</f>
        <v>895</v>
      </c>
      <c r="N9" s="21">
        <f>669+78</f>
        <v>747</v>
      </c>
      <c r="O9" s="21">
        <f>686+61</f>
        <v>747</v>
      </c>
      <c r="P9" s="21">
        <f>620+84</f>
        <v>704</v>
      </c>
      <c r="Q9" s="21">
        <f>601+115</f>
        <v>716</v>
      </c>
      <c r="R9" s="21">
        <f>624+226</f>
        <v>850</v>
      </c>
      <c r="S9" s="21">
        <f>605+201</f>
        <v>806</v>
      </c>
    </row>
    <row r="10" spans="1:19" ht="10.5" customHeight="1">
      <c r="A10" s="24" t="s">
        <v>35</v>
      </c>
      <c r="B10" s="21"/>
      <c r="C10" s="21">
        <v>890</v>
      </c>
      <c r="D10" s="21">
        <v>899</v>
      </c>
      <c r="E10" s="21">
        <v>974</v>
      </c>
      <c r="F10" s="21">
        <v>999</v>
      </c>
      <c r="G10" s="21">
        <v>1236</v>
      </c>
      <c r="H10" s="21"/>
      <c r="I10" s="21">
        <f>1229+67</f>
        <v>1296</v>
      </c>
      <c r="J10" s="21">
        <f>1111+50</f>
        <v>1161</v>
      </c>
      <c r="K10" s="21">
        <f>1527+60</f>
        <v>1587</v>
      </c>
      <c r="L10" s="21">
        <f>945+51</f>
        <v>996</v>
      </c>
      <c r="M10" s="21">
        <f>908+33</f>
        <v>941</v>
      </c>
      <c r="N10" s="21">
        <f>436+55</f>
        <v>491</v>
      </c>
      <c r="O10" s="21">
        <f>490+72</f>
        <v>562</v>
      </c>
      <c r="P10" s="21">
        <f>793+72</f>
        <v>865</v>
      </c>
      <c r="Q10" s="21">
        <f>801+59</f>
        <v>860</v>
      </c>
      <c r="R10" s="21">
        <f>789+75</f>
        <v>864</v>
      </c>
      <c r="S10" s="21">
        <f>881+38</f>
        <v>919</v>
      </c>
    </row>
    <row r="11" spans="1:19" ht="10.5" customHeight="1">
      <c r="A11" s="24" t="s">
        <v>37</v>
      </c>
      <c r="B11" s="21"/>
      <c r="C11" s="21">
        <f>575+102</f>
        <v>677</v>
      </c>
      <c r="D11" s="21">
        <f>533+63</f>
        <v>596</v>
      </c>
      <c r="E11" s="21">
        <f>608+69</f>
        <v>677</v>
      </c>
      <c r="F11" s="21">
        <v>787</v>
      </c>
      <c r="G11" s="21">
        <f>675+77</f>
        <v>752</v>
      </c>
      <c r="H11" s="21"/>
      <c r="I11" s="21">
        <f>786+103</f>
        <v>889</v>
      </c>
      <c r="J11" s="21">
        <f>688+109</f>
        <v>797</v>
      </c>
      <c r="K11" s="21">
        <f>786+121</f>
        <v>907</v>
      </c>
      <c r="L11" s="21">
        <f>712+180</f>
        <v>892</v>
      </c>
      <c r="M11" s="21">
        <f>650+172</f>
        <v>822</v>
      </c>
      <c r="N11" s="21">
        <f>639+134</f>
        <v>773</v>
      </c>
      <c r="O11" s="21">
        <f>695+153</f>
        <v>848</v>
      </c>
      <c r="P11" s="21">
        <f>515+64</f>
        <v>579</v>
      </c>
      <c r="Q11" s="21">
        <f>578+34</f>
        <v>612</v>
      </c>
      <c r="R11" s="21">
        <f>685+60</f>
        <v>745</v>
      </c>
      <c r="S11" s="21">
        <f>563+55</f>
        <v>618</v>
      </c>
    </row>
    <row r="12" spans="1:19" ht="10.5" customHeight="1">
      <c r="A12" s="24" t="s">
        <v>38</v>
      </c>
      <c r="B12" s="21"/>
      <c r="C12" s="21">
        <v>311</v>
      </c>
      <c r="D12" s="21">
        <v>313</v>
      </c>
      <c r="E12" s="21">
        <v>333</v>
      </c>
      <c r="F12" s="21">
        <v>396</v>
      </c>
      <c r="G12" s="21">
        <v>323</v>
      </c>
      <c r="H12" s="21"/>
      <c r="I12" s="21">
        <f>325+12</f>
        <v>337</v>
      </c>
      <c r="J12" s="21">
        <f>387+7</f>
        <v>394</v>
      </c>
      <c r="K12" s="21">
        <f>337+6</f>
        <v>343</v>
      </c>
      <c r="L12" s="21">
        <f>263+1</f>
        <v>264</v>
      </c>
      <c r="M12" s="21">
        <f>380+1</f>
        <v>381</v>
      </c>
      <c r="N12" s="21">
        <v>291</v>
      </c>
      <c r="O12" s="21">
        <v>250</v>
      </c>
      <c r="P12" s="21">
        <v>260</v>
      </c>
      <c r="Q12" s="21">
        <v>296</v>
      </c>
      <c r="R12" s="21">
        <f>278+12</f>
        <v>290</v>
      </c>
      <c r="S12" s="21">
        <v>264</v>
      </c>
    </row>
    <row r="13" spans="1:19" ht="10.5" customHeight="1">
      <c r="A13" s="24" t="s">
        <v>39</v>
      </c>
      <c r="B13" s="21"/>
      <c r="C13" s="21">
        <v>1203</v>
      </c>
      <c r="D13" s="21">
        <v>1120</v>
      </c>
      <c r="E13" s="21">
        <f>1359+9</f>
        <v>1368</v>
      </c>
      <c r="F13" s="21">
        <f>1873+23</f>
        <v>1896</v>
      </c>
      <c r="G13" s="21">
        <f>1494+22+4</f>
        <v>1520</v>
      </c>
      <c r="H13" s="21"/>
      <c r="I13" s="21">
        <f>1442+64+8</f>
        <v>1514</v>
      </c>
      <c r="J13" s="21">
        <f>1376+99+12</f>
        <v>1487</v>
      </c>
      <c r="K13" s="21">
        <f>1400+101+7</f>
        <v>1508</v>
      </c>
      <c r="L13" s="21">
        <f>1226+51+6</f>
        <v>1283</v>
      </c>
      <c r="M13" s="21">
        <f>1065+66+3</f>
        <v>1134</v>
      </c>
      <c r="N13" s="21">
        <f>1214+28+4</f>
        <v>1246</v>
      </c>
      <c r="O13" s="21">
        <f>1079+20+4</f>
        <v>1103</v>
      </c>
      <c r="P13" s="21">
        <f>1093+7+5</f>
        <v>1105</v>
      </c>
      <c r="Q13" s="21">
        <f>1139+6+6</f>
        <v>1151</v>
      </c>
      <c r="R13" s="21">
        <f>1266+9+3</f>
        <v>1278</v>
      </c>
      <c r="S13" s="21">
        <f>1728+21+4</f>
        <v>1753</v>
      </c>
    </row>
    <row r="14" spans="1:19" ht="10.5" customHeight="1">
      <c r="A14" s="24" t="s">
        <v>40</v>
      </c>
      <c r="B14" s="21"/>
      <c r="C14" s="21">
        <v>326</v>
      </c>
      <c r="D14" s="21">
        <f>198+13</f>
        <v>211</v>
      </c>
      <c r="E14" s="21">
        <f>426+18</f>
        <v>444</v>
      </c>
      <c r="F14" s="21">
        <f>338+15</f>
        <v>353</v>
      </c>
      <c r="G14" s="21">
        <f>235+125</f>
        <v>360</v>
      </c>
      <c r="H14" s="21"/>
      <c r="I14" s="21">
        <f>376+161</f>
        <v>537</v>
      </c>
      <c r="J14" s="21">
        <f>448+163</f>
        <v>611</v>
      </c>
      <c r="K14" s="21">
        <f>538+146</f>
        <v>684</v>
      </c>
      <c r="L14" s="21">
        <f>1567+113</f>
        <v>1680</v>
      </c>
      <c r="M14" s="21">
        <f>2892+72</f>
        <v>2964</v>
      </c>
      <c r="N14" s="21">
        <f>2500+54</f>
        <v>2554</v>
      </c>
      <c r="O14" s="21">
        <f>750+21</f>
        <v>771</v>
      </c>
      <c r="P14" s="21">
        <f>487+59</f>
        <v>546</v>
      </c>
      <c r="Q14" s="21">
        <f>319+26</f>
        <v>345</v>
      </c>
      <c r="R14" s="21">
        <f>345+22</f>
        <v>367</v>
      </c>
      <c r="S14" s="21">
        <f>439+35</f>
        <v>474</v>
      </c>
    </row>
    <row r="15" spans="1:19" ht="10.5" customHeight="1">
      <c r="A15" s="24" t="s">
        <v>41</v>
      </c>
      <c r="B15" s="21"/>
      <c r="C15" s="21">
        <v>1023</v>
      </c>
      <c r="D15" s="21">
        <v>734</v>
      </c>
      <c r="E15" s="21">
        <f>491+402</f>
        <v>893</v>
      </c>
      <c r="F15" s="21">
        <f>532+1010+1</f>
        <v>1543</v>
      </c>
      <c r="G15" s="21">
        <f>461+955+56</f>
        <v>1472</v>
      </c>
      <c r="H15" s="21"/>
      <c r="I15" s="21">
        <f>29+1397+57</f>
        <v>1483</v>
      </c>
      <c r="J15" s="21">
        <f>41+1375+48</f>
        <v>1464</v>
      </c>
      <c r="K15" s="21">
        <f>366+1254+25</f>
        <v>1645</v>
      </c>
      <c r="L15" s="21">
        <f>600+1031+19</f>
        <v>1650</v>
      </c>
      <c r="M15" s="21">
        <f>595+654+26</f>
        <v>1275</v>
      </c>
      <c r="N15" s="21">
        <f>641+287+16</f>
        <v>944</v>
      </c>
      <c r="O15" s="21">
        <f>551+203+20</f>
        <v>774</v>
      </c>
      <c r="P15" s="21">
        <f>867+150+51</f>
        <v>1068</v>
      </c>
      <c r="Q15" s="21">
        <f>578+190+8</f>
        <v>776</v>
      </c>
      <c r="R15" s="21">
        <f>441+344+63</f>
        <v>848</v>
      </c>
      <c r="S15" s="21">
        <f>271+788+108</f>
        <v>1167</v>
      </c>
    </row>
    <row r="16" spans="1:19" ht="10.5" customHeight="1">
      <c r="A16" s="25" t="s">
        <v>255</v>
      </c>
      <c r="B16" s="21"/>
      <c r="C16" s="21">
        <v>45</v>
      </c>
      <c r="D16" s="21">
        <v>60</v>
      </c>
      <c r="E16" s="21">
        <f>138+24</f>
        <v>162</v>
      </c>
      <c r="F16" s="21">
        <f>77+138</f>
        <v>215</v>
      </c>
      <c r="G16" s="21">
        <f>44+172+2</f>
        <v>218</v>
      </c>
      <c r="H16" s="21"/>
      <c r="I16" s="21">
        <f>47+195+1</f>
        <v>243</v>
      </c>
      <c r="J16" s="21">
        <f>51+158+2</f>
        <v>211</v>
      </c>
      <c r="K16" s="21">
        <f>77+158+1</f>
        <v>236</v>
      </c>
      <c r="L16" s="21">
        <f>64+122+3</f>
        <v>189</v>
      </c>
      <c r="M16" s="21">
        <f>121+63+2+1</f>
        <v>187</v>
      </c>
      <c r="N16" s="21">
        <f>165+23+3</f>
        <v>191</v>
      </c>
      <c r="O16" s="21">
        <f>65+9+3</f>
        <v>77</v>
      </c>
      <c r="P16" s="21">
        <f>28+10</f>
        <v>38</v>
      </c>
      <c r="Q16" s="21">
        <f>46+12+2</f>
        <v>60</v>
      </c>
      <c r="R16" s="21">
        <f>109+30</f>
        <v>139</v>
      </c>
      <c r="S16" s="21">
        <f>63+136+1</f>
        <v>200</v>
      </c>
    </row>
    <row r="17" spans="1:19" ht="10.5" customHeight="1">
      <c r="A17" s="24" t="s">
        <v>175</v>
      </c>
      <c r="B17" s="21"/>
      <c r="C17" s="21">
        <v>95</v>
      </c>
      <c r="D17" s="21">
        <v>129</v>
      </c>
      <c r="E17" s="21">
        <v>172</v>
      </c>
      <c r="F17" s="21">
        <v>279</v>
      </c>
      <c r="G17" s="21">
        <v>345</v>
      </c>
      <c r="H17" s="21"/>
      <c r="I17" s="21">
        <f>188+25</f>
        <v>213</v>
      </c>
      <c r="J17" s="21">
        <f>200+33</f>
        <v>233</v>
      </c>
      <c r="K17" s="21">
        <f>252+28</f>
        <v>280</v>
      </c>
      <c r="L17" s="21">
        <f>208+17</f>
        <v>225</v>
      </c>
      <c r="M17" s="21">
        <f>214+16</f>
        <v>230</v>
      </c>
      <c r="N17" s="21">
        <f>87+13</f>
        <v>100</v>
      </c>
      <c r="O17" s="21">
        <f>70+13</f>
        <v>83</v>
      </c>
      <c r="P17" s="21">
        <f>69+3</f>
        <v>72</v>
      </c>
      <c r="Q17" s="21">
        <f>67+16</f>
        <v>83</v>
      </c>
      <c r="R17" s="21">
        <f>104+4</f>
        <v>108</v>
      </c>
      <c r="S17" s="21">
        <f>265+11</f>
        <v>276</v>
      </c>
    </row>
    <row r="18" spans="1:19" ht="10.5" customHeight="1">
      <c r="A18" s="24" t="s">
        <v>42</v>
      </c>
      <c r="B18" s="21"/>
      <c r="C18" s="21">
        <v>3045</v>
      </c>
      <c r="D18" s="21">
        <v>2736</v>
      </c>
      <c r="E18" s="21">
        <f>2733+149</f>
        <v>2882</v>
      </c>
      <c r="F18" s="21">
        <f>2611+112</f>
        <v>2723</v>
      </c>
      <c r="G18" s="21">
        <f>2476+197</f>
        <v>2673</v>
      </c>
      <c r="H18" s="21"/>
      <c r="I18" s="21">
        <f>2312+250</f>
        <v>2562</v>
      </c>
      <c r="J18" s="21">
        <f>2341+249</f>
        <v>2590</v>
      </c>
      <c r="K18" s="21">
        <f>2500+203</f>
        <v>2703</v>
      </c>
      <c r="L18" s="21">
        <f>2640+203</f>
        <v>2843</v>
      </c>
      <c r="M18" s="21">
        <f>2790+116</f>
        <v>2906</v>
      </c>
      <c r="N18" s="21">
        <f>2610+118</f>
        <v>2728</v>
      </c>
      <c r="O18" s="21">
        <f>2793+55</f>
        <v>2848</v>
      </c>
      <c r="P18" s="21">
        <f>2754+51</f>
        <v>2805</v>
      </c>
      <c r="Q18" s="21">
        <f>2526+27</f>
        <v>2553</v>
      </c>
      <c r="R18" s="21">
        <f>2775+78</f>
        <v>2853</v>
      </c>
      <c r="S18" s="21">
        <f>2287+110</f>
        <v>2397</v>
      </c>
    </row>
    <row r="19" spans="1:19" ht="10.5" customHeight="1">
      <c r="A19" s="24" t="s">
        <v>43</v>
      </c>
      <c r="B19" s="21"/>
      <c r="C19" s="21">
        <v>1265</v>
      </c>
      <c r="D19" s="21">
        <v>1119</v>
      </c>
      <c r="E19" s="21">
        <v>1308</v>
      </c>
      <c r="F19" s="21">
        <v>1290</v>
      </c>
      <c r="G19" s="21">
        <v>1348</v>
      </c>
      <c r="H19" s="21"/>
      <c r="I19" s="21">
        <f>1290+1</f>
        <v>1291</v>
      </c>
      <c r="J19" s="21">
        <f>1157+5</f>
        <v>1162</v>
      </c>
      <c r="K19" s="21">
        <f>1193+11</f>
        <v>1204</v>
      </c>
      <c r="L19" s="21">
        <f>1389+2</f>
        <v>1391</v>
      </c>
      <c r="M19" s="21">
        <f>1375+3</f>
        <v>1378</v>
      </c>
      <c r="N19" s="21">
        <f>1281+1</f>
        <v>1282</v>
      </c>
      <c r="O19" s="21">
        <f>1258+1</f>
        <v>1259</v>
      </c>
      <c r="P19" s="21">
        <f>1135+1</f>
        <v>1136</v>
      </c>
      <c r="Q19" s="21">
        <v>1156</v>
      </c>
      <c r="R19" s="21">
        <v>1353</v>
      </c>
      <c r="S19" s="21">
        <v>1113</v>
      </c>
    </row>
    <row r="20" spans="1:19" ht="10.5" customHeight="1">
      <c r="A20" s="24" t="s">
        <v>44</v>
      </c>
      <c r="B20" s="21"/>
      <c r="C20" s="21">
        <v>331</v>
      </c>
      <c r="D20" s="21">
        <v>316</v>
      </c>
      <c r="E20" s="21">
        <v>298</v>
      </c>
      <c r="F20" s="21">
        <v>332</v>
      </c>
      <c r="G20" s="21">
        <v>391</v>
      </c>
      <c r="H20" s="21"/>
      <c r="I20" s="21">
        <f>370+16</f>
        <v>386</v>
      </c>
      <c r="J20" s="21">
        <f>345+11</f>
        <v>356</v>
      </c>
      <c r="K20" s="21">
        <f>366+16</f>
        <v>382</v>
      </c>
      <c r="L20" s="21">
        <f>319+14</f>
        <v>333</v>
      </c>
      <c r="M20" s="21">
        <f>317+25</f>
        <v>342</v>
      </c>
      <c r="N20" s="21">
        <f>254+16</f>
        <v>270</v>
      </c>
      <c r="O20" s="21">
        <f>257+15</f>
        <v>272</v>
      </c>
      <c r="P20" s="21">
        <f>255+15</f>
        <v>270</v>
      </c>
      <c r="Q20" s="21">
        <f>252+25</f>
        <v>277</v>
      </c>
      <c r="R20" s="21">
        <f>304+31</f>
        <v>335</v>
      </c>
      <c r="S20" s="21">
        <f>276+38</f>
        <v>314</v>
      </c>
    </row>
    <row r="21" spans="1:19" ht="10.5" customHeight="1">
      <c r="A21" s="24" t="s">
        <v>177</v>
      </c>
      <c r="B21" s="21"/>
      <c r="C21" s="21">
        <v>432</v>
      </c>
      <c r="D21" s="21">
        <v>159</v>
      </c>
      <c r="E21" s="21">
        <v>181</v>
      </c>
      <c r="F21" s="21">
        <v>1184</v>
      </c>
      <c r="G21" s="21">
        <v>1464</v>
      </c>
      <c r="H21" s="21"/>
      <c r="I21" s="21">
        <v>733</v>
      </c>
      <c r="J21" s="21">
        <v>718</v>
      </c>
      <c r="K21" s="21">
        <v>1265</v>
      </c>
      <c r="L21" s="21">
        <v>323</v>
      </c>
      <c r="M21" s="564">
        <v>102</v>
      </c>
      <c r="N21" s="564">
        <v>174</v>
      </c>
      <c r="O21" s="564">
        <v>141</v>
      </c>
      <c r="P21" s="564">
        <v>171</v>
      </c>
      <c r="Q21" s="564">
        <v>0</v>
      </c>
      <c r="R21" s="21">
        <v>0</v>
      </c>
      <c r="S21" s="21">
        <v>22</v>
      </c>
    </row>
    <row r="22" spans="1:19" ht="10.5" customHeight="1">
      <c r="A22" s="25" t="s">
        <v>575</v>
      </c>
      <c r="B22" s="21"/>
      <c r="C22" s="21">
        <f>33+42</f>
        <v>75</v>
      </c>
      <c r="D22" s="21">
        <f>31+43</f>
        <v>74</v>
      </c>
      <c r="E22" s="21">
        <f>40+58</f>
        <v>98</v>
      </c>
      <c r="F22" s="21">
        <f>35+113</f>
        <v>148</v>
      </c>
      <c r="G22" s="21">
        <f>43+162</f>
        <v>205</v>
      </c>
      <c r="H22" s="21"/>
      <c r="I22" s="21">
        <f>56+165</f>
        <v>221</v>
      </c>
      <c r="J22" s="21">
        <f>47+137</f>
        <v>184</v>
      </c>
      <c r="K22" s="21">
        <f>42+142</f>
        <v>184</v>
      </c>
      <c r="L22" s="21">
        <f>39+117</f>
        <v>156</v>
      </c>
      <c r="M22" s="21">
        <f>39+83</f>
        <v>122</v>
      </c>
      <c r="N22" s="21">
        <f>37+49</f>
        <v>86</v>
      </c>
      <c r="O22" s="21">
        <f>42+31</f>
        <v>73</v>
      </c>
      <c r="P22" s="21">
        <f>39+20</f>
        <v>59</v>
      </c>
      <c r="Q22" s="21">
        <f>36+27</f>
        <v>63</v>
      </c>
      <c r="R22" s="21">
        <f>40+50</f>
        <v>90</v>
      </c>
      <c r="S22" s="21">
        <f>36+98</f>
        <v>134</v>
      </c>
    </row>
    <row r="23" spans="1:19" ht="10.5" customHeight="1">
      <c r="A23" s="25" t="s">
        <v>576</v>
      </c>
      <c r="B23" s="21"/>
      <c r="C23" s="21">
        <f>75+81</f>
        <v>156</v>
      </c>
      <c r="D23" s="21">
        <f>72+94</f>
        <v>166</v>
      </c>
      <c r="E23" s="21">
        <f>76+98</f>
        <v>174</v>
      </c>
      <c r="F23" s="21">
        <f>78+128</f>
        <v>206</v>
      </c>
      <c r="G23" s="21">
        <f>69+123</f>
        <v>192</v>
      </c>
      <c r="H23" s="21"/>
      <c r="I23" s="21">
        <f>79+152</f>
        <v>231</v>
      </c>
      <c r="J23" s="21">
        <f>76+122</f>
        <v>198</v>
      </c>
      <c r="K23" s="21">
        <f>67+115</f>
        <v>182</v>
      </c>
      <c r="L23" s="21">
        <f>62+102</f>
        <v>164</v>
      </c>
      <c r="M23" s="21">
        <f>52+91</f>
        <v>143</v>
      </c>
      <c r="N23" s="21">
        <f>57+75</f>
        <v>132</v>
      </c>
      <c r="O23" s="21">
        <f>61+71</f>
        <v>132</v>
      </c>
      <c r="P23" s="21">
        <f>55+79</f>
        <v>134</v>
      </c>
      <c r="Q23" s="21">
        <f>61+90</f>
        <v>151</v>
      </c>
      <c r="R23" s="21">
        <f>54+95</f>
        <v>149</v>
      </c>
      <c r="S23" s="21">
        <f>55+117</f>
        <v>172</v>
      </c>
    </row>
    <row r="24" spans="1:19" ht="10.5" customHeight="1">
      <c r="A24" s="25" t="s">
        <v>45</v>
      </c>
      <c r="B24" s="21"/>
      <c r="C24" s="21">
        <v>4064</v>
      </c>
      <c r="D24" s="21">
        <v>4249</v>
      </c>
      <c r="E24" s="21">
        <f>4121+343+15</f>
        <v>4479</v>
      </c>
      <c r="F24" s="21">
        <f>4128+359+21</f>
        <v>4508</v>
      </c>
      <c r="G24" s="21">
        <f>3692+310+16</f>
        <v>4018</v>
      </c>
      <c r="H24" s="21"/>
      <c r="I24" s="21">
        <f>3890+540+24</f>
        <v>4454</v>
      </c>
      <c r="J24" s="21">
        <f>3371+695+19</f>
        <v>4085</v>
      </c>
      <c r="K24" s="21">
        <f>2973+832+26</f>
        <v>3831</v>
      </c>
      <c r="L24" s="21">
        <f>3892+247+28</f>
        <v>4167</v>
      </c>
      <c r="M24" s="21">
        <f>3890+448+34</f>
        <v>4372</v>
      </c>
      <c r="N24" s="21">
        <f>3098+300+12</f>
        <v>3410</v>
      </c>
      <c r="O24" s="21">
        <f>3433+83+4</f>
        <v>3520</v>
      </c>
      <c r="P24" s="21">
        <f>3652+66+4</f>
        <v>3722</v>
      </c>
      <c r="Q24" s="21">
        <f>4052+243+4</f>
        <v>4299</v>
      </c>
      <c r="R24" s="21">
        <f>4203+229+12</f>
        <v>4444</v>
      </c>
      <c r="S24" s="21">
        <f>3346+234+18</f>
        <v>3598</v>
      </c>
    </row>
    <row r="25" spans="1:19" ht="10.5" customHeight="1">
      <c r="A25" s="25" t="s">
        <v>46</v>
      </c>
      <c r="B25" s="21"/>
      <c r="C25" s="21">
        <v>148</v>
      </c>
      <c r="D25" s="21">
        <v>141</v>
      </c>
      <c r="E25" s="21">
        <v>180</v>
      </c>
      <c r="F25" s="21">
        <v>247</v>
      </c>
      <c r="G25" s="21">
        <v>268</v>
      </c>
      <c r="H25" s="21"/>
      <c r="I25" s="21">
        <f>309+13</f>
        <v>322</v>
      </c>
      <c r="J25" s="21">
        <f>335+10</f>
        <v>345</v>
      </c>
      <c r="K25" s="21">
        <f>15+321</f>
        <v>336</v>
      </c>
      <c r="L25" s="21">
        <f>10+342</f>
        <v>352</v>
      </c>
      <c r="M25" s="21">
        <f>15+304</f>
        <v>319</v>
      </c>
      <c r="N25" s="21">
        <f>16+246</f>
        <v>262</v>
      </c>
      <c r="O25" s="21">
        <f>16+193</f>
        <v>209</v>
      </c>
      <c r="P25" s="21">
        <f>19+171</f>
        <v>190</v>
      </c>
      <c r="Q25" s="21">
        <f>20+181</f>
        <v>201</v>
      </c>
      <c r="R25" s="21">
        <f>17+250</f>
        <v>267</v>
      </c>
      <c r="S25" s="21">
        <f>11+284</f>
        <v>295</v>
      </c>
    </row>
    <row r="26" spans="1:19" ht="10.5" customHeight="1">
      <c r="A26" s="25" t="s">
        <v>577</v>
      </c>
      <c r="B26" s="21"/>
      <c r="C26" s="21">
        <v>60</v>
      </c>
      <c r="D26" s="21">
        <v>44</v>
      </c>
      <c r="E26" s="21">
        <v>59</v>
      </c>
      <c r="F26" s="21">
        <v>51</v>
      </c>
      <c r="G26" s="21">
        <v>77</v>
      </c>
      <c r="H26" s="21"/>
      <c r="I26" s="21">
        <v>100</v>
      </c>
      <c r="J26" s="21">
        <v>96</v>
      </c>
      <c r="K26" s="21">
        <v>91</v>
      </c>
      <c r="L26" s="21">
        <v>77</v>
      </c>
      <c r="M26" s="21">
        <v>47</v>
      </c>
      <c r="N26" s="21">
        <v>32</v>
      </c>
      <c r="O26" s="21">
        <v>43</v>
      </c>
      <c r="P26" s="21">
        <v>47</v>
      </c>
      <c r="Q26" s="21">
        <v>42</v>
      </c>
      <c r="R26" s="21">
        <v>42</v>
      </c>
      <c r="S26" s="21">
        <v>38</v>
      </c>
    </row>
    <row r="27" spans="1:19" ht="10.5" customHeight="1">
      <c r="A27" s="25" t="s">
        <v>47</v>
      </c>
      <c r="B27" s="21"/>
      <c r="C27" s="21">
        <v>1318</v>
      </c>
      <c r="D27" s="21">
        <v>1366</v>
      </c>
      <c r="E27" s="21">
        <f>1042+131+2</f>
        <v>1175</v>
      </c>
      <c r="F27" s="21">
        <f>966+412+2</f>
        <v>1380</v>
      </c>
      <c r="G27" s="21">
        <f>739+894+18</f>
        <v>1651</v>
      </c>
      <c r="H27" s="21"/>
      <c r="I27" s="21">
        <f>664+984+17</f>
        <v>1665</v>
      </c>
      <c r="J27" s="21">
        <f>542+944+4</f>
        <v>1490</v>
      </c>
      <c r="K27" s="21">
        <f>718+988+9</f>
        <v>1715</v>
      </c>
      <c r="L27" s="21">
        <f>764+577+9</f>
        <v>1350</v>
      </c>
      <c r="M27" s="21">
        <f>933+439+34+11</f>
        <v>1417</v>
      </c>
      <c r="N27" s="21">
        <f>1097+93+25</f>
        <v>1215</v>
      </c>
      <c r="O27" s="21">
        <f>1013+41+60</f>
        <v>1114</v>
      </c>
      <c r="P27" s="21">
        <f>927+59+56</f>
        <v>1042</v>
      </c>
      <c r="Q27" s="21">
        <f>909+63+26</f>
        <v>998</v>
      </c>
      <c r="R27" s="21">
        <f>857+127+45</f>
        <v>1029</v>
      </c>
      <c r="S27" s="21">
        <f>821+309+57</f>
        <v>1187</v>
      </c>
    </row>
    <row r="28" spans="1:19" ht="10.5" customHeight="1">
      <c r="A28" s="25" t="s">
        <v>48</v>
      </c>
      <c r="B28" s="21"/>
      <c r="C28" s="21">
        <v>552</v>
      </c>
      <c r="D28" s="21">
        <v>592</v>
      </c>
      <c r="E28" s="21">
        <v>776</v>
      </c>
      <c r="F28" s="21">
        <v>538</v>
      </c>
      <c r="G28" s="21">
        <v>459</v>
      </c>
      <c r="H28" s="21"/>
      <c r="I28" s="21">
        <f>42+496</f>
        <v>538</v>
      </c>
      <c r="J28" s="21">
        <f>36+543</f>
        <v>579</v>
      </c>
      <c r="K28" s="21">
        <f>29+463</f>
        <v>492</v>
      </c>
      <c r="L28" s="21">
        <f>20+490</f>
        <v>510</v>
      </c>
      <c r="M28" s="21">
        <f>22+534</f>
        <v>556</v>
      </c>
      <c r="N28" s="21">
        <v>435</v>
      </c>
      <c r="O28" s="21">
        <f>18+434</f>
        <v>452</v>
      </c>
      <c r="P28" s="21">
        <f>2+602</f>
        <v>604</v>
      </c>
      <c r="Q28" s="21">
        <v>617</v>
      </c>
      <c r="R28" s="21">
        <f>1+678</f>
        <v>679</v>
      </c>
      <c r="S28" s="21">
        <f>15+550</f>
        <v>565</v>
      </c>
    </row>
    <row r="29" spans="1:19" ht="10.5" customHeight="1">
      <c r="A29" s="25" t="s">
        <v>49</v>
      </c>
      <c r="B29" s="21"/>
      <c r="C29" s="21">
        <v>46</v>
      </c>
      <c r="D29" s="21">
        <v>47</v>
      </c>
      <c r="E29" s="21">
        <v>50</v>
      </c>
      <c r="F29" s="21">
        <v>95</v>
      </c>
      <c r="G29" s="21">
        <v>118</v>
      </c>
      <c r="H29" s="21"/>
      <c r="I29" s="21">
        <f>56+77</f>
        <v>133</v>
      </c>
      <c r="J29" s="21">
        <f>51+74</f>
        <v>125</v>
      </c>
      <c r="K29" s="21">
        <f>43+90</f>
        <v>133</v>
      </c>
      <c r="L29" s="21">
        <f>47+53</f>
        <v>100</v>
      </c>
      <c r="M29" s="21">
        <f>41+25</f>
        <v>66</v>
      </c>
      <c r="N29" s="21">
        <v>24</v>
      </c>
      <c r="O29" s="21">
        <v>24</v>
      </c>
      <c r="P29" s="21">
        <v>24</v>
      </c>
      <c r="Q29" s="21">
        <v>26</v>
      </c>
      <c r="R29" s="21">
        <f>13+35</f>
        <v>48</v>
      </c>
      <c r="S29" s="21">
        <f>19+54</f>
        <v>73</v>
      </c>
    </row>
    <row r="30" spans="1:19" ht="10.5" customHeight="1">
      <c r="A30" s="25" t="s">
        <v>277</v>
      </c>
      <c r="B30" s="21"/>
      <c r="C30" s="21">
        <f>38+15</f>
        <v>53</v>
      </c>
      <c r="D30" s="21">
        <f>35+13</f>
        <v>48</v>
      </c>
      <c r="E30" s="21">
        <f>45+17</f>
        <v>62</v>
      </c>
      <c r="F30" s="21">
        <f>68+11</f>
        <v>79</v>
      </c>
      <c r="G30" s="21">
        <f>119+17</f>
        <v>136</v>
      </c>
      <c r="H30" s="21"/>
      <c r="I30" s="21">
        <f>133+23</f>
        <v>156</v>
      </c>
      <c r="J30" s="21">
        <f>141+21</f>
        <v>162</v>
      </c>
      <c r="K30" s="21">
        <f>161+19</f>
        <v>180</v>
      </c>
      <c r="L30" s="21">
        <f>58+5</f>
        <v>63</v>
      </c>
      <c r="M30" s="21">
        <f>45+2</f>
        <v>47</v>
      </c>
      <c r="N30" s="21">
        <f>39+25</f>
        <v>64</v>
      </c>
      <c r="O30" s="21">
        <f>41+15</f>
        <v>56</v>
      </c>
      <c r="P30" s="21">
        <f>41+10</f>
        <v>51</v>
      </c>
      <c r="Q30" s="21">
        <v>41</v>
      </c>
      <c r="R30" s="21">
        <v>38</v>
      </c>
      <c r="S30" s="21">
        <f>56+13</f>
        <v>69</v>
      </c>
    </row>
    <row r="31" spans="1:19" ht="10.5" customHeight="1">
      <c r="A31" s="24" t="s">
        <v>50</v>
      </c>
      <c r="B31" s="21"/>
      <c r="C31" s="21">
        <v>271</v>
      </c>
      <c r="D31" s="21">
        <v>181</v>
      </c>
      <c r="E31" s="21">
        <f>17+460</f>
        <v>477</v>
      </c>
      <c r="F31" s="21">
        <f>90+728</f>
        <v>818</v>
      </c>
      <c r="G31" s="21">
        <f>118+583+6</f>
        <v>707</v>
      </c>
      <c r="H31" s="21"/>
      <c r="I31" s="21">
        <f>95+686</f>
        <v>781</v>
      </c>
      <c r="J31" s="21">
        <f>161+688</f>
        <v>849</v>
      </c>
      <c r="K31" s="21">
        <f>695+118</f>
        <v>813</v>
      </c>
      <c r="L31" s="21">
        <f>154+673</f>
        <v>827</v>
      </c>
      <c r="M31" s="21">
        <f>448+293</f>
        <v>741</v>
      </c>
      <c r="N31" s="21">
        <f>261+169</f>
        <v>430</v>
      </c>
      <c r="O31" s="21">
        <f>91+152</f>
        <v>243</v>
      </c>
      <c r="P31" s="21">
        <f>175+77</f>
        <v>252</v>
      </c>
      <c r="Q31" s="21">
        <f>112+148</f>
        <v>260</v>
      </c>
      <c r="R31" s="21">
        <f>149+409</f>
        <v>558</v>
      </c>
      <c r="S31" s="21">
        <f>580+95</f>
        <v>675</v>
      </c>
    </row>
    <row r="32" spans="1:19" ht="10.5" customHeight="1">
      <c r="A32" s="25" t="s">
        <v>51</v>
      </c>
      <c r="B32" s="21"/>
      <c r="C32" s="21">
        <f>+C33+C34+C35</f>
        <v>3920</v>
      </c>
      <c r="D32" s="21">
        <f>+D33+D34+D35</f>
        <v>3678</v>
      </c>
      <c r="E32" s="21">
        <f>+E33+E34+E35</f>
        <v>3883</v>
      </c>
      <c r="F32" s="21">
        <f>+F33+F34+F35</f>
        <v>3932</v>
      </c>
      <c r="G32" s="21">
        <f>+G33+G34+G35</f>
        <v>4132</v>
      </c>
      <c r="H32" s="21"/>
      <c r="I32" s="21">
        <f aca="true" t="shared" si="0" ref="I32:S32">+I33+I34+I35</f>
        <v>4887</v>
      </c>
      <c r="J32" s="21">
        <f t="shared" si="0"/>
        <v>4746</v>
      </c>
      <c r="K32" s="21">
        <f t="shared" si="0"/>
        <v>4776</v>
      </c>
      <c r="L32" s="21">
        <f t="shared" si="0"/>
        <v>5298</v>
      </c>
      <c r="M32" s="21">
        <f t="shared" si="0"/>
        <v>5189</v>
      </c>
      <c r="N32" s="21">
        <f t="shared" si="0"/>
        <v>3784</v>
      </c>
      <c r="O32" s="21">
        <f t="shared" si="0"/>
        <v>3901</v>
      </c>
      <c r="P32" s="21">
        <f t="shared" si="0"/>
        <v>4151</v>
      </c>
      <c r="Q32" s="21">
        <f t="shared" si="0"/>
        <v>3546</v>
      </c>
      <c r="R32" s="21">
        <f t="shared" si="0"/>
        <v>3451</v>
      </c>
      <c r="S32" s="21">
        <f t="shared" si="0"/>
        <v>3866</v>
      </c>
    </row>
    <row r="33" spans="1:19" ht="10.5" customHeight="1">
      <c r="A33" s="25" t="s">
        <v>402</v>
      </c>
      <c r="B33" s="21"/>
      <c r="C33" s="21">
        <v>735</v>
      </c>
      <c r="D33" s="21">
        <v>677</v>
      </c>
      <c r="E33" s="21">
        <f>236+666</f>
        <v>902</v>
      </c>
      <c r="F33" s="21">
        <f>229+740</f>
        <v>969</v>
      </c>
      <c r="G33" s="21">
        <f>266+614</f>
        <v>880</v>
      </c>
      <c r="H33" s="21"/>
      <c r="I33" s="21">
        <f>184+744</f>
        <v>928</v>
      </c>
      <c r="J33" s="21">
        <f>238+750</f>
        <v>988</v>
      </c>
      <c r="K33" s="21">
        <f>321+804</f>
        <v>1125</v>
      </c>
      <c r="L33" s="21">
        <f>302+1052</f>
        <v>1354</v>
      </c>
      <c r="M33" s="21">
        <f>406+1354</f>
        <v>1760</v>
      </c>
      <c r="N33" s="21">
        <f>417+895</f>
        <v>1312</v>
      </c>
      <c r="O33" s="21">
        <f>370+733</f>
        <v>1103</v>
      </c>
      <c r="P33" s="21">
        <f>348+757</f>
        <v>1105</v>
      </c>
      <c r="Q33" s="21">
        <f>254+582</f>
        <v>836</v>
      </c>
      <c r="R33" s="21">
        <f>245+647</f>
        <v>892</v>
      </c>
      <c r="S33" s="21">
        <f>333+773</f>
        <v>1106</v>
      </c>
    </row>
    <row r="34" spans="1:19" ht="10.5" customHeight="1">
      <c r="A34" s="25" t="s">
        <v>403</v>
      </c>
      <c r="B34" s="21"/>
      <c r="C34" s="21">
        <v>689</v>
      </c>
      <c r="D34" s="21">
        <v>673</v>
      </c>
      <c r="E34" s="21">
        <f>352+418+4</f>
        <v>774</v>
      </c>
      <c r="F34" s="21">
        <f>276+549+1</f>
        <v>826</v>
      </c>
      <c r="G34" s="21">
        <f>363+629+9</f>
        <v>1001</v>
      </c>
      <c r="H34" s="21"/>
      <c r="I34" s="21">
        <f>314+1045+10</f>
        <v>1369</v>
      </c>
      <c r="J34" s="21">
        <f>206+1141+12</f>
        <v>1359</v>
      </c>
      <c r="K34" s="21">
        <f>239+1035+13</f>
        <v>1287</v>
      </c>
      <c r="L34" s="21">
        <f>315+915+8</f>
        <v>1238</v>
      </c>
      <c r="M34" s="21">
        <f>366+704+8</f>
        <v>1078</v>
      </c>
      <c r="N34" s="21">
        <f>223+269+12</f>
        <v>504</v>
      </c>
      <c r="O34" s="21">
        <f>279+345+14</f>
        <v>638</v>
      </c>
      <c r="P34" s="21">
        <f>379+335+9</f>
        <v>723</v>
      </c>
      <c r="Q34" s="21">
        <f>370+330+6</f>
        <v>706</v>
      </c>
      <c r="R34" s="21">
        <f>268+512+42</f>
        <v>822</v>
      </c>
      <c r="S34" s="21">
        <f>241+523+118</f>
        <v>882</v>
      </c>
    </row>
    <row r="35" spans="1:19" ht="10.5" customHeight="1">
      <c r="A35" s="25" t="s">
        <v>404</v>
      </c>
      <c r="B35" s="21"/>
      <c r="C35" s="21">
        <v>2496</v>
      </c>
      <c r="D35" s="21">
        <v>2328</v>
      </c>
      <c r="E35" s="21">
        <f>2137+70</f>
        <v>2207</v>
      </c>
      <c r="F35" s="21">
        <f>2003+134</f>
        <v>2137</v>
      </c>
      <c r="G35" s="21">
        <f>1863+388</f>
        <v>2251</v>
      </c>
      <c r="H35" s="21">
        <f>+H32-H33-H34</f>
        <v>0</v>
      </c>
      <c r="I35" s="21">
        <f>1715+875+0</f>
        <v>2590</v>
      </c>
      <c r="J35" s="21">
        <f>1310+1088+1</f>
        <v>2399</v>
      </c>
      <c r="K35" s="21">
        <f>1507+855+2</f>
        <v>2364</v>
      </c>
      <c r="L35" s="21">
        <f>2058+646+2</f>
        <v>2706</v>
      </c>
      <c r="M35" s="21">
        <f>1994+357</f>
        <v>2351</v>
      </c>
      <c r="N35" s="21">
        <f>1884+83+1</f>
        <v>1968</v>
      </c>
      <c r="O35" s="21">
        <f>2068+92</f>
        <v>2160</v>
      </c>
      <c r="P35" s="21">
        <f>2260+63</f>
        <v>2323</v>
      </c>
      <c r="Q35" s="21">
        <f>1952+52</f>
        <v>2004</v>
      </c>
      <c r="R35" s="21">
        <f>1695+42</f>
        <v>1737</v>
      </c>
      <c r="S35" s="21">
        <f>1742+136</f>
        <v>1878</v>
      </c>
    </row>
    <row r="36" spans="1:19" ht="10.5" customHeight="1">
      <c r="A36" s="25" t="s">
        <v>406</v>
      </c>
      <c r="B36" s="21"/>
      <c r="C36" s="21">
        <f>+C37+C38</f>
        <v>345</v>
      </c>
      <c r="D36" s="21">
        <f>+D37+D38</f>
        <v>311</v>
      </c>
      <c r="E36" s="21">
        <f>+E37+E38</f>
        <v>300</v>
      </c>
      <c r="F36" s="21">
        <f>+F37+F38</f>
        <v>425</v>
      </c>
      <c r="G36" s="21">
        <f>+G37+G38</f>
        <v>482</v>
      </c>
      <c r="H36" s="21"/>
      <c r="I36" s="21">
        <f aca="true" t="shared" si="1" ref="I36:S36">+I37+I38</f>
        <v>496</v>
      </c>
      <c r="J36" s="21">
        <f t="shared" si="1"/>
        <v>496</v>
      </c>
      <c r="K36" s="21">
        <f t="shared" si="1"/>
        <v>442</v>
      </c>
      <c r="L36" s="21">
        <f t="shared" si="1"/>
        <v>482</v>
      </c>
      <c r="M36" s="21">
        <f t="shared" si="1"/>
        <v>411</v>
      </c>
      <c r="N36" s="21">
        <f t="shared" si="1"/>
        <v>336</v>
      </c>
      <c r="O36" s="21">
        <f t="shared" si="1"/>
        <v>255</v>
      </c>
      <c r="P36" s="21">
        <f t="shared" si="1"/>
        <v>304</v>
      </c>
      <c r="Q36" s="21">
        <f t="shared" si="1"/>
        <v>217</v>
      </c>
      <c r="R36" s="21">
        <f t="shared" si="1"/>
        <v>239</v>
      </c>
      <c r="S36" s="21">
        <f t="shared" si="1"/>
        <v>357</v>
      </c>
    </row>
    <row r="37" spans="1:19" ht="10.5" customHeight="1">
      <c r="A37" s="25" t="s">
        <v>405</v>
      </c>
      <c r="B37" s="21"/>
      <c r="C37" s="21">
        <v>223</v>
      </c>
      <c r="D37" s="21">
        <v>197</v>
      </c>
      <c r="E37" s="21">
        <f>116+49</f>
        <v>165</v>
      </c>
      <c r="F37" s="21">
        <f>215+59</f>
        <v>274</v>
      </c>
      <c r="G37" s="21">
        <f>231+80</f>
        <v>311</v>
      </c>
      <c r="H37" s="21"/>
      <c r="I37" s="21">
        <f>191+148</f>
        <v>339</v>
      </c>
      <c r="J37" s="21">
        <f>197+150</f>
        <v>347</v>
      </c>
      <c r="K37" s="21">
        <f>203+105</f>
        <v>308</v>
      </c>
      <c r="L37" s="21">
        <f>234+112</f>
        <v>346</v>
      </c>
      <c r="M37" s="21">
        <f>237+54</f>
        <v>291</v>
      </c>
      <c r="N37" s="21">
        <f>189+43</f>
        <v>232</v>
      </c>
      <c r="O37" s="21">
        <f>100+46</f>
        <v>146</v>
      </c>
      <c r="P37" s="21">
        <f>175+34</f>
        <v>209</v>
      </c>
      <c r="Q37" s="21">
        <f>127+25</f>
        <v>152</v>
      </c>
      <c r="R37" s="21">
        <f>102+34</f>
        <v>136</v>
      </c>
      <c r="S37" s="21">
        <f>172+32+3</f>
        <v>207</v>
      </c>
    </row>
    <row r="38" spans="1:19" ht="10.5" customHeight="1">
      <c r="A38" s="25" t="s">
        <v>407</v>
      </c>
      <c r="B38" s="21"/>
      <c r="C38" s="21">
        <v>122</v>
      </c>
      <c r="D38" s="21">
        <v>114</v>
      </c>
      <c r="E38" s="21">
        <v>135</v>
      </c>
      <c r="F38" s="21">
        <f>67+84</f>
        <v>151</v>
      </c>
      <c r="G38" s="21">
        <v>171</v>
      </c>
      <c r="H38" s="21"/>
      <c r="I38" s="21">
        <f>87+70</f>
        <v>157</v>
      </c>
      <c r="J38" s="21">
        <f>59+90</f>
        <v>149</v>
      </c>
      <c r="K38" s="21">
        <f>68+66</f>
        <v>134</v>
      </c>
      <c r="L38" s="21">
        <f>83+53</f>
        <v>136</v>
      </c>
      <c r="M38" s="21">
        <f>80+40</f>
        <v>120</v>
      </c>
      <c r="N38" s="21">
        <f>43+61</f>
        <v>104</v>
      </c>
      <c r="O38" s="21">
        <f>33+76</f>
        <v>109</v>
      </c>
      <c r="P38" s="21">
        <f>44+51</f>
        <v>95</v>
      </c>
      <c r="Q38" s="21">
        <f>22+43</f>
        <v>65</v>
      </c>
      <c r="R38" s="21">
        <f>24+79</f>
        <v>103</v>
      </c>
      <c r="S38" s="21">
        <f>79+71</f>
        <v>150</v>
      </c>
    </row>
    <row r="39" ht="5.25" customHeight="1"/>
    <row r="40" spans="1:19" ht="12.75" customHeight="1">
      <c r="A40" s="287" t="s">
        <v>53</v>
      </c>
      <c r="B40" s="288"/>
      <c r="C40" s="288">
        <f>SUM(C6:C32)+C36</f>
        <v>21750</v>
      </c>
      <c r="D40" s="288">
        <f>SUM(D6:D32)+D36</f>
        <v>20291</v>
      </c>
      <c r="E40" s="288">
        <f>SUM(E6:E32)+E36</f>
        <v>22718</v>
      </c>
      <c r="F40" s="288">
        <f>SUM(F6:F32)+F36</f>
        <v>26037</v>
      </c>
      <c r="G40" s="288">
        <f>SUM(G6:G32)+G36</f>
        <v>25992</v>
      </c>
      <c r="H40" s="288"/>
      <c r="I40" s="288">
        <f aca="true" t="shared" si="2" ref="I40:S40">SUM(I6:I32)+I36</f>
        <v>27026</v>
      </c>
      <c r="J40" s="288">
        <f t="shared" si="2"/>
        <v>26451</v>
      </c>
      <c r="K40" s="288">
        <f t="shared" si="2"/>
        <v>27842</v>
      </c>
      <c r="L40" s="288">
        <f t="shared" si="2"/>
        <v>27266</v>
      </c>
      <c r="M40" s="288">
        <f t="shared" si="2"/>
        <v>27816</v>
      </c>
      <c r="N40" s="288">
        <f t="shared" si="2"/>
        <v>22543</v>
      </c>
      <c r="O40" s="288">
        <f t="shared" si="2"/>
        <v>20135</v>
      </c>
      <c r="P40" s="288">
        <f t="shared" si="2"/>
        <v>20621</v>
      </c>
      <c r="Q40" s="288">
        <f t="shared" si="2"/>
        <v>19665</v>
      </c>
      <c r="R40" s="288">
        <f t="shared" si="2"/>
        <v>21531</v>
      </c>
      <c r="S40" s="288">
        <f t="shared" si="2"/>
        <v>21887</v>
      </c>
    </row>
    <row r="41" spans="1:19" ht="6.75" customHeight="1">
      <c r="A41" s="24"/>
      <c r="B41" s="21"/>
      <c r="C41" s="21"/>
      <c r="D41" s="21"/>
      <c r="G41" s="21"/>
      <c r="H41" s="21"/>
      <c r="I41" s="21"/>
      <c r="J41" s="21"/>
      <c r="K41" s="21"/>
      <c r="L41" s="21"/>
      <c r="M41" s="21"/>
      <c r="N41" s="21"/>
      <c r="O41" s="21"/>
      <c r="S41" s="21"/>
    </row>
    <row r="42" spans="1:19" ht="10.5" customHeight="1">
      <c r="A42" s="24" t="s">
        <v>54</v>
      </c>
      <c r="B42" s="21"/>
      <c r="C42" s="21">
        <v>344</v>
      </c>
      <c r="D42" s="21">
        <v>411</v>
      </c>
      <c r="E42" s="21">
        <v>457</v>
      </c>
      <c r="F42" s="21">
        <v>1128</v>
      </c>
      <c r="G42" s="21">
        <v>586</v>
      </c>
      <c r="H42" s="21"/>
      <c r="I42" s="21">
        <v>405</v>
      </c>
      <c r="J42" s="21">
        <v>428</v>
      </c>
      <c r="K42" s="21">
        <v>608</v>
      </c>
      <c r="L42" s="21">
        <v>422</v>
      </c>
      <c r="M42" s="21">
        <v>438</v>
      </c>
      <c r="N42" s="21">
        <v>382</v>
      </c>
      <c r="O42" s="21">
        <v>446</v>
      </c>
      <c r="P42" s="21">
        <v>468</v>
      </c>
      <c r="Q42" s="21">
        <v>469</v>
      </c>
      <c r="R42" s="21">
        <v>644</v>
      </c>
      <c r="S42" s="21">
        <v>1319</v>
      </c>
    </row>
    <row r="43" spans="1:19" ht="10.5" customHeight="1">
      <c r="A43" s="287" t="s">
        <v>268</v>
      </c>
      <c r="B43" s="288"/>
      <c r="C43" s="288">
        <f>+C44+C45+C46</f>
        <v>11661</v>
      </c>
      <c r="D43" s="288">
        <f>+D44+D45+D46</f>
        <v>12657</v>
      </c>
      <c r="E43" s="288">
        <f>+E44+E45+E46</f>
        <v>12724</v>
      </c>
      <c r="F43" s="288">
        <f>+F44+F45+F46</f>
        <v>13210</v>
      </c>
      <c r="G43" s="288">
        <f>+G44+G45+G46</f>
        <v>14808</v>
      </c>
      <c r="H43" s="288"/>
      <c r="I43" s="288">
        <f aca="true" t="shared" si="3" ref="I43:S43">+I44+I45+I46</f>
        <v>13181</v>
      </c>
      <c r="J43" s="288">
        <f t="shared" si="3"/>
        <v>12325</v>
      </c>
      <c r="K43" s="288">
        <f t="shared" si="3"/>
        <v>17202</v>
      </c>
      <c r="L43" s="288">
        <f t="shared" si="3"/>
        <v>18195</v>
      </c>
      <c r="M43" s="288">
        <f t="shared" si="3"/>
        <v>18127</v>
      </c>
      <c r="N43" s="288">
        <f t="shared" si="3"/>
        <v>12513</v>
      </c>
      <c r="O43" s="288">
        <f t="shared" si="3"/>
        <v>10806</v>
      </c>
      <c r="P43" s="288">
        <f t="shared" si="3"/>
        <v>12125</v>
      </c>
      <c r="Q43" s="288">
        <f t="shared" si="3"/>
        <v>11809</v>
      </c>
      <c r="R43" s="288">
        <f t="shared" si="3"/>
        <v>11818</v>
      </c>
      <c r="S43" s="288">
        <f t="shared" si="3"/>
        <v>13130</v>
      </c>
    </row>
    <row r="44" spans="1:19" ht="10.5" customHeight="1">
      <c r="A44" s="24" t="s">
        <v>269</v>
      </c>
      <c r="B44" s="21"/>
      <c r="C44" s="21">
        <v>8525</v>
      </c>
      <c r="D44" s="21">
        <v>7916</v>
      </c>
      <c r="E44" s="21">
        <v>8931</v>
      </c>
      <c r="F44" s="21">
        <v>9669</v>
      </c>
      <c r="G44" s="21">
        <v>9745</v>
      </c>
      <c r="H44" s="21"/>
      <c r="I44" s="21">
        <f>8791+573</f>
        <v>9364</v>
      </c>
      <c r="J44" s="21">
        <f>7899+620</f>
        <v>8519</v>
      </c>
      <c r="K44" s="21">
        <f>8775+834+14</f>
        <v>9623</v>
      </c>
      <c r="L44" s="21">
        <f>7866+597+24</f>
        <v>8487</v>
      </c>
      <c r="M44" s="21">
        <f>9116+614+58</f>
        <v>9788</v>
      </c>
      <c r="N44" s="21">
        <f>7863+567+82</f>
        <v>8512</v>
      </c>
      <c r="O44" s="21">
        <f>7105+358+16</f>
        <v>7479</v>
      </c>
      <c r="P44" s="21">
        <f>7338+268+5</f>
        <v>7611</v>
      </c>
      <c r="Q44" s="21">
        <f>7950+325+24</f>
        <v>8299</v>
      </c>
      <c r="R44" s="21">
        <f>7972+76+23</f>
        <v>8071</v>
      </c>
      <c r="S44" s="21">
        <f>8512+98+27</f>
        <v>8637</v>
      </c>
    </row>
    <row r="45" spans="1:19" ht="10.5" customHeight="1">
      <c r="A45" s="25" t="s">
        <v>514</v>
      </c>
      <c r="B45" s="21"/>
      <c r="C45" s="21">
        <v>3136</v>
      </c>
      <c r="D45" s="21">
        <v>4692</v>
      </c>
      <c r="E45" s="21">
        <v>3701</v>
      </c>
      <c r="F45" s="21">
        <v>3453</v>
      </c>
      <c r="G45" s="21">
        <v>4738</v>
      </c>
      <c r="H45" s="21"/>
      <c r="I45" s="21">
        <v>3306</v>
      </c>
      <c r="J45" s="21">
        <v>3148</v>
      </c>
      <c r="K45" s="21">
        <v>3975</v>
      </c>
      <c r="L45" s="21">
        <v>3633</v>
      </c>
      <c r="M45" s="21">
        <v>4638</v>
      </c>
      <c r="N45" s="21">
        <v>3928</v>
      </c>
      <c r="O45" s="21">
        <v>3327</v>
      </c>
      <c r="P45" s="21">
        <v>4514</v>
      </c>
      <c r="Q45" s="21">
        <v>3508</v>
      </c>
      <c r="R45" s="21">
        <v>3660</v>
      </c>
      <c r="S45" s="21">
        <v>4362</v>
      </c>
    </row>
    <row r="46" spans="1:19" ht="10.5" customHeight="1">
      <c r="A46" s="24" t="s">
        <v>270</v>
      </c>
      <c r="B46" s="21"/>
      <c r="C46" s="21">
        <v>0</v>
      </c>
      <c r="D46" s="21">
        <v>49</v>
      </c>
      <c r="E46" s="21">
        <v>92</v>
      </c>
      <c r="F46" s="21">
        <v>88</v>
      </c>
      <c r="G46" s="21">
        <v>325</v>
      </c>
      <c r="H46" s="21"/>
      <c r="I46" s="21">
        <f>423+88</f>
        <v>511</v>
      </c>
      <c r="J46" s="21">
        <f>572+86</f>
        <v>658</v>
      </c>
      <c r="K46" s="21">
        <f>3491+113</f>
        <v>3604</v>
      </c>
      <c r="L46" s="21">
        <f>5987+88</f>
        <v>6075</v>
      </c>
      <c r="M46" s="21">
        <f>3625+76</f>
        <v>3701</v>
      </c>
      <c r="N46" s="21">
        <v>73</v>
      </c>
      <c r="O46" s="21">
        <v>0</v>
      </c>
      <c r="P46" s="21">
        <v>0</v>
      </c>
      <c r="Q46" s="21">
        <v>2</v>
      </c>
      <c r="R46" s="21">
        <v>87</v>
      </c>
      <c r="S46" s="21">
        <v>131</v>
      </c>
    </row>
    <row r="47" spans="1:19" ht="6" customHeight="1">
      <c r="A47" s="24"/>
      <c r="B47" s="21"/>
      <c r="C47" s="21"/>
      <c r="D47" s="21"/>
      <c r="E47" s="21"/>
      <c r="F47" s="21"/>
      <c r="G47" s="21"/>
      <c r="H47" s="21"/>
      <c r="I47" s="21"/>
      <c r="J47" s="21"/>
      <c r="K47" s="21"/>
      <c r="L47" s="21"/>
      <c r="M47" s="21"/>
      <c r="N47" s="21"/>
      <c r="O47" s="21"/>
      <c r="R47" s="21"/>
      <c r="S47" s="21"/>
    </row>
    <row r="48" spans="1:19" ht="10.5" customHeight="1">
      <c r="A48" s="287" t="s">
        <v>515</v>
      </c>
      <c r="B48" s="288"/>
      <c r="C48" s="288">
        <f>+C49+C50+C51</f>
        <v>9427.3</v>
      </c>
      <c r="D48" s="288">
        <f>+D49+D50+D51</f>
        <v>3842.8</v>
      </c>
      <c r="E48" s="288">
        <f>+E49+E50+E51</f>
        <v>2931</v>
      </c>
      <c r="F48" s="288">
        <f>+F49+F50+F51</f>
        <v>2162</v>
      </c>
      <c r="G48" s="288">
        <f>+G49+G50+G51</f>
        <v>1877</v>
      </c>
      <c r="H48" s="288"/>
      <c r="I48" s="288">
        <f aca="true" t="shared" si="4" ref="I48:S48">+I49+I50+I51</f>
        <v>2314.9</v>
      </c>
      <c r="J48" s="288">
        <f t="shared" si="4"/>
        <v>2883</v>
      </c>
      <c r="K48" s="288">
        <f t="shared" si="4"/>
        <v>4138</v>
      </c>
      <c r="L48" s="288">
        <f t="shared" si="4"/>
        <v>5866</v>
      </c>
      <c r="M48" s="288">
        <f t="shared" si="4"/>
        <v>13113</v>
      </c>
      <c r="N48" s="288">
        <f t="shared" si="4"/>
        <v>15201</v>
      </c>
      <c r="O48" s="288">
        <f t="shared" si="4"/>
        <v>12117</v>
      </c>
      <c r="P48" s="288">
        <f t="shared" si="4"/>
        <v>10375</v>
      </c>
      <c r="Q48" s="288">
        <f t="shared" si="4"/>
        <v>4538</v>
      </c>
      <c r="R48" s="288">
        <f t="shared" si="4"/>
        <v>3194</v>
      </c>
      <c r="S48" s="288">
        <f t="shared" si="4"/>
        <v>1926</v>
      </c>
    </row>
    <row r="49" spans="1:19" ht="10.5" customHeight="1">
      <c r="A49" s="25" t="s">
        <v>510</v>
      </c>
      <c r="B49" s="21"/>
      <c r="C49" s="21">
        <v>3048.1</v>
      </c>
      <c r="D49" s="21">
        <v>2346.8</v>
      </c>
      <c r="E49" s="21">
        <v>1699</v>
      </c>
      <c r="F49" s="21">
        <v>859</v>
      </c>
      <c r="G49" s="21">
        <v>728</v>
      </c>
      <c r="H49" s="21"/>
      <c r="I49" s="21">
        <v>930.9</v>
      </c>
      <c r="J49" s="21">
        <v>1302</v>
      </c>
      <c r="K49" s="21">
        <v>1969</v>
      </c>
      <c r="L49" s="21">
        <f>55+1620</f>
        <v>1675</v>
      </c>
      <c r="M49" s="21">
        <f>2403+570+12</f>
        <v>2985</v>
      </c>
      <c r="N49" s="21">
        <f>4198+10+53</f>
        <v>4261</v>
      </c>
      <c r="O49" s="21">
        <f>3712+1+25</f>
        <v>3738</v>
      </c>
      <c r="P49" s="21">
        <v>3653</v>
      </c>
      <c r="Q49" s="21">
        <v>2275</v>
      </c>
      <c r="R49" s="21">
        <f>1447+44</f>
        <v>1491</v>
      </c>
      <c r="S49" s="21">
        <f>631+176</f>
        <v>807</v>
      </c>
    </row>
    <row r="50" spans="1:19" ht="10.5" customHeight="1">
      <c r="A50" s="25" t="s">
        <v>511</v>
      </c>
      <c r="B50" s="21"/>
      <c r="C50" s="21">
        <v>830.2</v>
      </c>
      <c r="D50" s="21">
        <v>633</v>
      </c>
      <c r="E50" s="21">
        <v>686</v>
      </c>
      <c r="F50" s="21">
        <v>543</v>
      </c>
      <c r="G50" s="21">
        <v>377</v>
      </c>
      <c r="H50" s="21"/>
      <c r="I50" s="21">
        <v>487</v>
      </c>
      <c r="J50" s="21">
        <v>626</v>
      </c>
      <c r="K50" s="21">
        <v>561</v>
      </c>
      <c r="L50" s="21">
        <v>490</v>
      </c>
      <c r="M50" s="21">
        <f>290+542</f>
        <v>832</v>
      </c>
      <c r="N50" s="21">
        <f>620+183+1</f>
        <v>804</v>
      </c>
      <c r="O50" s="21">
        <f>957+25</f>
        <v>982</v>
      </c>
      <c r="P50" s="21">
        <f>946+1</f>
        <v>947</v>
      </c>
      <c r="Q50" s="21">
        <f>811+1</f>
        <v>812</v>
      </c>
      <c r="R50" s="21">
        <f>393+294</f>
        <v>687</v>
      </c>
      <c r="S50" s="21">
        <f>137+319</f>
        <v>456</v>
      </c>
    </row>
    <row r="51" spans="1:19" ht="10.5" customHeight="1">
      <c r="A51" s="24" t="s">
        <v>512</v>
      </c>
      <c r="B51" s="21"/>
      <c r="C51" s="21">
        <v>5549</v>
      </c>
      <c r="D51" s="21">
        <v>863</v>
      </c>
      <c r="E51" s="21">
        <v>546</v>
      </c>
      <c r="F51" s="21">
        <f>167+529+64</f>
        <v>760</v>
      </c>
      <c r="G51" s="21">
        <f>21+321+430</f>
        <v>772</v>
      </c>
      <c r="H51" s="21"/>
      <c r="I51" s="21">
        <f>470+409+18</f>
        <v>897</v>
      </c>
      <c r="J51" s="21">
        <f>459+474+22</f>
        <v>955</v>
      </c>
      <c r="K51" s="21">
        <f>853+8+701+46</f>
        <v>1608</v>
      </c>
      <c r="L51" s="21">
        <f>1499+573+1353+146+130</f>
        <v>3701</v>
      </c>
      <c r="M51" s="21">
        <f>466+4598+2715+1388+129</f>
        <v>9296</v>
      </c>
      <c r="N51" s="21">
        <f>213+7731+466+1712+14</f>
        <v>10136</v>
      </c>
      <c r="O51" s="21">
        <f>151+5880+19+1347</f>
        <v>7397</v>
      </c>
      <c r="P51" s="21">
        <f>33+4824+918</f>
        <v>5775</v>
      </c>
      <c r="Q51" s="21">
        <f>17+1208+226</f>
        <v>1451</v>
      </c>
      <c r="R51" s="21">
        <f>135+240+588+30+23</f>
        <v>1016</v>
      </c>
      <c r="S51" s="21">
        <f>142+37+481+1+2</f>
        <v>663</v>
      </c>
    </row>
    <row r="52" spans="1:19" ht="10.5" customHeight="1">
      <c r="A52" s="25" t="s">
        <v>513</v>
      </c>
      <c r="B52" s="21"/>
      <c r="C52" s="21">
        <v>4700</v>
      </c>
      <c r="D52" s="21">
        <v>734</v>
      </c>
      <c r="E52" s="21">
        <v>473</v>
      </c>
      <c r="F52" s="21">
        <v>530</v>
      </c>
      <c r="G52" s="21">
        <v>303</v>
      </c>
      <c r="H52" s="21"/>
      <c r="I52" s="21">
        <v>478</v>
      </c>
      <c r="J52" s="21">
        <v>456</v>
      </c>
      <c r="K52" s="21">
        <v>646</v>
      </c>
      <c r="L52" s="21">
        <v>2423</v>
      </c>
      <c r="M52" s="21">
        <v>7388.6</v>
      </c>
      <c r="N52" s="21">
        <v>7881.2</v>
      </c>
      <c r="O52" s="21">
        <v>5851.2</v>
      </c>
      <c r="P52" s="21">
        <v>4377</v>
      </c>
      <c r="Q52" s="21">
        <v>1188</v>
      </c>
      <c r="R52" s="21">
        <v>922</v>
      </c>
      <c r="S52" s="21">
        <f>37+481</f>
        <v>518</v>
      </c>
    </row>
    <row r="53" spans="1:19" ht="7.5" customHeight="1">
      <c r="A53" s="24"/>
      <c r="B53" s="21"/>
      <c r="C53" s="21"/>
      <c r="D53" s="21"/>
      <c r="E53" s="21"/>
      <c r="F53" s="21"/>
      <c r="G53" s="21"/>
      <c r="H53" s="21"/>
      <c r="I53" s="21"/>
      <c r="J53" s="21"/>
      <c r="K53" s="21"/>
      <c r="L53" s="21"/>
      <c r="M53" s="21"/>
      <c r="N53" s="21"/>
      <c r="O53" s="21"/>
      <c r="R53" s="21"/>
      <c r="S53" s="21"/>
    </row>
    <row r="54" spans="1:19" ht="12.75" customHeight="1">
      <c r="A54" s="290" t="s">
        <v>55</v>
      </c>
      <c r="B54" s="291"/>
      <c r="C54" s="291">
        <f>+C40+C42+C43+C48</f>
        <v>43182.3</v>
      </c>
      <c r="D54" s="291">
        <f>+D40+D42+D43+D48</f>
        <v>37201.8</v>
      </c>
      <c r="E54" s="291">
        <f>+E40+E42+E43+E48</f>
        <v>38830</v>
      </c>
      <c r="F54" s="291">
        <f>+F40+F42+F43+F48</f>
        <v>42537</v>
      </c>
      <c r="G54" s="291">
        <f>+G40+G42+G43+G48</f>
        <v>43263</v>
      </c>
      <c r="H54" s="291"/>
      <c r="I54" s="291">
        <f aca="true" t="shared" si="5" ref="I54:S54">+I40+I42+I43+I48</f>
        <v>42926.9</v>
      </c>
      <c r="J54" s="291">
        <f t="shared" si="5"/>
        <v>42087</v>
      </c>
      <c r="K54" s="291">
        <f t="shared" si="5"/>
        <v>49790</v>
      </c>
      <c r="L54" s="291">
        <f t="shared" si="5"/>
        <v>51749</v>
      </c>
      <c r="M54" s="291">
        <f t="shared" si="5"/>
        <v>59494</v>
      </c>
      <c r="N54" s="291">
        <f t="shared" si="5"/>
        <v>50639</v>
      </c>
      <c r="O54" s="291">
        <f t="shared" si="5"/>
        <v>43504</v>
      </c>
      <c r="P54" s="291">
        <f t="shared" si="5"/>
        <v>43589</v>
      </c>
      <c r="Q54" s="291">
        <f t="shared" si="5"/>
        <v>36481</v>
      </c>
      <c r="R54" s="291">
        <f t="shared" si="5"/>
        <v>37187</v>
      </c>
      <c r="S54" s="291">
        <f t="shared" si="5"/>
        <v>38262</v>
      </c>
    </row>
    <row r="55" spans="1:2" ht="12.75" customHeight="1">
      <c r="A55" s="26" t="s">
        <v>488</v>
      </c>
      <c r="B55" s="27"/>
    </row>
    <row r="56" spans="1:2" ht="10.5" customHeight="1">
      <c r="A56" s="26" t="s">
        <v>516</v>
      </c>
      <c r="B56" s="27"/>
    </row>
    <row r="57" spans="1:2" ht="12.75" customHeight="1">
      <c r="A57" s="413" t="s">
        <v>578</v>
      </c>
      <c r="B57" s="27"/>
    </row>
    <row r="58" spans="1:2" ht="12">
      <c r="A58" s="29"/>
      <c r="B58" s="30"/>
    </row>
    <row r="59" ht="12">
      <c r="B59" s="31"/>
    </row>
    <row r="60" ht="12">
      <c r="A60" s="33"/>
    </row>
  </sheetData>
  <printOptions horizontalCentered="1"/>
  <pageMargins left="0.167" right="0.167" top="0.27" bottom="0.55" header="0" footer="0.18"/>
  <pageSetup fitToHeight="1" fitToWidth="1" horizontalDpi="600" verticalDpi="600" orientation="landscape" scale="95" r:id="rId1"/>
  <headerFooter alignWithMargins="0">
    <oddFooter>&amp;C&amp;"Arial,Italic"&amp;9Vegetables and Melons Outlook&amp;"Arial,Regular"/VGS-330/December 16, 2008
Economic Research Service, USDA</oddFooter>
  </headerFooter>
</worksheet>
</file>

<file path=xl/worksheets/sheet20.xml><?xml version="1.0" encoding="utf-8"?>
<worksheet xmlns="http://schemas.openxmlformats.org/spreadsheetml/2006/main" xmlns:r="http://schemas.openxmlformats.org/officeDocument/2006/relationships">
  <sheetPr>
    <tabColor indexed="52"/>
    <pageSetUpPr fitToPage="1"/>
  </sheetPr>
  <dimension ref="A2:O82"/>
  <sheetViews>
    <sheetView showGridLines="0" workbookViewId="0" topLeftCell="A1">
      <selection activeCell="A1" sqref="A1"/>
    </sheetView>
  </sheetViews>
  <sheetFormatPr defaultColWidth="9.140625" defaultRowHeight="12.75"/>
  <cols>
    <col min="1" max="1" width="13.00390625" style="0" customWidth="1"/>
    <col min="2" max="2" width="3.421875" style="0" customWidth="1"/>
    <col min="3" max="3" width="7.421875" style="0" customWidth="1"/>
    <col min="4" max="4" width="3.57421875" style="0" customWidth="1"/>
    <col min="5" max="5" width="7.7109375" style="0" customWidth="1"/>
    <col min="6" max="6" width="3.57421875" style="0" customWidth="1"/>
    <col min="7" max="7" width="7.00390625" style="0" customWidth="1"/>
    <col min="8" max="8" width="3.28125" style="0" customWidth="1"/>
    <col min="9" max="9" width="7.8515625" style="0" customWidth="1"/>
    <col min="10" max="10" width="3.8515625" style="0" customWidth="1"/>
    <col min="11" max="11" width="8.00390625" style="0" customWidth="1"/>
    <col min="12" max="12" width="4.140625" style="0" customWidth="1"/>
    <col min="13" max="13" width="7.8515625" style="0" customWidth="1"/>
    <col min="14" max="14" width="3.140625" style="0" customWidth="1"/>
  </cols>
  <sheetData>
    <row r="2" spans="1:15" ht="12.75">
      <c r="A2" s="244"/>
      <c r="B2" s="244"/>
      <c r="C2" s="244"/>
      <c r="D2" s="244"/>
      <c r="E2" s="244"/>
      <c r="F2" s="244"/>
      <c r="G2" s="244"/>
      <c r="H2" s="244"/>
      <c r="I2" s="244"/>
      <c r="J2" s="244"/>
      <c r="K2" s="244"/>
      <c r="L2" s="244"/>
      <c r="M2" s="244"/>
      <c r="N2" s="244"/>
      <c r="O2" s="244"/>
    </row>
    <row r="3" spans="1:15" ht="12.75">
      <c r="A3" s="245" t="s">
        <v>571</v>
      </c>
      <c r="B3" s="245"/>
      <c r="C3" s="244"/>
      <c r="D3" s="244"/>
      <c r="E3" s="244"/>
      <c r="F3" s="244"/>
      <c r="G3" s="244"/>
      <c r="H3" s="244"/>
      <c r="I3" s="244"/>
      <c r="J3" s="244"/>
      <c r="K3" s="244"/>
      <c r="L3" s="244"/>
      <c r="M3" s="244"/>
      <c r="N3" s="244"/>
      <c r="O3" s="244"/>
    </row>
    <row r="4" spans="1:15" ht="5.25" customHeight="1">
      <c r="A4" s="398"/>
      <c r="B4" s="398"/>
      <c r="C4" s="398"/>
      <c r="D4" s="398"/>
      <c r="E4" s="398"/>
      <c r="F4" s="398"/>
      <c r="G4" s="398"/>
      <c r="H4" s="398"/>
      <c r="I4" s="398"/>
      <c r="J4" s="398"/>
      <c r="K4" s="398"/>
      <c r="L4" s="398"/>
      <c r="M4" s="398"/>
      <c r="N4" s="398"/>
      <c r="O4" s="244"/>
    </row>
    <row r="5" spans="1:15" ht="12.75">
      <c r="A5" s="399" t="s">
        <v>300</v>
      </c>
      <c r="B5" s="399"/>
      <c r="C5" s="400" t="s">
        <v>301</v>
      </c>
      <c r="D5" s="401"/>
      <c r="E5" s="401"/>
      <c r="F5" s="402"/>
      <c r="G5" s="402"/>
      <c r="H5" s="402"/>
      <c r="I5" s="399" t="s">
        <v>302</v>
      </c>
      <c r="J5" s="402"/>
      <c r="K5" s="399" t="s">
        <v>303</v>
      </c>
      <c r="L5" s="402"/>
      <c r="M5" s="399" t="s">
        <v>304</v>
      </c>
      <c r="N5" s="402"/>
      <c r="O5" s="244"/>
    </row>
    <row r="6" spans="1:15" ht="12.75">
      <c r="A6" s="400" t="s">
        <v>96</v>
      </c>
      <c r="B6" s="400"/>
      <c r="C6" s="400" t="s">
        <v>321</v>
      </c>
      <c r="D6" s="401"/>
      <c r="E6" s="401" t="s">
        <v>305</v>
      </c>
      <c r="F6" s="401"/>
      <c r="G6" s="400" t="s">
        <v>306</v>
      </c>
      <c r="H6" s="401"/>
      <c r="I6" s="400" t="s">
        <v>307</v>
      </c>
      <c r="J6" s="401"/>
      <c r="K6" s="400" t="s">
        <v>308</v>
      </c>
      <c r="L6" s="401"/>
      <c r="M6" s="400" t="s">
        <v>309</v>
      </c>
      <c r="N6" s="401"/>
      <c r="O6" s="244"/>
    </row>
    <row r="7" spans="1:15" ht="14.25" customHeight="1">
      <c r="A7" s="474"/>
      <c r="B7" s="474"/>
      <c r="C7" s="474"/>
      <c r="D7" s="474" t="s">
        <v>387</v>
      </c>
      <c r="E7" s="474"/>
      <c r="F7" s="474"/>
      <c r="G7" s="475" t="s">
        <v>393</v>
      </c>
      <c r="H7" s="474"/>
      <c r="I7" s="475" t="s">
        <v>394</v>
      </c>
      <c r="J7" s="474"/>
      <c r="K7" s="475" t="s">
        <v>396</v>
      </c>
      <c r="L7" s="474"/>
      <c r="M7" s="475" t="s">
        <v>395</v>
      </c>
      <c r="N7" s="474"/>
      <c r="O7" s="244"/>
    </row>
    <row r="8" spans="1:15" ht="12.75">
      <c r="A8" s="248" t="s">
        <v>310</v>
      </c>
      <c r="B8" s="248"/>
      <c r="C8" s="244"/>
      <c r="D8" s="244"/>
      <c r="E8" s="244"/>
      <c r="F8" s="244"/>
      <c r="G8" s="244"/>
      <c r="H8" s="244"/>
      <c r="I8" s="244"/>
      <c r="J8" s="244"/>
      <c r="K8" s="244"/>
      <c r="L8" s="244"/>
      <c r="M8" s="244"/>
      <c r="N8" s="244"/>
      <c r="O8" s="244"/>
    </row>
    <row r="9" spans="1:15" ht="10.5" customHeight="1">
      <c r="A9" s="247" t="s">
        <v>311</v>
      </c>
      <c r="B9" s="247"/>
      <c r="C9" s="249">
        <v>9900</v>
      </c>
      <c r="D9" s="244"/>
      <c r="E9" s="249">
        <v>9300</v>
      </c>
      <c r="F9" s="244"/>
      <c r="G9" s="249">
        <v>320</v>
      </c>
      <c r="H9" s="244"/>
      <c r="I9" s="249">
        <v>2988</v>
      </c>
      <c r="J9" s="244"/>
      <c r="K9" s="250">
        <v>3.21</v>
      </c>
      <c r="L9" s="244"/>
      <c r="M9" s="249">
        <v>9585</v>
      </c>
      <c r="N9" s="244"/>
      <c r="O9" s="244"/>
    </row>
    <row r="10" spans="1:15" ht="10.5" customHeight="1">
      <c r="A10" s="247" t="s">
        <v>312</v>
      </c>
      <c r="B10" s="247"/>
      <c r="C10" s="249">
        <v>5500</v>
      </c>
      <c r="D10" s="244"/>
      <c r="E10" s="249">
        <v>5500</v>
      </c>
      <c r="F10" s="244"/>
      <c r="G10" s="249">
        <v>280</v>
      </c>
      <c r="H10" s="244"/>
      <c r="I10" s="249">
        <v>1540</v>
      </c>
      <c r="J10" s="244"/>
      <c r="K10" s="250">
        <v>11.5</v>
      </c>
      <c r="L10" s="244"/>
      <c r="M10" s="249">
        <v>17710</v>
      </c>
      <c r="N10" s="244"/>
      <c r="O10" s="244"/>
    </row>
    <row r="11" spans="1:15" ht="10.5" customHeight="1">
      <c r="A11" s="247" t="s">
        <v>313</v>
      </c>
      <c r="B11" s="247"/>
      <c r="C11" s="249">
        <v>9400</v>
      </c>
      <c r="D11" s="244"/>
      <c r="E11" s="249">
        <v>7500</v>
      </c>
      <c r="F11" s="244"/>
      <c r="G11" s="249">
        <v>155</v>
      </c>
      <c r="H11" s="244"/>
      <c r="I11" s="249">
        <v>1170</v>
      </c>
      <c r="J11" s="244"/>
      <c r="K11" s="250">
        <v>14.1</v>
      </c>
      <c r="L11" s="244"/>
      <c r="M11" s="249">
        <v>16497</v>
      </c>
      <c r="N11" s="244"/>
      <c r="O11" s="244"/>
    </row>
    <row r="12" spans="1:15" ht="10.5" customHeight="1">
      <c r="A12" s="247" t="s">
        <v>314</v>
      </c>
      <c r="B12" s="247"/>
      <c r="C12" s="249">
        <v>6500</v>
      </c>
      <c r="D12" s="244"/>
      <c r="E12" s="249">
        <v>6300</v>
      </c>
      <c r="F12" s="244"/>
      <c r="G12" s="249">
        <v>170</v>
      </c>
      <c r="H12" s="244"/>
      <c r="I12" s="249">
        <v>1071</v>
      </c>
      <c r="J12" s="244"/>
      <c r="K12" s="250">
        <v>22.2</v>
      </c>
      <c r="L12" s="244"/>
      <c r="M12" s="249">
        <v>23776</v>
      </c>
      <c r="N12" s="244"/>
      <c r="O12" s="244"/>
    </row>
    <row r="13" spans="1:15" ht="10.5" customHeight="1">
      <c r="A13" s="247" t="s">
        <v>315</v>
      </c>
      <c r="B13" s="247"/>
      <c r="C13" s="249">
        <v>6400</v>
      </c>
      <c r="D13" s="244"/>
      <c r="E13" s="249">
        <v>5600</v>
      </c>
      <c r="F13" s="244"/>
      <c r="G13" s="249">
        <v>165</v>
      </c>
      <c r="H13" s="244"/>
      <c r="I13" s="249">
        <v>924</v>
      </c>
      <c r="J13" s="244"/>
      <c r="K13" s="250">
        <v>12</v>
      </c>
      <c r="L13" s="244"/>
      <c r="M13" s="249">
        <v>11088</v>
      </c>
      <c r="N13" s="244"/>
      <c r="O13" s="244"/>
    </row>
    <row r="14" spans="1:15" ht="10.5" customHeight="1">
      <c r="A14" s="247" t="s">
        <v>316</v>
      </c>
      <c r="B14" s="247"/>
      <c r="C14" s="249">
        <v>8000</v>
      </c>
      <c r="D14" s="244"/>
      <c r="E14" s="249">
        <v>6800</v>
      </c>
      <c r="F14" s="244"/>
      <c r="G14" s="249">
        <v>120</v>
      </c>
      <c r="H14" s="244"/>
      <c r="I14" s="249">
        <v>816</v>
      </c>
      <c r="J14" s="244"/>
      <c r="K14" s="250">
        <v>16</v>
      </c>
      <c r="L14" s="244"/>
      <c r="M14" s="249">
        <v>13056</v>
      </c>
      <c r="N14" s="244"/>
      <c r="O14" s="244"/>
    </row>
    <row r="15" spans="1:15" ht="4.5" customHeight="1">
      <c r="A15" s="247"/>
      <c r="B15" s="247"/>
      <c r="C15" s="249"/>
      <c r="D15" s="244"/>
      <c r="E15" s="249"/>
      <c r="F15" s="244"/>
      <c r="G15" s="249"/>
      <c r="H15" s="244"/>
      <c r="I15" s="249"/>
      <c r="J15" s="244"/>
      <c r="K15" s="250"/>
      <c r="L15" s="244"/>
      <c r="M15" s="249"/>
      <c r="N15" s="244"/>
      <c r="O15" s="244"/>
    </row>
    <row r="16" spans="1:15" ht="12.75">
      <c r="A16" s="247" t="s">
        <v>317</v>
      </c>
      <c r="B16" s="247"/>
      <c r="C16" s="249">
        <v>45700</v>
      </c>
      <c r="D16" s="244"/>
      <c r="E16" s="249">
        <v>41000</v>
      </c>
      <c r="F16" s="244"/>
      <c r="G16" s="249">
        <v>208</v>
      </c>
      <c r="H16" s="244"/>
      <c r="I16" s="249">
        <v>8509</v>
      </c>
      <c r="J16" s="244"/>
      <c r="K16" s="250">
        <v>10.8</v>
      </c>
      <c r="L16" s="244"/>
      <c r="M16" s="249">
        <v>91712</v>
      </c>
      <c r="N16" s="244"/>
      <c r="O16" s="244"/>
    </row>
    <row r="17" spans="1:15" ht="6" customHeight="1">
      <c r="A17" s="244"/>
      <c r="B17" s="244"/>
      <c r="C17" s="244"/>
      <c r="D17" s="244"/>
      <c r="E17" s="244"/>
      <c r="F17" s="244"/>
      <c r="G17" s="244"/>
      <c r="H17" s="244"/>
      <c r="I17" s="244"/>
      <c r="J17" s="244"/>
      <c r="K17" s="244"/>
      <c r="L17" s="244"/>
      <c r="M17" s="244"/>
      <c r="N17" s="244"/>
      <c r="O17" s="244"/>
    </row>
    <row r="18" spans="1:15" ht="12.75">
      <c r="A18" s="248" t="s">
        <v>318</v>
      </c>
      <c r="B18" s="248"/>
      <c r="C18" s="244"/>
      <c r="D18" s="244"/>
      <c r="E18" s="244"/>
      <c r="F18" s="244"/>
      <c r="G18" s="244"/>
      <c r="H18" s="244"/>
      <c r="I18" s="244"/>
      <c r="J18" s="244"/>
      <c r="K18" s="244"/>
      <c r="L18" s="244"/>
      <c r="M18" s="244"/>
      <c r="N18" s="244"/>
      <c r="O18" s="244"/>
    </row>
    <row r="19" spans="1:15" ht="10.5" customHeight="1">
      <c r="A19" s="247" t="s">
        <v>311</v>
      </c>
      <c r="B19" s="247"/>
      <c r="C19" s="249">
        <v>8700</v>
      </c>
      <c r="D19" s="244"/>
      <c r="E19" s="249">
        <v>7900</v>
      </c>
      <c r="F19" s="244"/>
      <c r="G19" s="249">
        <v>410</v>
      </c>
      <c r="H19" s="244"/>
      <c r="I19" s="249">
        <v>3258</v>
      </c>
      <c r="J19" s="244"/>
      <c r="K19" s="250">
        <v>4.6</v>
      </c>
      <c r="L19" s="244"/>
      <c r="M19" s="249">
        <v>14985</v>
      </c>
      <c r="N19" s="244"/>
      <c r="O19" s="244"/>
    </row>
    <row r="20" spans="1:15" ht="10.5" customHeight="1">
      <c r="A20" s="247" t="s">
        <v>312</v>
      </c>
      <c r="B20" s="247"/>
      <c r="C20" s="249">
        <v>5300</v>
      </c>
      <c r="D20" s="244"/>
      <c r="E20" s="249">
        <v>4900</v>
      </c>
      <c r="F20" s="244"/>
      <c r="G20" s="249">
        <v>250</v>
      </c>
      <c r="H20" s="244"/>
      <c r="I20" s="249">
        <v>1225</v>
      </c>
      <c r="J20" s="244"/>
      <c r="K20" s="250">
        <v>12.4</v>
      </c>
      <c r="L20" s="244"/>
      <c r="M20" s="249">
        <v>15190</v>
      </c>
      <c r="N20" s="244"/>
      <c r="O20" s="244"/>
    </row>
    <row r="21" spans="1:15" ht="10.5" customHeight="1">
      <c r="A21" s="247" t="s">
        <v>315</v>
      </c>
      <c r="B21" s="247"/>
      <c r="C21" s="249">
        <v>7200</v>
      </c>
      <c r="D21" s="244"/>
      <c r="E21" s="249">
        <v>6400</v>
      </c>
      <c r="F21" s="244"/>
      <c r="G21" s="249">
        <v>170</v>
      </c>
      <c r="H21" s="244"/>
      <c r="I21" s="249">
        <v>1088</v>
      </c>
      <c r="J21" s="244"/>
      <c r="K21" s="250">
        <v>14.8</v>
      </c>
      <c r="L21" s="244"/>
      <c r="M21" s="249">
        <v>16102</v>
      </c>
      <c r="N21" s="244"/>
      <c r="O21" s="244"/>
    </row>
    <row r="22" spans="1:15" ht="10.5" customHeight="1">
      <c r="A22" s="247" t="s">
        <v>316</v>
      </c>
      <c r="B22" s="247"/>
      <c r="C22" s="249">
        <v>8500</v>
      </c>
      <c r="D22" s="244"/>
      <c r="E22" s="249">
        <v>7300</v>
      </c>
      <c r="F22" s="244"/>
      <c r="G22" s="249">
        <v>140</v>
      </c>
      <c r="H22" s="244"/>
      <c r="I22" s="249">
        <v>1022</v>
      </c>
      <c r="J22" s="244"/>
      <c r="K22" s="250">
        <v>14</v>
      </c>
      <c r="L22" s="244"/>
      <c r="M22" s="249">
        <v>14308</v>
      </c>
      <c r="N22" s="244"/>
      <c r="O22" s="244"/>
    </row>
    <row r="23" spans="1:15" ht="10.5" customHeight="1">
      <c r="A23" s="247" t="s">
        <v>313</v>
      </c>
      <c r="B23" s="247"/>
      <c r="C23" s="249">
        <v>9100</v>
      </c>
      <c r="D23" s="244"/>
      <c r="E23" s="249">
        <v>8000</v>
      </c>
      <c r="F23" s="244"/>
      <c r="G23" s="249">
        <v>100</v>
      </c>
      <c r="H23" s="244"/>
      <c r="I23" s="249">
        <v>816</v>
      </c>
      <c r="J23" s="244"/>
      <c r="K23" s="250">
        <v>12.9</v>
      </c>
      <c r="L23" s="244"/>
      <c r="M23" s="249">
        <v>10526</v>
      </c>
      <c r="N23" s="244"/>
      <c r="O23" s="244"/>
    </row>
    <row r="24" spans="1:15" ht="10.5" customHeight="1">
      <c r="A24" s="247" t="s">
        <v>314</v>
      </c>
      <c r="B24" s="247"/>
      <c r="C24" s="249">
        <v>6000</v>
      </c>
      <c r="D24" s="244"/>
      <c r="E24" s="249">
        <v>5300</v>
      </c>
      <c r="F24" s="244"/>
      <c r="G24" s="249">
        <v>140</v>
      </c>
      <c r="H24" s="244"/>
      <c r="I24" s="249">
        <v>742</v>
      </c>
      <c r="J24" s="244"/>
      <c r="K24" s="250">
        <v>13.4</v>
      </c>
      <c r="L24" s="244"/>
      <c r="M24" s="249">
        <v>9943</v>
      </c>
      <c r="N24" s="244"/>
      <c r="O24" s="244"/>
    </row>
    <row r="25" spans="1:15" ht="5.25" customHeight="1">
      <c r="A25" s="247"/>
      <c r="B25" s="247"/>
      <c r="C25" s="249"/>
      <c r="D25" s="244"/>
      <c r="E25" s="249"/>
      <c r="F25" s="244"/>
      <c r="G25" s="249"/>
      <c r="H25" s="244"/>
      <c r="I25" s="249"/>
      <c r="J25" s="244"/>
      <c r="K25" s="250"/>
      <c r="L25" s="244"/>
      <c r="M25" s="249"/>
      <c r="N25" s="244"/>
      <c r="O25" s="244"/>
    </row>
    <row r="26" spans="1:15" ht="12.75">
      <c r="A26" s="247" t="s">
        <v>317</v>
      </c>
      <c r="B26" s="247"/>
      <c r="C26" s="249">
        <f>SUM(C19:C24)</f>
        <v>44800</v>
      </c>
      <c r="D26" s="244"/>
      <c r="E26" s="249">
        <f>SUM(E19:E24)</f>
        <v>39800</v>
      </c>
      <c r="F26" s="244"/>
      <c r="G26" s="249">
        <v>205</v>
      </c>
      <c r="H26" s="244"/>
      <c r="I26" s="249">
        <f>SUM(I19:I24)</f>
        <v>8151</v>
      </c>
      <c r="J26" s="244"/>
      <c r="K26" s="250">
        <v>9.94</v>
      </c>
      <c r="L26" s="244"/>
      <c r="M26" s="249">
        <f>SUM(M19:M24)</f>
        <v>81054</v>
      </c>
      <c r="N26" s="244"/>
      <c r="O26" s="244"/>
    </row>
    <row r="27" spans="1:15" ht="5.25" customHeight="1">
      <c r="A27" s="244"/>
      <c r="B27" s="244"/>
      <c r="C27" s="244"/>
      <c r="D27" s="244"/>
      <c r="E27" s="244"/>
      <c r="F27" s="244"/>
      <c r="G27" s="244"/>
      <c r="H27" s="244"/>
      <c r="I27" s="244"/>
      <c r="J27" s="244"/>
      <c r="K27" s="244"/>
      <c r="L27" s="244"/>
      <c r="M27" s="244"/>
      <c r="N27" s="244"/>
      <c r="O27" s="244"/>
    </row>
    <row r="28" spans="1:15" ht="12.75">
      <c r="A28" s="248" t="s">
        <v>319</v>
      </c>
      <c r="B28" s="248"/>
      <c r="C28" s="244"/>
      <c r="D28" s="244"/>
      <c r="E28" s="244"/>
      <c r="F28" s="244"/>
      <c r="G28" s="244"/>
      <c r="H28" s="244"/>
      <c r="I28" s="244"/>
      <c r="J28" s="244"/>
      <c r="K28" s="244"/>
      <c r="L28" s="244"/>
      <c r="M28" s="244"/>
      <c r="N28" s="244"/>
      <c r="O28" s="244"/>
    </row>
    <row r="29" spans="1:15" ht="10.5" customHeight="1">
      <c r="A29" s="247" t="s">
        <v>311</v>
      </c>
      <c r="B29" s="247"/>
      <c r="C29" s="249">
        <v>13600</v>
      </c>
      <c r="D29" s="244"/>
      <c r="E29" s="249">
        <v>12500</v>
      </c>
      <c r="F29" s="244"/>
      <c r="G29" s="249">
        <v>365</v>
      </c>
      <c r="H29" s="244"/>
      <c r="I29" s="249">
        <v>4572</v>
      </c>
      <c r="J29" s="244"/>
      <c r="K29" s="250">
        <v>3.46</v>
      </c>
      <c r="L29" s="244"/>
      <c r="M29" s="249">
        <v>15818</v>
      </c>
      <c r="N29" s="244"/>
      <c r="O29" s="244"/>
    </row>
    <row r="30" spans="1:15" ht="10.5" customHeight="1">
      <c r="A30" s="247" t="s">
        <v>312</v>
      </c>
      <c r="B30" s="247"/>
      <c r="C30" s="249">
        <v>5200</v>
      </c>
      <c r="D30" s="244"/>
      <c r="E30" s="249">
        <v>5200</v>
      </c>
      <c r="F30" s="244"/>
      <c r="G30" s="249">
        <v>270</v>
      </c>
      <c r="H30" s="244"/>
      <c r="I30" s="249">
        <v>1404</v>
      </c>
      <c r="J30" s="244"/>
      <c r="K30" s="250">
        <v>7.4</v>
      </c>
      <c r="L30" s="244"/>
      <c r="M30" s="249">
        <v>10390</v>
      </c>
      <c r="N30" s="244"/>
      <c r="O30" s="244"/>
    </row>
    <row r="31" spans="1:15" ht="10.5" customHeight="1">
      <c r="A31" s="247" t="s">
        <v>313</v>
      </c>
      <c r="B31" s="247"/>
      <c r="C31" s="249">
        <v>9000</v>
      </c>
      <c r="D31" s="244"/>
      <c r="E31" s="249">
        <v>8100</v>
      </c>
      <c r="F31" s="244"/>
      <c r="G31" s="249">
        <v>160</v>
      </c>
      <c r="H31" s="244"/>
      <c r="I31" s="249">
        <v>1300</v>
      </c>
      <c r="J31" s="244"/>
      <c r="K31" s="250">
        <v>12.4</v>
      </c>
      <c r="L31" s="244"/>
      <c r="M31" s="249">
        <v>16120</v>
      </c>
      <c r="N31" s="244"/>
      <c r="O31" s="244"/>
    </row>
    <row r="32" spans="1:15" ht="10.5" customHeight="1">
      <c r="A32" s="247" t="s">
        <v>315</v>
      </c>
      <c r="B32" s="247"/>
      <c r="C32" s="249">
        <v>7700</v>
      </c>
      <c r="D32" s="244"/>
      <c r="E32" s="249">
        <v>6200</v>
      </c>
      <c r="F32" s="244"/>
      <c r="G32" s="249">
        <v>180</v>
      </c>
      <c r="H32" s="244"/>
      <c r="I32" s="249">
        <v>1116</v>
      </c>
      <c r="J32" s="244"/>
      <c r="K32" s="250">
        <v>10.6</v>
      </c>
      <c r="L32" s="244"/>
      <c r="M32" s="249">
        <v>11830</v>
      </c>
      <c r="N32" s="244"/>
      <c r="O32" s="244"/>
    </row>
    <row r="33" spans="1:15" ht="10.5" customHeight="1">
      <c r="A33" s="247" t="s">
        <v>316</v>
      </c>
      <c r="B33" s="247"/>
      <c r="C33" s="249">
        <v>7800</v>
      </c>
      <c r="D33" s="244"/>
      <c r="E33" s="249">
        <v>7200</v>
      </c>
      <c r="F33" s="244"/>
      <c r="G33" s="249">
        <v>140</v>
      </c>
      <c r="H33" s="244"/>
      <c r="I33" s="249">
        <v>1008</v>
      </c>
      <c r="J33" s="244"/>
      <c r="K33" s="250">
        <v>13</v>
      </c>
      <c r="L33" s="244"/>
      <c r="M33" s="249">
        <v>13104</v>
      </c>
      <c r="N33" s="244"/>
      <c r="O33" s="244"/>
    </row>
    <row r="34" spans="1:15" ht="10.5" customHeight="1">
      <c r="A34" s="247" t="s">
        <v>314</v>
      </c>
      <c r="B34" s="247"/>
      <c r="C34" s="249">
        <v>7000</v>
      </c>
      <c r="D34" s="244"/>
      <c r="E34" s="249">
        <v>6300</v>
      </c>
      <c r="F34" s="244"/>
      <c r="G34" s="249">
        <v>130</v>
      </c>
      <c r="H34" s="244"/>
      <c r="I34" s="249">
        <v>819</v>
      </c>
      <c r="J34" s="244"/>
      <c r="K34" s="250">
        <v>31</v>
      </c>
      <c r="L34" s="244"/>
      <c r="M34" s="249">
        <v>25389</v>
      </c>
      <c r="N34" s="244"/>
      <c r="O34" s="244"/>
    </row>
    <row r="35" spans="1:15" ht="5.25" customHeight="1">
      <c r="A35" s="247"/>
      <c r="B35" s="247"/>
      <c r="C35" s="249"/>
      <c r="D35" s="244"/>
      <c r="E35" s="249"/>
      <c r="F35" s="244"/>
      <c r="G35" s="249"/>
      <c r="H35" s="244"/>
      <c r="I35" s="249"/>
      <c r="J35" s="244"/>
      <c r="K35" s="250"/>
      <c r="L35" s="244"/>
      <c r="M35" s="249"/>
      <c r="N35" s="244"/>
      <c r="O35" s="244"/>
    </row>
    <row r="36" spans="1:15" ht="12.75">
      <c r="A36" s="247" t="s">
        <v>317</v>
      </c>
      <c r="B36" s="247"/>
      <c r="C36" s="249">
        <f>SUM(C29:C34)</f>
        <v>50300</v>
      </c>
      <c r="D36" s="244"/>
      <c r="E36" s="249">
        <f>SUM(E29:E34)</f>
        <v>45500</v>
      </c>
      <c r="F36" s="244"/>
      <c r="G36" s="249">
        <v>225</v>
      </c>
      <c r="H36" s="244"/>
      <c r="I36" s="249">
        <f>SUM(I29:I34)</f>
        <v>10219</v>
      </c>
      <c r="J36" s="244"/>
      <c r="K36" s="250">
        <v>9.07</v>
      </c>
      <c r="L36" s="244"/>
      <c r="M36" s="249">
        <f>SUM(M29:M34)</f>
        <v>92651</v>
      </c>
      <c r="N36" s="244"/>
      <c r="O36" s="244"/>
    </row>
    <row r="37" spans="1:15" ht="6.75" customHeight="1">
      <c r="A37" s="247"/>
      <c r="B37" s="247"/>
      <c r="C37" s="249"/>
      <c r="D37" s="244"/>
      <c r="E37" s="249"/>
      <c r="F37" s="244"/>
      <c r="G37" s="249"/>
      <c r="H37" s="244"/>
      <c r="I37" s="249"/>
      <c r="J37" s="244"/>
      <c r="K37" s="250"/>
      <c r="L37" s="244"/>
      <c r="M37" s="249"/>
      <c r="N37" s="244"/>
      <c r="O37" s="244"/>
    </row>
    <row r="38" spans="1:15" ht="12.75">
      <c r="A38" s="248" t="s">
        <v>325</v>
      </c>
      <c r="B38" s="248"/>
      <c r="C38" s="244"/>
      <c r="D38" s="244"/>
      <c r="E38" s="244"/>
      <c r="F38" s="244"/>
      <c r="G38" s="244"/>
      <c r="H38" s="244"/>
      <c r="I38" s="244"/>
      <c r="J38" s="244"/>
      <c r="K38" s="244"/>
      <c r="L38" s="244"/>
      <c r="M38" s="244"/>
      <c r="N38" s="244"/>
      <c r="O38" s="244"/>
    </row>
    <row r="39" spans="1:15" ht="11.25" customHeight="1">
      <c r="A39" s="247" t="s">
        <v>311</v>
      </c>
      <c r="B39" s="247"/>
      <c r="C39" s="249">
        <v>14600</v>
      </c>
      <c r="D39" s="244"/>
      <c r="E39" s="249">
        <v>12900</v>
      </c>
      <c r="F39" s="244"/>
      <c r="G39" s="249">
        <v>385</v>
      </c>
      <c r="H39" s="244"/>
      <c r="I39" s="249">
        <v>4967</v>
      </c>
      <c r="J39" s="244"/>
      <c r="K39" s="250">
        <v>3.23</v>
      </c>
      <c r="L39" s="244"/>
      <c r="M39" s="249">
        <v>16049</v>
      </c>
      <c r="N39" s="244"/>
      <c r="O39" s="244"/>
    </row>
    <row r="40" spans="1:15" ht="11.25" customHeight="1">
      <c r="A40" s="247" t="s">
        <v>312</v>
      </c>
      <c r="B40" s="247"/>
      <c r="C40" s="249">
        <v>5500</v>
      </c>
      <c r="D40" s="244"/>
      <c r="E40" s="249">
        <v>5500</v>
      </c>
      <c r="F40" s="244"/>
      <c r="G40" s="249">
        <v>290</v>
      </c>
      <c r="H40" s="244"/>
      <c r="I40" s="249">
        <v>1595</v>
      </c>
      <c r="J40" s="244"/>
      <c r="K40" s="250">
        <v>9</v>
      </c>
      <c r="L40" s="244"/>
      <c r="M40" s="249">
        <v>14355</v>
      </c>
      <c r="N40" s="244"/>
      <c r="O40" s="244"/>
    </row>
    <row r="41" spans="1:15" ht="11.25" customHeight="1">
      <c r="A41" s="247" t="s">
        <v>315</v>
      </c>
      <c r="B41" s="247"/>
      <c r="C41" s="249">
        <v>7900</v>
      </c>
      <c r="D41" s="244"/>
      <c r="E41" s="249">
        <v>7400</v>
      </c>
      <c r="F41" s="244"/>
      <c r="G41" s="249">
        <v>180</v>
      </c>
      <c r="H41" s="244"/>
      <c r="I41" s="249">
        <v>1332</v>
      </c>
      <c r="J41" s="244"/>
      <c r="K41" s="250">
        <v>19.6</v>
      </c>
      <c r="L41" s="244"/>
      <c r="M41" s="249">
        <v>26107</v>
      </c>
      <c r="N41" s="244"/>
      <c r="O41" s="244"/>
    </row>
    <row r="42" spans="1:15" ht="11.25" customHeight="1">
      <c r="A42" s="247" t="s">
        <v>313</v>
      </c>
      <c r="B42" s="247"/>
      <c r="C42" s="249">
        <v>8700</v>
      </c>
      <c r="D42" s="244"/>
      <c r="E42" s="249">
        <v>7500</v>
      </c>
      <c r="F42" s="244"/>
      <c r="G42" s="249">
        <v>175</v>
      </c>
      <c r="H42" s="244"/>
      <c r="I42" s="249">
        <v>1313</v>
      </c>
      <c r="J42" s="244"/>
      <c r="K42" s="250">
        <v>12.3</v>
      </c>
      <c r="L42" s="244"/>
      <c r="M42" s="249">
        <v>16150</v>
      </c>
      <c r="N42" s="244"/>
      <c r="O42" s="244"/>
    </row>
    <row r="43" spans="1:15" ht="11.25" customHeight="1">
      <c r="A43" s="247" t="s">
        <v>314</v>
      </c>
      <c r="B43" s="247"/>
      <c r="C43" s="249">
        <v>6000</v>
      </c>
      <c r="D43" s="244"/>
      <c r="E43" s="249">
        <v>5300</v>
      </c>
      <c r="F43" s="244"/>
      <c r="G43" s="249">
        <v>150</v>
      </c>
      <c r="H43" s="244"/>
      <c r="I43" s="249">
        <v>795</v>
      </c>
      <c r="J43" s="244"/>
      <c r="K43" s="250">
        <v>27.6</v>
      </c>
      <c r="L43" s="244"/>
      <c r="M43" s="249">
        <v>21942</v>
      </c>
      <c r="N43" s="244"/>
      <c r="O43" s="244"/>
    </row>
    <row r="44" spans="1:15" ht="11.25" customHeight="1">
      <c r="A44" s="247" t="s">
        <v>316</v>
      </c>
      <c r="B44" s="247"/>
      <c r="C44" s="249">
        <v>6000</v>
      </c>
      <c r="D44" s="244"/>
      <c r="E44" s="249">
        <v>5200</v>
      </c>
      <c r="F44" s="244"/>
      <c r="G44" s="249">
        <v>145</v>
      </c>
      <c r="H44" s="244"/>
      <c r="I44" s="249">
        <v>754</v>
      </c>
      <c r="J44" s="244"/>
      <c r="K44" s="250">
        <v>12</v>
      </c>
      <c r="L44" s="244"/>
      <c r="M44" s="249">
        <v>9048</v>
      </c>
      <c r="N44" s="244"/>
      <c r="O44" s="244"/>
    </row>
    <row r="45" spans="1:15" ht="4.5" customHeight="1">
      <c r="A45" s="247"/>
      <c r="B45" s="247"/>
      <c r="C45" s="249"/>
      <c r="D45" s="244"/>
      <c r="E45" s="249"/>
      <c r="F45" s="244"/>
      <c r="G45" s="249"/>
      <c r="H45" s="244"/>
      <c r="I45" s="249"/>
      <c r="J45" s="244"/>
      <c r="K45" s="250"/>
      <c r="L45" s="244"/>
      <c r="M45" s="249"/>
      <c r="N45" s="244"/>
      <c r="O45" s="244"/>
    </row>
    <row r="46" spans="1:15" ht="11.25" customHeight="1">
      <c r="A46" s="247" t="s">
        <v>317</v>
      </c>
      <c r="B46" s="247"/>
      <c r="C46" s="249">
        <f>SUM(C39:C44)</f>
        <v>48700</v>
      </c>
      <c r="D46" s="244"/>
      <c r="E46" s="249">
        <f>SUM(E39:E44)</f>
        <v>43800</v>
      </c>
      <c r="F46" s="244"/>
      <c r="G46" s="249">
        <v>246</v>
      </c>
      <c r="H46" s="244"/>
      <c r="I46" s="249">
        <f>SUM(I39:I44)</f>
        <v>10756</v>
      </c>
      <c r="J46" s="244"/>
      <c r="K46" s="250">
        <v>9.64</v>
      </c>
      <c r="L46" s="244"/>
      <c r="M46" s="249">
        <f>SUM(M39:M44)</f>
        <v>103651</v>
      </c>
      <c r="N46" s="244"/>
      <c r="O46" s="244"/>
    </row>
    <row r="47" spans="1:15" ht="6" customHeight="1">
      <c r="A47" s="247"/>
      <c r="B47" s="247"/>
      <c r="C47" s="249"/>
      <c r="D47" s="244"/>
      <c r="E47" s="249"/>
      <c r="F47" s="244"/>
      <c r="G47" s="249"/>
      <c r="H47" s="244"/>
      <c r="I47" s="249"/>
      <c r="J47" s="244"/>
      <c r="K47" s="250"/>
      <c r="L47" s="244"/>
      <c r="M47" s="249"/>
      <c r="N47" s="244"/>
      <c r="O47" s="244"/>
    </row>
    <row r="48" spans="1:15" ht="11.25" customHeight="1">
      <c r="A48" s="248" t="s">
        <v>380</v>
      </c>
      <c r="B48" s="248"/>
      <c r="C48" s="244"/>
      <c r="D48" s="244"/>
      <c r="E48" s="244"/>
      <c r="F48" s="244"/>
      <c r="G48" s="244"/>
      <c r="H48" s="244"/>
      <c r="I48" s="244"/>
      <c r="J48" s="244"/>
      <c r="K48" s="244"/>
      <c r="L48" s="244"/>
      <c r="M48" s="244"/>
      <c r="N48" s="244"/>
      <c r="O48" s="244"/>
    </row>
    <row r="49" spans="1:15" ht="11.25" customHeight="1">
      <c r="A49" s="247" t="s">
        <v>311</v>
      </c>
      <c r="B49" s="247"/>
      <c r="C49" s="249">
        <v>14200</v>
      </c>
      <c r="D49" s="244"/>
      <c r="E49" s="249">
        <v>12700</v>
      </c>
      <c r="F49" s="244"/>
      <c r="G49" s="249">
        <v>385</v>
      </c>
      <c r="H49" s="244"/>
      <c r="I49" s="249">
        <v>4918</v>
      </c>
      <c r="J49" s="244"/>
      <c r="K49" s="250">
        <v>3.7</v>
      </c>
      <c r="L49" s="244"/>
      <c r="M49" s="249">
        <v>18185</v>
      </c>
      <c r="N49" s="244"/>
      <c r="O49" s="244"/>
    </row>
    <row r="50" spans="1:15" ht="11.25" customHeight="1">
      <c r="A50" s="247" t="s">
        <v>315</v>
      </c>
      <c r="B50" s="247"/>
      <c r="C50" s="249">
        <v>8000</v>
      </c>
      <c r="D50" s="244"/>
      <c r="E50" s="249">
        <v>6700</v>
      </c>
      <c r="F50" s="244"/>
      <c r="G50" s="249">
        <v>200</v>
      </c>
      <c r="H50" s="244"/>
      <c r="I50" s="249">
        <v>1340</v>
      </c>
      <c r="J50" s="244"/>
      <c r="K50" s="250">
        <v>16.7</v>
      </c>
      <c r="L50" s="244"/>
      <c r="M50" s="249">
        <v>22378</v>
      </c>
      <c r="N50" s="244"/>
      <c r="O50" s="244"/>
    </row>
    <row r="51" spans="1:15" ht="11.25" customHeight="1">
      <c r="A51" s="247" t="s">
        <v>312</v>
      </c>
      <c r="B51" s="247"/>
      <c r="C51" s="249">
        <v>5400</v>
      </c>
      <c r="D51" s="244"/>
      <c r="E51" s="249">
        <v>5300</v>
      </c>
      <c r="F51" s="244"/>
      <c r="G51" s="249">
        <v>250</v>
      </c>
      <c r="H51" s="244"/>
      <c r="I51" s="249">
        <v>1325</v>
      </c>
      <c r="J51" s="244"/>
      <c r="K51" s="250">
        <v>11.4</v>
      </c>
      <c r="L51" s="244"/>
      <c r="M51" s="249">
        <v>15105</v>
      </c>
      <c r="N51" s="244"/>
      <c r="O51" s="244"/>
    </row>
    <row r="52" spans="1:15" ht="11.25" customHeight="1">
      <c r="A52" s="247" t="s">
        <v>313</v>
      </c>
      <c r="B52" s="247"/>
      <c r="C52" s="249">
        <v>8000</v>
      </c>
      <c r="D52" s="244"/>
      <c r="E52" s="249">
        <v>6900</v>
      </c>
      <c r="F52" s="244"/>
      <c r="G52" s="249">
        <v>160</v>
      </c>
      <c r="H52" s="244"/>
      <c r="I52" s="249">
        <v>1104</v>
      </c>
      <c r="J52" s="244"/>
      <c r="K52" s="250">
        <v>16.6</v>
      </c>
      <c r="L52" s="244"/>
      <c r="M52" s="249">
        <v>18326</v>
      </c>
      <c r="N52" s="244"/>
      <c r="O52" s="244"/>
    </row>
    <row r="53" spans="1:15" ht="11.25" customHeight="1">
      <c r="A53" s="247" t="s">
        <v>316</v>
      </c>
      <c r="B53" s="247"/>
      <c r="C53" s="249">
        <v>6200</v>
      </c>
      <c r="D53" s="244"/>
      <c r="E53" s="249">
        <v>5700</v>
      </c>
      <c r="F53" s="244"/>
      <c r="G53" s="249">
        <v>150</v>
      </c>
      <c r="H53" s="244"/>
      <c r="I53" s="249">
        <v>855</v>
      </c>
      <c r="J53" s="244"/>
      <c r="K53" s="250">
        <v>11</v>
      </c>
      <c r="L53" s="244"/>
      <c r="M53" s="249">
        <v>9405</v>
      </c>
      <c r="N53" s="244"/>
      <c r="O53" s="244"/>
    </row>
    <row r="54" spans="1:15" ht="11.25" customHeight="1">
      <c r="A54" s="247" t="s">
        <v>314</v>
      </c>
      <c r="B54" s="247"/>
      <c r="C54" s="249">
        <v>5900</v>
      </c>
      <c r="D54" s="244"/>
      <c r="E54" s="249">
        <v>5500</v>
      </c>
      <c r="F54" s="244"/>
      <c r="G54" s="249">
        <v>145</v>
      </c>
      <c r="H54" s="244"/>
      <c r="I54" s="249">
        <v>798</v>
      </c>
      <c r="J54" s="244"/>
      <c r="K54" s="250">
        <v>23.6</v>
      </c>
      <c r="L54" s="244"/>
      <c r="M54" s="249">
        <v>18833</v>
      </c>
      <c r="N54" s="244"/>
      <c r="O54" s="244"/>
    </row>
    <row r="55" spans="1:15" ht="6" customHeight="1">
      <c r="A55" s="247"/>
      <c r="B55" s="247"/>
      <c r="C55" s="249"/>
      <c r="D55" s="244"/>
      <c r="E55" s="249"/>
      <c r="F55" s="244"/>
      <c r="G55" s="249"/>
      <c r="H55" s="244"/>
      <c r="I55" s="249"/>
      <c r="J55" s="244"/>
      <c r="K55" s="250"/>
      <c r="L55" s="244"/>
      <c r="M55" s="249"/>
      <c r="N55" s="244"/>
      <c r="O55" s="244"/>
    </row>
    <row r="56" spans="1:15" ht="11.25" customHeight="1">
      <c r="A56" s="247" t="s">
        <v>317</v>
      </c>
      <c r="B56" s="247"/>
      <c r="C56" s="249">
        <f>SUM(C49:C54)</f>
        <v>47700</v>
      </c>
      <c r="D56" s="244"/>
      <c r="E56" s="249">
        <f>SUM(E49:E54)</f>
        <v>42800</v>
      </c>
      <c r="F56" s="244"/>
      <c r="G56" s="249">
        <v>242</v>
      </c>
      <c r="H56" s="244"/>
      <c r="I56" s="249">
        <f>SUM(I49:I54)</f>
        <v>10340</v>
      </c>
      <c r="J56" s="244"/>
      <c r="K56" s="250">
        <v>9.89</v>
      </c>
      <c r="L56" s="244"/>
      <c r="M56" s="249">
        <f>SUM(M49:M54)</f>
        <v>102232</v>
      </c>
      <c r="N56" s="244"/>
      <c r="O56" s="244"/>
    </row>
    <row r="57" spans="1:15" ht="6.75" customHeight="1">
      <c r="A57" s="247"/>
      <c r="B57" s="247"/>
      <c r="C57" s="249"/>
      <c r="D57" s="244"/>
      <c r="E57" s="249"/>
      <c r="F57" s="244"/>
      <c r="G57" s="249"/>
      <c r="H57" s="244"/>
      <c r="I57" s="249"/>
      <c r="J57" s="244"/>
      <c r="K57" s="250"/>
      <c r="L57" s="244"/>
      <c r="M57" s="249"/>
      <c r="N57" s="244"/>
      <c r="O57" s="244"/>
    </row>
    <row r="58" spans="1:15" ht="11.25" customHeight="1">
      <c r="A58" s="248" t="s">
        <v>424</v>
      </c>
      <c r="B58" s="248"/>
      <c r="C58" s="244"/>
      <c r="D58" s="244"/>
      <c r="E58" s="244"/>
      <c r="F58" s="244"/>
      <c r="G58" s="244"/>
      <c r="H58" s="244"/>
      <c r="I58" s="244"/>
      <c r="J58" s="244"/>
      <c r="K58" s="244"/>
      <c r="L58" s="244"/>
      <c r="M58" s="244"/>
      <c r="N58" s="244"/>
      <c r="O58" s="244"/>
    </row>
    <row r="59" spans="1:15" ht="11.25" customHeight="1">
      <c r="A59" s="247" t="s">
        <v>311</v>
      </c>
      <c r="B59" s="247"/>
      <c r="C59" s="249">
        <v>14800</v>
      </c>
      <c r="D59" s="244"/>
      <c r="E59" s="249">
        <v>13800</v>
      </c>
      <c r="F59" s="244"/>
      <c r="G59" s="249">
        <v>395</v>
      </c>
      <c r="H59" s="244"/>
      <c r="I59" s="249">
        <v>5420</v>
      </c>
      <c r="J59" s="244"/>
      <c r="K59" s="250">
        <v>4.32</v>
      </c>
      <c r="L59" s="244"/>
      <c r="M59" s="249">
        <v>23430</v>
      </c>
      <c r="N59" s="244"/>
      <c r="O59" s="244"/>
    </row>
    <row r="60" spans="1:15" ht="11.25" customHeight="1">
      <c r="A60" s="247" t="s">
        <v>315</v>
      </c>
      <c r="B60" s="247"/>
      <c r="C60" s="249">
        <v>7200</v>
      </c>
      <c r="D60" s="244"/>
      <c r="E60" s="249">
        <v>6600</v>
      </c>
      <c r="F60" s="244"/>
      <c r="G60" s="249">
        <v>305</v>
      </c>
      <c r="H60" s="244"/>
      <c r="I60" s="249">
        <v>2013</v>
      </c>
      <c r="J60" s="244"/>
      <c r="K60" s="250">
        <v>16.7</v>
      </c>
      <c r="L60" s="244"/>
      <c r="M60" s="249">
        <v>33617</v>
      </c>
      <c r="N60" s="244"/>
      <c r="O60" s="244"/>
    </row>
    <row r="61" spans="1:15" ht="11.25" customHeight="1">
      <c r="A61" s="247" t="s">
        <v>312</v>
      </c>
      <c r="B61" s="247"/>
      <c r="C61" s="249">
        <v>5400</v>
      </c>
      <c r="D61" s="244"/>
      <c r="E61" s="249">
        <v>5300</v>
      </c>
      <c r="F61" s="244"/>
      <c r="G61" s="249">
        <v>240</v>
      </c>
      <c r="H61" s="244"/>
      <c r="I61" s="249">
        <v>1272</v>
      </c>
      <c r="J61" s="244"/>
      <c r="K61" s="250">
        <v>10.5</v>
      </c>
      <c r="L61" s="244"/>
      <c r="M61" s="249">
        <v>13356</v>
      </c>
      <c r="N61" s="244"/>
      <c r="O61" s="244"/>
    </row>
    <row r="62" spans="1:15" ht="11.25" customHeight="1">
      <c r="A62" s="247" t="s">
        <v>314</v>
      </c>
      <c r="B62" s="247"/>
      <c r="C62" s="249">
        <v>7000</v>
      </c>
      <c r="D62" s="244"/>
      <c r="E62" s="249">
        <v>6400</v>
      </c>
      <c r="F62" s="244"/>
      <c r="G62" s="249">
        <v>180</v>
      </c>
      <c r="H62" s="244"/>
      <c r="I62" s="249">
        <v>1152</v>
      </c>
      <c r="J62" s="244"/>
      <c r="K62" s="250">
        <v>19.7</v>
      </c>
      <c r="L62" s="244"/>
      <c r="M62" s="249">
        <v>22694</v>
      </c>
      <c r="N62" s="244"/>
      <c r="O62" s="244"/>
    </row>
    <row r="63" spans="1:15" ht="11.25" customHeight="1">
      <c r="A63" s="247" t="s">
        <v>313</v>
      </c>
      <c r="B63" s="247"/>
      <c r="C63" s="249">
        <v>7000</v>
      </c>
      <c r="D63" s="244"/>
      <c r="E63" s="249">
        <v>6100</v>
      </c>
      <c r="F63" s="244"/>
      <c r="G63" s="249">
        <v>120</v>
      </c>
      <c r="H63" s="244"/>
      <c r="I63" s="249">
        <v>732</v>
      </c>
      <c r="J63" s="244"/>
      <c r="K63" s="250">
        <v>23.9</v>
      </c>
      <c r="L63" s="244"/>
      <c r="M63" s="249">
        <v>17495</v>
      </c>
      <c r="N63" s="244"/>
      <c r="O63" s="244"/>
    </row>
    <row r="64" spans="1:15" ht="11.25" customHeight="1">
      <c r="A64" s="247" t="s">
        <v>316</v>
      </c>
      <c r="B64" s="247"/>
      <c r="C64" s="249">
        <v>5700</v>
      </c>
      <c r="D64" s="244"/>
      <c r="E64" s="249">
        <v>5000</v>
      </c>
      <c r="F64" s="244"/>
      <c r="G64" s="249">
        <v>115</v>
      </c>
      <c r="H64" s="244"/>
      <c r="I64" s="249">
        <v>575</v>
      </c>
      <c r="J64" s="244"/>
      <c r="K64" s="250">
        <v>12</v>
      </c>
      <c r="L64" s="244"/>
      <c r="M64" s="249">
        <v>6900</v>
      </c>
      <c r="N64" s="244"/>
      <c r="O64" s="244"/>
    </row>
    <row r="65" spans="1:15" ht="4.5" customHeight="1">
      <c r="A65" s="247"/>
      <c r="B65" s="247"/>
      <c r="C65" s="249"/>
      <c r="D65" s="244"/>
      <c r="E65" s="249"/>
      <c r="F65" s="244"/>
      <c r="G65" s="249"/>
      <c r="H65" s="244"/>
      <c r="I65" s="249"/>
      <c r="J65" s="244"/>
      <c r="K65" s="250"/>
      <c r="L65" s="244"/>
      <c r="M65" s="249"/>
      <c r="N65" s="244"/>
      <c r="O65" s="244"/>
    </row>
    <row r="66" spans="1:15" ht="11.25" customHeight="1">
      <c r="A66" s="247" t="s">
        <v>317</v>
      </c>
      <c r="B66" s="247"/>
      <c r="C66" s="249">
        <f>SUM(C59:C64)</f>
        <v>47100</v>
      </c>
      <c r="D66" s="244"/>
      <c r="E66" s="249">
        <f>SUM(E59:E64)</f>
        <v>43200</v>
      </c>
      <c r="F66" s="244"/>
      <c r="G66" s="249">
        <v>258</v>
      </c>
      <c r="H66" s="244"/>
      <c r="I66" s="249">
        <f>SUM(I59:I64)</f>
        <v>11164</v>
      </c>
      <c r="J66" s="244"/>
      <c r="K66" s="250">
        <v>10.5</v>
      </c>
      <c r="L66" s="244"/>
      <c r="M66" s="249">
        <f>SUM(M59:M64)</f>
        <v>117492</v>
      </c>
      <c r="N66" s="244"/>
      <c r="O66" s="244"/>
    </row>
    <row r="67" spans="1:15" ht="5.25" customHeight="1">
      <c r="A67" s="247"/>
      <c r="B67" s="247"/>
      <c r="C67" s="249"/>
      <c r="D67" s="244"/>
      <c r="E67" s="249"/>
      <c r="F67" s="244"/>
      <c r="G67" s="249"/>
      <c r="H67" s="244"/>
      <c r="I67" s="249"/>
      <c r="J67" s="244"/>
      <c r="K67" s="250"/>
      <c r="L67" s="244"/>
      <c r="M67" s="249"/>
      <c r="N67" s="244"/>
      <c r="O67" s="244"/>
    </row>
    <row r="68" spans="1:15" ht="12.75">
      <c r="A68" s="248" t="s">
        <v>425</v>
      </c>
      <c r="B68" s="248"/>
      <c r="C68" s="249"/>
      <c r="D68" s="244"/>
      <c r="E68" s="249"/>
      <c r="F68" s="244"/>
      <c r="G68" s="249"/>
      <c r="H68" s="244"/>
      <c r="I68" s="249"/>
      <c r="J68" s="244"/>
      <c r="K68" s="250"/>
      <c r="L68" s="244"/>
      <c r="M68" s="249"/>
      <c r="N68" s="244"/>
      <c r="O68" s="244"/>
    </row>
    <row r="69" spans="1:15" ht="10.5" customHeight="1">
      <c r="A69" s="247" t="s">
        <v>311</v>
      </c>
      <c r="B69" s="247"/>
      <c r="C69" s="249">
        <f>AVERAGE(C39,C49,C59)</f>
        <v>14533.333333333334</v>
      </c>
      <c r="D69" s="244"/>
      <c r="E69" s="249">
        <f>AVERAGE(E39,E49,E59)</f>
        <v>13133.333333333334</v>
      </c>
      <c r="F69" s="244"/>
      <c r="G69" s="249">
        <f aca="true" t="shared" si="0" ref="G69:G74">+I69/E69*1000</f>
        <v>388.4517766497462</v>
      </c>
      <c r="H69" s="244"/>
      <c r="I69" s="249">
        <f>AVERAGE(I39,I49,I59)</f>
        <v>5101.666666666667</v>
      </c>
      <c r="J69" s="244"/>
      <c r="K69" s="250">
        <f aca="true" t="shared" si="1" ref="K69:K74">+M69/I69</f>
        <v>3.7676576282260696</v>
      </c>
      <c r="L69" s="244"/>
      <c r="M69" s="249">
        <f>AVERAGE(M39,M49,M59)</f>
        <v>19221.333333333332</v>
      </c>
      <c r="N69" s="244"/>
      <c r="O69" s="244"/>
    </row>
    <row r="70" spans="1:15" ht="10.5" customHeight="1">
      <c r="A70" s="247" t="s">
        <v>315</v>
      </c>
      <c r="B70" s="247"/>
      <c r="C70" s="249">
        <f>AVERAGE(C41,C50,C60)</f>
        <v>7700</v>
      </c>
      <c r="D70" s="244"/>
      <c r="E70" s="249">
        <f>AVERAGE(E41,E50,E60)</f>
        <v>6900</v>
      </c>
      <c r="F70" s="244"/>
      <c r="G70" s="249">
        <f t="shared" si="0"/>
        <v>226.32850241545896</v>
      </c>
      <c r="H70" s="244"/>
      <c r="I70" s="249">
        <f>AVERAGE(I41,I50,I60)</f>
        <v>1561.6666666666667</v>
      </c>
      <c r="J70" s="244"/>
      <c r="K70" s="250">
        <f t="shared" si="1"/>
        <v>17.524439701173957</v>
      </c>
      <c r="L70" s="244"/>
      <c r="M70" s="249">
        <f>AVERAGE(M41,M50,M60)</f>
        <v>27367.333333333332</v>
      </c>
      <c r="N70" s="244"/>
      <c r="O70" s="244"/>
    </row>
    <row r="71" spans="1:15" ht="10.5" customHeight="1">
      <c r="A71" s="247" t="s">
        <v>312</v>
      </c>
      <c r="B71" s="247"/>
      <c r="C71" s="249">
        <f>AVERAGE(C40,C51,C61)</f>
        <v>5433.333333333333</v>
      </c>
      <c r="D71" s="244"/>
      <c r="E71" s="249">
        <f>AVERAGE(E40,E51,E61)</f>
        <v>5366.666666666667</v>
      </c>
      <c r="F71" s="244"/>
      <c r="G71" s="249">
        <f t="shared" si="0"/>
        <v>260.3726708074534</v>
      </c>
      <c r="H71" s="244"/>
      <c r="I71" s="249">
        <f>AVERAGE(I40,I51,I61)</f>
        <v>1397.3333333333333</v>
      </c>
      <c r="J71" s="244"/>
      <c r="K71" s="250">
        <f t="shared" si="1"/>
        <v>10.213740458015268</v>
      </c>
      <c r="L71" s="244"/>
      <c r="M71" s="249">
        <f>AVERAGE(M40,M51,M61)</f>
        <v>14272</v>
      </c>
      <c r="N71" s="244"/>
      <c r="O71" s="244"/>
    </row>
    <row r="72" spans="1:15" ht="10.5" customHeight="1">
      <c r="A72" s="247" t="s">
        <v>313</v>
      </c>
      <c r="B72" s="247"/>
      <c r="C72" s="249">
        <f>AVERAGE(C42,C52,C63)</f>
        <v>7900</v>
      </c>
      <c r="D72" s="244"/>
      <c r="E72" s="249">
        <f>AVERAGE(E42,E52,E63)</f>
        <v>6833.333333333333</v>
      </c>
      <c r="F72" s="244"/>
      <c r="G72" s="249">
        <f t="shared" si="0"/>
        <v>153.609756097561</v>
      </c>
      <c r="H72" s="244"/>
      <c r="I72" s="249">
        <f>AVERAGE(I42,I52,I63)</f>
        <v>1049.6666666666667</v>
      </c>
      <c r="J72" s="244"/>
      <c r="K72" s="250">
        <f t="shared" si="1"/>
        <v>16.50396951413147</v>
      </c>
      <c r="L72" s="244"/>
      <c r="M72" s="249">
        <f>AVERAGE(M42,M52,M63)</f>
        <v>17323.666666666668</v>
      </c>
      <c r="N72" s="244"/>
      <c r="O72" s="244"/>
    </row>
    <row r="73" spans="1:15" ht="10.5" customHeight="1">
      <c r="A73" s="247" t="s">
        <v>314</v>
      </c>
      <c r="B73" s="247"/>
      <c r="C73" s="249">
        <f>AVERAGE(C43,C54,C62)</f>
        <v>6300</v>
      </c>
      <c r="D73" s="244"/>
      <c r="E73" s="249">
        <f>AVERAGE(E43,E54,E62)</f>
        <v>5733.333333333333</v>
      </c>
      <c r="F73" s="244"/>
      <c r="G73" s="249">
        <f t="shared" si="0"/>
        <v>159.59302325581396</v>
      </c>
      <c r="H73" s="244"/>
      <c r="I73" s="249">
        <f>AVERAGE(I43,I54,I62)</f>
        <v>915</v>
      </c>
      <c r="J73" s="244"/>
      <c r="K73" s="250">
        <f t="shared" si="1"/>
        <v>23.12167577413479</v>
      </c>
      <c r="L73" s="244"/>
      <c r="M73" s="249">
        <f>AVERAGE(M43,M54,M62)</f>
        <v>21156.333333333332</v>
      </c>
      <c r="N73" s="244"/>
      <c r="O73" s="244"/>
    </row>
    <row r="74" spans="1:15" ht="10.5" customHeight="1">
      <c r="A74" s="247" t="s">
        <v>316</v>
      </c>
      <c r="B74" s="247"/>
      <c r="C74" s="249">
        <f>AVERAGE(C44,C53,C64)</f>
        <v>5966.666666666667</v>
      </c>
      <c r="D74" s="244"/>
      <c r="E74" s="249">
        <f>AVERAGE(E44,E53,E64)</f>
        <v>5300</v>
      </c>
      <c r="F74" s="244"/>
      <c r="G74" s="249">
        <f t="shared" si="0"/>
        <v>137.35849056603774</v>
      </c>
      <c r="H74" s="244"/>
      <c r="I74" s="249">
        <f>AVERAGE(I44,I53,I64)</f>
        <v>728</v>
      </c>
      <c r="J74" s="244"/>
      <c r="K74" s="250">
        <f t="shared" si="1"/>
        <v>11.608516483516484</v>
      </c>
      <c r="L74" s="244"/>
      <c r="M74" s="249">
        <f>AVERAGE(M44,M53,M64)</f>
        <v>8451</v>
      </c>
      <c r="N74" s="244"/>
      <c r="O74" s="244"/>
    </row>
    <row r="75" spans="1:15" ht="6" customHeight="1">
      <c r="A75" s="247"/>
      <c r="B75" s="247"/>
      <c r="C75" s="249"/>
      <c r="D75" s="244"/>
      <c r="E75" s="249"/>
      <c r="F75" s="244"/>
      <c r="G75" s="249"/>
      <c r="H75" s="244"/>
      <c r="I75" s="249"/>
      <c r="J75" s="244"/>
      <c r="K75" s="250"/>
      <c r="L75" s="244"/>
      <c r="M75" s="249"/>
      <c r="N75" s="244"/>
      <c r="O75" s="244"/>
    </row>
    <row r="76" spans="1:15" ht="10.5" customHeight="1">
      <c r="A76" s="247" t="s">
        <v>317</v>
      </c>
      <c r="B76" s="247"/>
      <c r="C76" s="249">
        <f>SUM(C69:C74)</f>
        <v>47833.333333333336</v>
      </c>
      <c r="D76" s="244"/>
      <c r="E76" s="249">
        <f>SUM(E69:E74)</f>
        <v>43266.66666666667</v>
      </c>
      <c r="F76" s="244"/>
      <c r="G76" s="249">
        <f>+I76/E76*1000</f>
        <v>248.5362095531587</v>
      </c>
      <c r="H76" s="244"/>
      <c r="I76" s="249">
        <f>SUM(I69:I74)</f>
        <v>10753.333333333334</v>
      </c>
      <c r="J76" s="244"/>
      <c r="K76" s="250">
        <f>+M76/I76</f>
        <v>10.024023558586483</v>
      </c>
      <c r="L76" s="244"/>
      <c r="M76" s="249">
        <f>SUM(M69:M74)</f>
        <v>107791.66666666666</v>
      </c>
      <c r="N76" s="244"/>
      <c r="O76" s="244"/>
    </row>
    <row r="77" spans="1:15" ht="4.5" customHeight="1">
      <c r="A77" s="244"/>
      <c r="B77" s="244"/>
      <c r="C77" s="244"/>
      <c r="D77" s="244"/>
      <c r="E77" s="244"/>
      <c r="F77" s="244"/>
      <c r="G77" s="244"/>
      <c r="H77" s="244"/>
      <c r="I77" s="244"/>
      <c r="J77" s="244"/>
      <c r="K77" s="244"/>
      <c r="L77" s="244"/>
      <c r="M77" s="244"/>
      <c r="N77" s="244"/>
      <c r="O77" s="244"/>
    </row>
    <row r="78" spans="1:15" ht="3.75" customHeight="1">
      <c r="A78" s="251"/>
      <c r="B78" s="251"/>
      <c r="C78" s="246"/>
      <c r="D78" s="246"/>
      <c r="E78" s="246"/>
      <c r="F78" s="246"/>
      <c r="G78" s="246"/>
      <c r="H78" s="246"/>
      <c r="I78" s="246"/>
      <c r="J78" s="246"/>
      <c r="K78" s="246"/>
      <c r="L78" s="246"/>
      <c r="M78" s="246"/>
      <c r="N78" s="246"/>
      <c r="O78" s="244"/>
    </row>
    <row r="79" spans="1:15" ht="12.75">
      <c r="A79" s="416" t="s">
        <v>320</v>
      </c>
      <c r="B79" s="247"/>
      <c r="C79" s="244"/>
      <c r="D79" s="244"/>
      <c r="E79" s="244"/>
      <c r="F79" s="244"/>
      <c r="G79" s="244"/>
      <c r="H79" s="244"/>
      <c r="I79" s="244"/>
      <c r="J79" s="244"/>
      <c r="K79" s="244"/>
      <c r="L79" s="244"/>
      <c r="M79" s="244"/>
      <c r="N79" s="244"/>
      <c r="O79" s="244"/>
    </row>
    <row r="80" spans="1:15" ht="6.75" customHeight="1">
      <c r="A80" s="417"/>
      <c r="C80" s="244"/>
      <c r="D80" s="244"/>
      <c r="E80" s="244"/>
      <c r="F80" s="244"/>
      <c r="G80" s="244"/>
      <c r="H80" s="244"/>
      <c r="I80" s="244"/>
      <c r="J80" s="244"/>
      <c r="K80" s="244"/>
      <c r="L80" s="244"/>
      <c r="M80" s="244"/>
      <c r="N80" s="244"/>
      <c r="O80" s="244"/>
    </row>
    <row r="81" spans="1:15" ht="12.75">
      <c r="A81" s="416" t="s">
        <v>356</v>
      </c>
      <c r="B81" s="247"/>
      <c r="C81" s="244"/>
      <c r="D81" s="244"/>
      <c r="E81" s="244"/>
      <c r="F81" s="244"/>
      <c r="G81" s="244"/>
      <c r="H81" s="244"/>
      <c r="I81" s="244"/>
      <c r="J81" s="244"/>
      <c r="K81" s="244"/>
      <c r="L81" s="244"/>
      <c r="M81" s="244"/>
      <c r="N81" s="244"/>
      <c r="O81" s="244"/>
    </row>
    <row r="82" ht="12.75">
      <c r="A82" s="417"/>
    </row>
  </sheetData>
  <printOptions horizontalCentered="1"/>
  <pageMargins left="0.167" right="0.167" top="0.52" bottom="0.75" header="0" footer="0.28"/>
  <pageSetup fitToHeight="1" fitToWidth="1" horizontalDpi="600" verticalDpi="600" orientation="portrait" scale="90" r:id="rId1"/>
  <headerFooter alignWithMargins="0">
    <oddFooter>&amp;C&amp;"Arial,Italic"&amp;9Vegetables and Melons Outlook&amp;"Arial,Regular"/VGS-330/December 16, 2008
Economic Research Service, USDA</oddFooter>
  </headerFooter>
</worksheet>
</file>

<file path=xl/worksheets/sheet21.xml><?xml version="1.0" encoding="utf-8"?>
<worksheet xmlns="http://schemas.openxmlformats.org/spreadsheetml/2006/main" xmlns:r="http://schemas.openxmlformats.org/officeDocument/2006/relationships">
  <sheetPr>
    <tabColor indexed="52"/>
    <pageSetUpPr fitToPage="1"/>
  </sheetPr>
  <dimension ref="A2:O77"/>
  <sheetViews>
    <sheetView showGridLines="0" workbookViewId="0" topLeftCell="A2">
      <selection activeCell="A1" sqref="A1"/>
    </sheetView>
  </sheetViews>
  <sheetFormatPr defaultColWidth="9.140625" defaultRowHeight="12.75"/>
  <cols>
    <col min="1" max="1" width="13.00390625" style="0" customWidth="1"/>
    <col min="2" max="2" width="3.421875" style="0" customWidth="1"/>
    <col min="3" max="3" width="7.421875" style="0" customWidth="1"/>
    <col min="4" max="4" width="3.57421875" style="0" customWidth="1"/>
    <col min="5" max="5" width="7.7109375" style="0" customWidth="1"/>
    <col min="6" max="6" width="3.57421875" style="0" customWidth="1"/>
    <col min="7" max="7" width="7.00390625" style="0" customWidth="1"/>
    <col min="8" max="8" width="3.28125" style="0" customWidth="1"/>
    <col min="9" max="9" width="7.8515625" style="0" customWidth="1"/>
    <col min="10" max="10" width="3.8515625" style="0" customWidth="1"/>
    <col min="11" max="11" width="8.00390625" style="0" customWidth="1"/>
    <col min="12" max="12" width="4.140625" style="0" customWidth="1"/>
    <col min="13" max="13" width="7.8515625" style="0" customWidth="1"/>
    <col min="14" max="14" width="3.140625" style="0" customWidth="1"/>
  </cols>
  <sheetData>
    <row r="2" spans="1:15" ht="12.75">
      <c r="A2" s="244"/>
      <c r="B2" s="244"/>
      <c r="C2" s="244"/>
      <c r="D2" s="244"/>
      <c r="E2" s="244"/>
      <c r="F2" s="244"/>
      <c r="G2" s="244"/>
      <c r="H2" s="244"/>
      <c r="I2" s="244"/>
      <c r="J2" s="244"/>
      <c r="K2" s="244"/>
      <c r="L2" s="244"/>
      <c r="M2" s="244"/>
      <c r="N2" s="244"/>
      <c r="O2" s="244"/>
    </row>
    <row r="3" spans="1:15" ht="12.75">
      <c r="A3" s="245" t="s">
        <v>572</v>
      </c>
      <c r="B3" s="245"/>
      <c r="C3" s="244"/>
      <c r="D3" s="244"/>
      <c r="E3" s="244"/>
      <c r="F3" s="244"/>
      <c r="G3" s="244"/>
      <c r="H3" s="244"/>
      <c r="I3" s="244"/>
      <c r="J3" s="244"/>
      <c r="K3" s="244"/>
      <c r="L3" s="244"/>
      <c r="M3" s="244"/>
      <c r="N3" s="244"/>
      <c r="O3" s="244"/>
    </row>
    <row r="4" spans="1:15" ht="4.5" customHeight="1">
      <c r="A4" s="398"/>
      <c r="B4" s="398"/>
      <c r="C4" s="398"/>
      <c r="D4" s="398"/>
      <c r="E4" s="398"/>
      <c r="F4" s="398"/>
      <c r="G4" s="398"/>
      <c r="H4" s="398"/>
      <c r="I4" s="398"/>
      <c r="J4" s="398"/>
      <c r="K4" s="398"/>
      <c r="L4" s="398"/>
      <c r="M4" s="398"/>
      <c r="N4" s="398"/>
      <c r="O4" s="244"/>
    </row>
    <row r="5" spans="1:15" ht="12.75">
      <c r="A5" s="399" t="s">
        <v>300</v>
      </c>
      <c r="B5" s="399"/>
      <c r="C5" s="400" t="s">
        <v>392</v>
      </c>
      <c r="D5" s="401"/>
      <c r="E5" s="401"/>
      <c r="F5" s="402"/>
      <c r="G5" s="402"/>
      <c r="H5" s="402"/>
      <c r="I5" s="399" t="s">
        <v>302</v>
      </c>
      <c r="J5" s="402"/>
      <c r="K5" s="399" t="s">
        <v>303</v>
      </c>
      <c r="L5" s="402"/>
      <c r="M5" s="399" t="s">
        <v>304</v>
      </c>
      <c r="N5" s="402"/>
      <c r="O5" s="244"/>
    </row>
    <row r="6" spans="1:15" ht="12.75">
      <c r="A6" s="400" t="s">
        <v>96</v>
      </c>
      <c r="B6" s="400"/>
      <c r="C6" s="400" t="s">
        <v>321</v>
      </c>
      <c r="D6" s="401"/>
      <c r="E6" s="401" t="s">
        <v>305</v>
      </c>
      <c r="F6" s="401"/>
      <c r="G6" s="400" t="s">
        <v>306</v>
      </c>
      <c r="H6" s="401"/>
      <c r="I6" s="400" t="s">
        <v>307</v>
      </c>
      <c r="J6" s="401"/>
      <c r="K6" s="400" t="s">
        <v>308</v>
      </c>
      <c r="L6" s="401"/>
      <c r="M6" s="400" t="s">
        <v>309</v>
      </c>
      <c r="N6" s="401"/>
      <c r="O6" s="244"/>
    </row>
    <row r="7" spans="1:15" ht="14.25" customHeight="1">
      <c r="A7" s="474"/>
      <c r="B7" s="474"/>
      <c r="C7" s="474"/>
      <c r="D7" s="474" t="s">
        <v>387</v>
      </c>
      <c r="E7" s="474"/>
      <c r="F7" s="474"/>
      <c r="G7" s="475" t="s">
        <v>393</v>
      </c>
      <c r="H7" s="474"/>
      <c r="I7" s="475" t="s">
        <v>394</v>
      </c>
      <c r="J7" s="474"/>
      <c r="K7" s="475" t="s">
        <v>396</v>
      </c>
      <c r="L7" s="474"/>
      <c r="M7" s="475" t="s">
        <v>395</v>
      </c>
      <c r="N7" s="474"/>
      <c r="O7" s="244"/>
    </row>
    <row r="8" spans="1:15" ht="12.75">
      <c r="A8" s="248" t="s">
        <v>310</v>
      </c>
      <c r="B8" s="248"/>
      <c r="C8" s="244"/>
      <c r="D8" s="244"/>
      <c r="E8" s="244"/>
      <c r="F8" s="244"/>
      <c r="G8" s="244"/>
      <c r="H8" s="244"/>
      <c r="I8" s="244"/>
      <c r="J8" s="244"/>
      <c r="K8" s="244"/>
      <c r="L8" s="244"/>
      <c r="M8" s="244"/>
      <c r="N8" s="244"/>
      <c r="O8" s="244"/>
    </row>
    <row r="9" spans="1:15" ht="10.5" customHeight="1">
      <c r="A9" s="247" t="s">
        <v>312</v>
      </c>
      <c r="B9" s="247"/>
      <c r="C9" s="249">
        <v>21000</v>
      </c>
      <c r="D9" s="244"/>
      <c r="E9" s="249">
        <v>21000</v>
      </c>
      <c r="F9" s="244"/>
      <c r="G9" s="249">
        <v>155</v>
      </c>
      <c r="H9" s="244"/>
      <c r="I9" s="249">
        <v>3255</v>
      </c>
      <c r="J9" s="244"/>
      <c r="K9" s="250">
        <v>34.6</v>
      </c>
      <c r="L9" s="244"/>
      <c r="M9" s="249">
        <v>112623</v>
      </c>
      <c r="N9" s="244"/>
      <c r="O9" s="244"/>
    </row>
    <row r="10" spans="1:15" ht="10.5" customHeight="1">
      <c r="A10" s="247" t="s">
        <v>357</v>
      </c>
      <c r="B10" s="247"/>
      <c r="C10" s="249">
        <v>4200</v>
      </c>
      <c r="D10" s="244"/>
      <c r="E10" s="249">
        <v>4200</v>
      </c>
      <c r="F10" s="244"/>
      <c r="G10" s="249">
        <v>170</v>
      </c>
      <c r="H10" s="244"/>
      <c r="I10" s="249">
        <v>714</v>
      </c>
      <c r="J10" s="244"/>
      <c r="K10" s="250">
        <v>30.7</v>
      </c>
      <c r="L10" s="244"/>
      <c r="M10" s="249">
        <v>21920</v>
      </c>
      <c r="N10" s="244"/>
      <c r="O10" s="244"/>
    </row>
    <row r="11" spans="1:15" ht="10.5" customHeight="1">
      <c r="A11" s="247" t="s">
        <v>358</v>
      </c>
      <c r="B11" s="247"/>
      <c r="C11" s="249">
        <v>1700</v>
      </c>
      <c r="D11" s="244"/>
      <c r="E11" s="249">
        <v>1600</v>
      </c>
      <c r="F11" s="244"/>
      <c r="G11" s="249">
        <v>98</v>
      </c>
      <c r="H11" s="244"/>
      <c r="I11" s="249">
        <v>157</v>
      </c>
      <c r="J11" s="244"/>
      <c r="K11" s="250">
        <v>35.7</v>
      </c>
      <c r="L11" s="244"/>
      <c r="M11" s="249">
        <v>5605</v>
      </c>
      <c r="N11" s="244"/>
      <c r="O11" s="244"/>
    </row>
    <row r="12" spans="1:15" ht="10.5" customHeight="1">
      <c r="A12" s="247" t="s">
        <v>359</v>
      </c>
      <c r="B12" s="247"/>
      <c r="C12" s="249">
        <v>2600</v>
      </c>
      <c r="D12" s="244"/>
      <c r="E12" s="249">
        <v>2200</v>
      </c>
      <c r="F12" s="244"/>
      <c r="G12" s="249">
        <v>110</v>
      </c>
      <c r="H12" s="244"/>
      <c r="I12" s="249">
        <v>242</v>
      </c>
      <c r="J12" s="244"/>
      <c r="K12" s="250">
        <v>46</v>
      </c>
      <c r="L12" s="244"/>
      <c r="M12" s="249">
        <v>11132</v>
      </c>
      <c r="N12" s="244"/>
      <c r="O12" s="244"/>
    </row>
    <row r="13" spans="1:15" ht="10.5" customHeight="1">
      <c r="A13" s="247" t="s">
        <v>360</v>
      </c>
      <c r="B13" s="247"/>
      <c r="C13" s="249">
        <v>1900</v>
      </c>
      <c r="D13" s="244"/>
      <c r="E13" s="249">
        <v>1800</v>
      </c>
      <c r="F13" s="244"/>
      <c r="G13" s="249">
        <v>120</v>
      </c>
      <c r="H13" s="244"/>
      <c r="I13" s="249">
        <v>216</v>
      </c>
      <c r="J13" s="244"/>
      <c r="K13" s="250">
        <v>27.2</v>
      </c>
      <c r="L13" s="244"/>
      <c r="M13" s="249">
        <v>5875</v>
      </c>
      <c r="N13" s="244"/>
      <c r="O13" s="244"/>
    </row>
    <row r="14" spans="1:15" ht="10.5" customHeight="1">
      <c r="A14" s="247" t="s">
        <v>361</v>
      </c>
      <c r="B14" s="247"/>
      <c r="C14" s="249">
        <v>1000</v>
      </c>
      <c r="D14" s="244"/>
      <c r="E14" s="249">
        <v>900</v>
      </c>
      <c r="F14" s="244"/>
      <c r="G14" s="249">
        <v>45</v>
      </c>
      <c r="H14" s="244"/>
      <c r="I14" s="249">
        <v>41</v>
      </c>
      <c r="J14" s="244"/>
      <c r="K14" s="250">
        <v>30</v>
      </c>
      <c r="L14" s="244"/>
      <c r="M14" s="249">
        <v>1230</v>
      </c>
      <c r="N14" s="244"/>
      <c r="O14" s="244"/>
    </row>
    <row r="15" spans="1:15" ht="5.25" customHeight="1">
      <c r="A15" s="247"/>
      <c r="B15" s="247"/>
      <c r="C15" s="249"/>
      <c r="D15" s="244"/>
      <c r="E15" s="249"/>
      <c r="F15" s="244"/>
      <c r="G15" s="249"/>
      <c r="H15" s="244"/>
      <c r="I15" s="249"/>
      <c r="J15" s="244"/>
      <c r="K15" s="250"/>
      <c r="L15" s="244"/>
      <c r="M15" s="249"/>
      <c r="N15" s="244"/>
      <c r="O15" s="244"/>
    </row>
    <row r="16" spans="1:15" ht="12.75">
      <c r="A16" s="247" t="s">
        <v>317</v>
      </c>
      <c r="B16" s="247"/>
      <c r="C16" s="249">
        <f>SUM(C9:C14)</f>
        <v>32400</v>
      </c>
      <c r="D16" s="244"/>
      <c r="E16" s="249">
        <f>SUM(E9:E14)</f>
        <v>31700</v>
      </c>
      <c r="F16" s="244"/>
      <c r="G16" s="249">
        <v>146</v>
      </c>
      <c r="H16" s="244"/>
      <c r="I16" s="249">
        <f>SUM(I9:I14)</f>
        <v>4625</v>
      </c>
      <c r="J16" s="244"/>
      <c r="K16" s="250">
        <v>34.2</v>
      </c>
      <c r="L16" s="244"/>
      <c r="M16" s="249">
        <f>SUM(M9:M14)</f>
        <v>158385</v>
      </c>
      <c r="N16" s="244"/>
      <c r="O16" s="244"/>
    </row>
    <row r="17" spans="1:15" ht="5.25" customHeight="1">
      <c r="A17" s="244"/>
      <c r="B17" s="244"/>
      <c r="C17" s="244"/>
      <c r="D17" s="244"/>
      <c r="E17" s="244"/>
      <c r="F17" s="244"/>
      <c r="G17" s="244"/>
      <c r="H17" s="244"/>
      <c r="I17" s="244"/>
      <c r="J17" s="244"/>
      <c r="K17" s="244"/>
      <c r="L17" s="244"/>
      <c r="M17" s="244"/>
      <c r="N17" s="244"/>
      <c r="O17" s="244"/>
    </row>
    <row r="18" spans="1:15" ht="12.75">
      <c r="A18" s="248" t="s">
        <v>318</v>
      </c>
      <c r="B18" s="248"/>
      <c r="C18" s="244"/>
      <c r="D18" s="244"/>
      <c r="E18" s="244"/>
      <c r="F18" s="244"/>
      <c r="G18" s="244"/>
      <c r="H18" s="244"/>
      <c r="I18" s="244"/>
      <c r="J18" s="244"/>
      <c r="K18" s="244"/>
      <c r="L18" s="244"/>
      <c r="M18" s="244"/>
      <c r="N18" s="244"/>
      <c r="O18" s="244"/>
    </row>
    <row r="19" spans="1:15" ht="10.5" customHeight="1">
      <c r="A19" s="247" t="s">
        <v>312</v>
      </c>
      <c r="B19" s="247"/>
      <c r="C19" s="249">
        <v>26000</v>
      </c>
      <c r="D19" s="244"/>
      <c r="E19" s="249">
        <v>26000</v>
      </c>
      <c r="F19" s="244"/>
      <c r="G19" s="249">
        <v>160</v>
      </c>
      <c r="H19" s="244"/>
      <c r="I19" s="249">
        <v>4160</v>
      </c>
      <c r="J19" s="244"/>
      <c r="K19" s="250">
        <v>40.7</v>
      </c>
      <c r="L19" s="244"/>
      <c r="M19" s="249">
        <v>169312</v>
      </c>
      <c r="N19" s="244"/>
      <c r="O19" s="244"/>
    </row>
    <row r="20" spans="1:15" ht="10.5" customHeight="1">
      <c r="A20" s="247" t="s">
        <v>357</v>
      </c>
      <c r="B20" s="247"/>
      <c r="C20" s="249">
        <v>5200</v>
      </c>
      <c r="D20" s="244"/>
      <c r="E20" s="249">
        <v>5200</v>
      </c>
      <c r="F20" s="244"/>
      <c r="G20" s="249">
        <v>150</v>
      </c>
      <c r="H20" s="244"/>
      <c r="I20" s="249">
        <v>780</v>
      </c>
      <c r="J20" s="244"/>
      <c r="K20" s="250">
        <v>22.1</v>
      </c>
      <c r="L20" s="244"/>
      <c r="M20" s="249">
        <v>17238</v>
      </c>
      <c r="N20" s="244"/>
      <c r="O20" s="244"/>
    </row>
    <row r="21" spans="1:15" ht="10.5" customHeight="1">
      <c r="A21" s="247" t="s">
        <v>358</v>
      </c>
      <c r="B21" s="247"/>
      <c r="C21" s="249">
        <v>1800</v>
      </c>
      <c r="D21" s="244"/>
      <c r="E21" s="249">
        <v>1800</v>
      </c>
      <c r="F21" s="244"/>
      <c r="G21" s="249">
        <v>140</v>
      </c>
      <c r="H21" s="244"/>
      <c r="I21" s="249">
        <v>252</v>
      </c>
      <c r="J21" s="244"/>
      <c r="K21" s="250">
        <v>30</v>
      </c>
      <c r="L21" s="244"/>
      <c r="M21" s="249">
        <v>7560</v>
      </c>
      <c r="N21" s="244"/>
      <c r="O21" s="244"/>
    </row>
    <row r="22" spans="1:15" ht="10.5" customHeight="1">
      <c r="A22" s="247" t="s">
        <v>359</v>
      </c>
      <c r="B22" s="247"/>
      <c r="C22" s="249">
        <v>2000</v>
      </c>
      <c r="D22" s="244"/>
      <c r="E22" s="249">
        <v>1700</v>
      </c>
      <c r="F22" s="244"/>
      <c r="G22" s="249">
        <v>120</v>
      </c>
      <c r="H22" s="244"/>
      <c r="I22" s="249">
        <v>204</v>
      </c>
      <c r="J22" s="244"/>
      <c r="K22" s="250">
        <v>38.3</v>
      </c>
      <c r="L22" s="244"/>
      <c r="M22" s="249">
        <v>7813</v>
      </c>
      <c r="N22" s="244"/>
      <c r="O22" s="244"/>
    </row>
    <row r="23" spans="1:15" ht="10.5" customHeight="1">
      <c r="A23" s="247" t="s">
        <v>360</v>
      </c>
      <c r="B23" s="247"/>
      <c r="C23" s="249">
        <v>1700</v>
      </c>
      <c r="D23" s="244"/>
      <c r="E23" s="249">
        <v>1400</v>
      </c>
      <c r="F23" s="244"/>
      <c r="G23" s="249">
        <v>90</v>
      </c>
      <c r="H23" s="244"/>
      <c r="I23" s="249">
        <v>126</v>
      </c>
      <c r="J23" s="244"/>
      <c r="K23" s="250">
        <v>29.2</v>
      </c>
      <c r="L23" s="244"/>
      <c r="M23" s="249">
        <v>3679</v>
      </c>
      <c r="N23" s="244"/>
      <c r="O23" s="244"/>
    </row>
    <row r="24" spans="1:15" ht="10.5" customHeight="1">
      <c r="A24" s="247" t="s">
        <v>361</v>
      </c>
      <c r="B24" s="247"/>
      <c r="C24" s="249">
        <v>800</v>
      </c>
      <c r="D24" s="244"/>
      <c r="E24" s="249">
        <v>780</v>
      </c>
      <c r="F24" s="244"/>
      <c r="G24" s="249">
        <v>60</v>
      </c>
      <c r="H24" s="244"/>
      <c r="I24" s="249">
        <v>47</v>
      </c>
      <c r="J24" s="244"/>
      <c r="K24" s="250">
        <v>35</v>
      </c>
      <c r="L24" s="244"/>
      <c r="M24" s="249">
        <v>1645</v>
      </c>
      <c r="N24" s="244"/>
      <c r="O24" s="244"/>
    </row>
    <row r="25" spans="1:15" ht="5.25" customHeight="1">
      <c r="A25" s="247"/>
      <c r="B25" s="247"/>
      <c r="C25" s="249"/>
      <c r="D25" s="244"/>
      <c r="E25" s="249"/>
      <c r="F25" s="244"/>
      <c r="G25" s="249"/>
      <c r="H25" s="244"/>
      <c r="I25" s="249"/>
      <c r="J25" s="244"/>
      <c r="K25" s="250"/>
      <c r="L25" s="244"/>
      <c r="M25" s="249"/>
      <c r="N25" s="244"/>
      <c r="O25" s="244"/>
    </row>
    <row r="26" spans="1:15" ht="12.75">
      <c r="A26" s="247" t="s">
        <v>317</v>
      </c>
      <c r="B26" s="247"/>
      <c r="C26" s="249">
        <f>SUM(C19:C24)</f>
        <v>37500</v>
      </c>
      <c r="D26" s="244"/>
      <c r="E26" s="249">
        <f>SUM(E19:E24)</f>
        <v>36880</v>
      </c>
      <c r="F26" s="244"/>
      <c r="G26" s="249">
        <v>151</v>
      </c>
      <c r="H26" s="244"/>
      <c r="I26" s="249">
        <f>SUM(I19:I24)</f>
        <v>5569</v>
      </c>
      <c r="J26" s="244"/>
      <c r="K26" s="250">
        <v>37.2</v>
      </c>
      <c r="L26" s="244"/>
      <c r="M26" s="249">
        <f>SUM(M19:M24)</f>
        <v>207247</v>
      </c>
      <c r="N26" s="244"/>
      <c r="O26" s="244"/>
    </row>
    <row r="27" spans="1:15" ht="6" customHeight="1">
      <c r="A27" s="244"/>
      <c r="B27" s="244"/>
      <c r="C27" s="244"/>
      <c r="D27" s="244"/>
      <c r="E27" s="244"/>
      <c r="F27" s="244"/>
      <c r="G27" s="244"/>
      <c r="H27" s="244"/>
      <c r="I27" s="244"/>
      <c r="J27" s="244"/>
      <c r="K27" s="244"/>
      <c r="L27" s="244"/>
      <c r="M27" s="244"/>
      <c r="N27" s="244"/>
      <c r="O27" s="244"/>
    </row>
    <row r="28" spans="1:15" ht="12.75">
      <c r="A28" s="248" t="s">
        <v>319</v>
      </c>
      <c r="B28" s="248"/>
      <c r="C28" s="244"/>
      <c r="D28" s="244"/>
      <c r="E28" s="244"/>
      <c r="F28" s="244"/>
      <c r="G28" s="244"/>
      <c r="H28" s="244"/>
      <c r="I28" s="244"/>
      <c r="J28" s="244"/>
      <c r="K28" s="244"/>
      <c r="L28" s="244"/>
      <c r="M28" s="244"/>
      <c r="N28" s="244"/>
      <c r="O28" s="244"/>
    </row>
    <row r="29" spans="1:15" ht="10.5" customHeight="1">
      <c r="A29" s="247" t="s">
        <v>312</v>
      </c>
      <c r="B29" s="247"/>
      <c r="C29" s="249">
        <v>27000</v>
      </c>
      <c r="D29" s="244"/>
      <c r="E29" s="249">
        <v>27000</v>
      </c>
      <c r="F29" s="244"/>
      <c r="G29" s="249">
        <v>170</v>
      </c>
      <c r="H29" s="244"/>
      <c r="I29" s="249">
        <v>4590</v>
      </c>
      <c r="J29" s="244"/>
      <c r="K29" s="250">
        <v>20.2</v>
      </c>
      <c r="L29" s="244"/>
      <c r="M29" s="249">
        <v>92718</v>
      </c>
      <c r="N29" s="244"/>
      <c r="O29" s="244"/>
    </row>
    <row r="30" spans="1:15" ht="10.5" customHeight="1">
      <c r="A30" s="247" t="s">
        <v>357</v>
      </c>
      <c r="B30" s="247"/>
      <c r="C30" s="249">
        <v>6100</v>
      </c>
      <c r="D30" s="244"/>
      <c r="E30" s="249">
        <v>6000</v>
      </c>
      <c r="F30" s="244"/>
      <c r="G30" s="249">
        <v>175</v>
      </c>
      <c r="H30" s="244"/>
      <c r="I30" s="249">
        <v>1050</v>
      </c>
      <c r="J30" s="244"/>
      <c r="K30" s="250">
        <v>23.9</v>
      </c>
      <c r="L30" s="244"/>
      <c r="M30" s="249">
        <v>25095</v>
      </c>
      <c r="N30" s="244"/>
      <c r="O30" s="244"/>
    </row>
    <row r="31" spans="1:15" ht="10.5" customHeight="1">
      <c r="A31" s="247" t="s">
        <v>358</v>
      </c>
      <c r="B31" s="247"/>
      <c r="C31" s="249">
        <v>1900</v>
      </c>
      <c r="D31" s="244"/>
      <c r="E31" s="249">
        <v>1900</v>
      </c>
      <c r="F31" s="244"/>
      <c r="G31" s="249">
        <v>90</v>
      </c>
      <c r="H31" s="244"/>
      <c r="I31" s="249">
        <v>171</v>
      </c>
      <c r="J31" s="244"/>
      <c r="K31" s="250">
        <v>22.2</v>
      </c>
      <c r="L31" s="244"/>
      <c r="M31" s="249">
        <v>3796</v>
      </c>
      <c r="N31" s="244"/>
      <c r="O31" s="244"/>
    </row>
    <row r="32" spans="1:15" ht="10.5" customHeight="1">
      <c r="A32" s="247" t="s">
        <v>359</v>
      </c>
      <c r="B32" s="247"/>
      <c r="C32" s="249">
        <v>2100</v>
      </c>
      <c r="D32" s="244"/>
      <c r="E32" s="249">
        <v>2000</v>
      </c>
      <c r="F32" s="244"/>
      <c r="G32" s="249">
        <v>125</v>
      </c>
      <c r="H32" s="244"/>
      <c r="I32" s="249">
        <v>250</v>
      </c>
      <c r="J32" s="244"/>
      <c r="K32" s="250">
        <v>38.5</v>
      </c>
      <c r="L32" s="244"/>
      <c r="M32" s="249">
        <v>9625</v>
      </c>
      <c r="N32" s="244"/>
      <c r="O32" s="244"/>
    </row>
    <row r="33" spans="1:15" ht="10.5" customHeight="1">
      <c r="A33" s="247" t="s">
        <v>362</v>
      </c>
      <c r="B33" s="247"/>
      <c r="C33" s="249">
        <v>2900</v>
      </c>
      <c r="D33" s="244"/>
      <c r="E33" s="249">
        <v>2700</v>
      </c>
      <c r="F33" s="244"/>
      <c r="G33" s="249">
        <v>76</v>
      </c>
      <c r="H33" s="244"/>
      <c r="I33" s="249">
        <v>205</v>
      </c>
      <c r="J33" s="244"/>
      <c r="K33" s="250">
        <v>33.1</v>
      </c>
      <c r="L33" s="244"/>
      <c r="M33" s="249">
        <v>6790</v>
      </c>
      <c r="N33" s="244"/>
      <c r="O33" s="244"/>
    </row>
    <row r="34" spans="1:15" ht="4.5" customHeight="1">
      <c r="A34" s="247"/>
      <c r="B34" s="247"/>
      <c r="C34" s="249"/>
      <c r="D34" s="244"/>
      <c r="E34" s="249"/>
      <c r="F34" s="244"/>
      <c r="G34" s="249"/>
      <c r="H34" s="244"/>
      <c r="I34" s="249"/>
      <c r="J34" s="244"/>
      <c r="K34" s="250"/>
      <c r="L34" s="244"/>
      <c r="M34" s="249"/>
      <c r="N34" s="244"/>
      <c r="O34" s="244"/>
    </row>
    <row r="35" spans="1:15" ht="12.75">
      <c r="A35" s="247" t="s">
        <v>317</v>
      </c>
      <c r="B35" s="247"/>
      <c r="C35" s="249">
        <f>SUM(C29:C33)</f>
        <v>40000</v>
      </c>
      <c r="D35" s="244"/>
      <c r="E35" s="249">
        <f>SUM(E29:E33)</f>
        <v>39600</v>
      </c>
      <c r="F35" s="244"/>
      <c r="G35" s="249">
        <v>158</v>
      </c>
      <c r="H35" s="244"/>
      <c r="I35" s="249">
        <f>SUM(I29:I33)</f>
        <v>6266</v>
      </c>
      <c r="J35" s="244"/>
      <c r="K35" s="250">
        <v>22</v>
      </c>
      <c r="L35" s="244"/>
      <c r="M35" s="249">
        <f>SUM(M29:M33)</f>
        <v>138024</v>
      </c>
      <c r="N35" s="244"/>
      <c r="O35" s="244"/>
    </row>
    <row r="36" spans="1:15" ht="8.25" customHeight="1">
      <c r="A36" s="247"/>
      <c r="B36" s="247"/>
      <c r="C36" s="249"/>
      <c r="D36" s="244"/>
      <c r="E36" s="249"/>
      <c r="F36" s="244"/>
      <c r="G36" s="249"/>
      <c r="H36" s="244"/>
      <c r="I36" s="249"/>
      <c r="J36" s="244"/>
      <c r="K36" s="250"/>
      <c r="L36" s="244"/>
      <c r="M36" s="249"/>
      <c r="N36" s="244"/>
      <c r="O36" s="244"/>
    </row>
    <row r="37" spans="1:15" ht="12.75">
      <c r="A37" s="248" t="s">
        <v>325</v>
      </c>
      <c r="B37" s="248"/>
      <c r="C37" s="244"/>
      <c r="D37" s="244"/>
      <c r="E37" s="244"/>
      <c r="F37" s="244"/>
      <c r="G37" s="244"/>
      <c r="H37" s="244"/>
      <c r="I37" s="244"/>
      <c r="J37" s="244"/>
      <c r="K37" s="244"/>
      <c r="L37" s="244"/>
      <c r="M37" s="244"/>
      <c r="N37" s="244"/>
      <c r="O37" s="244"/>
    </row>
    <row r="38" spans="1:15" ht="11.25" customHeight="1">
      <c r="A38" s="247" t="s">
        <v>312</v>
      </c>
      <c r="B38" s="247"/>
      <c r="C38" s="249">
        <v>33000</v>
      </c>
      <c r="D38" s="244"/>
      <c r="E38" s="249">
        <v>32500</v>
      </c>
      <c r="F38" s="244"/>
      <c r="G38" s="249">
        <v>180</v>
      </c>
      <c r="H38" s="244"/>
      <c r="I38" s="249">
        <v>5850</v>
      </c>
      <c r="J38" s="244"/>
      <c r="K38" s="250">
        <v>20.7</v>
      </c>
      <c r="L38" s="244"/>
      <c r="M38" s="249">
        <v>121095</v>
      </c>
      <c r="N38" s="244"/>
      <c r="O38" s="244"/>
    </row>
    <row r="39" spans="1:15" ht="11.25" customHeight="1">
      <c r="A39" s="247" t="s">
        <v>357</v>
      </c>
      <c r="B39" s="247"/>
      <c r="C39" s="249">
        <v>6500</v>
      </c>
      <c r="D39" s="244"/>
      <c r="E39" s="249">
        <v>6400</v>
      </c>
      <c r="F39" s="244"/>
      <c r="G39" s="249">
        <v>170</v>
      </c>
      <c r="H39" s="244"/>
      <c r="I39" s="249">
        <v>1090</v>
      </c>
      <c r="J39" s="244"/>
      <c r="K39" s="250">
        <v>30.5</v>
      </c>
      <c r="L39" s="244"/>
      <c r="M39" s="249">
        <v>33245</v>
      </c>
      <c r="N39" s="244"/>
      <c r="O39" s="244"/>
    </row>
    <row r="40" spans="1:15" ht="11.25" customHeight="1">
      <c r="A40" s="247" t="s">
        <v>358</v>
      </c>
      <c r="B40" s="247"/>
      <c r="C40" s="249">
        <v>2000</v>
      </c>
      <c r="D40" s="244"/>
      <c r="E40" s="249">
        <v>1900</v>
      </c>
      <c r="F40" s="244"/>
      <c r="G40" s="249">
        <v>105</v>
      </c>
      <c r="H40" s="244"/>
      <c r="I40" s="249">
        <v>200</v>
      </c>
      <c r="J40" s="244"/>
      <c r="K40" s="250">
        <v>30.9</v>
      </c>
      <c r="L40" s="244"/>
      <c r="M40" s="249">
        <v>6180</v>
      </c>
      <c r="N40" s="244"/>
      <c r="O40" s="244"/>
    </row>
    <row r="41" spans="1:15" ht="11.25" customHeight="1">
      <c r="A41" s="247" t="s">
        <v>359</v>
      </c>
      <c r="B41" s="247"/>
      <c r="C41" s="249">
        <v>2600</v>
      </c>
      <c r="D41" s="244"/>
      <c r="E41" s="249">
        <v>2100</v>
      </c>
      <c r="F41" s="244"/>
      <c r="G41" s="249">
        <v>100</v>
      </c>
      <c r="H41" s="244"/>
      <c r="I41" s="249">
        <v>210</v>
      </c>
      <c r="J41" s="244"/>
      <c r="K41" s="250">
        <v>15.4</v>
      </c>
      <c r="L41" s="244"/>
      <c r="M41" s="249">
        <v>3234</v>
      </c>
      <c r="N41" s="244"/>
      <c r="O41" s="244"/>
    </row>
    <row r="42" spans="1:15" ht="11.25" customHeight="1">
      <c r="A42" s="247" t="s">
        <v>362</v>
      </c>
      <c r="B42" s="247"/>
      <c r="C42" s="249">
        <v>3000</v>
      </c>
      <c r="D42" s="244"/>
      <c r="E42" s="249">
        <v>2800</v>
      </c>
      <c r="F42" s="244"/>
      <c r="G42" s="249">
        <v>83</v>
      </c>
      <c r="H42" s="244"/>
      <c r="I42" s="249">
        <v>231</v>
      </c>
      <c r="J42" s="244"/>
      <c r="K42" s="250">
        <v>36.2</v>
      </c>
      <c r="L42" s="244"/>
      <c r="M42" s="249">
        <v>8360</v>
      </c>
      <c r="N42" s="244"/>
      <c r="O42" s="244"/>
    </row>
    <row r="43" spans="1:15" ht="4.5" customHeight="1">
      <c r="A43" s="247"/>
      <c r="B43" s="247"/>
      <c r="C43" s="249"/>
      <c r="D43" s="244"/>
      <c r="E43" s="249"/>
      <c r="F43" s="244"/>
      <c r="G43" s="249"/>
      <c r="H43" s="244"/>
      <c r="I43" s="249"/>
      <c r="J43" s="244"/>
      <c r="K43" s="250"/>
      <c r="L43" s="244"/>
      <c r="M43" s="249"/>
      <c r="N43" s="244"/>
      <c r="O43" s="244"/>
    </row>
    <row r="44" spans="1:15" ht="11.25" customHeight="1">
      <c r="A44" s="247" t="s">
        <v>317</v>
      </c>
      <c r="B44" s="247"/>
      <c r="C44" s="249">
        <f>SUM(C38:C42)</f>
        <v>47100</v>
      </c>
      <c r="D44" s="244"/>
      <c r="E44" s="249">
        <f>SUM(E38:E42)</f>
        <v>45700</v>
      </c>
      <c r="F44" s="244"/>
      <c r="G44" s="249">
        <v>166</v>
      </c>
      <c r="H44" s="244"/>
      <c r="I44" s="249">
        <f>SUM(I38:I42)</f>
        <v>7581</v>
      </c>
      <c r="J44" s="244"/>
      <c r="K44" s="250">
        <v>22.7</v>
      </c>
      <c r="L44" s="244"/>
      <c r="M44" s="249">
        <f>SUM(M38:M42)</f>
        <v>172114</v>
      </c>
      <c r="N44" s="244"/>
      <c r="O44" s="244"/>
    </row>
    <row r="45" spans="1:15" ht="6" customHeight="1">
      <c r="A45" s="247"/>
      <c r="B45" s="247"/>
      <c r="C45" s="249"/>
      <c r="D45" s="244"/>
      <c r="E45" s="249"/>
      <c r="F45" s="244"/>
      <c r="G45" s="249"/>
      <c r="H45" s="244"/>
      <c r="I45" s="249"/>
      <c r="J45" s="244"/>
      <c r="K45" s="250"/>
      <c r="L45" s="244"/>
      <c r="M45" s="249"/>
      <c r="N45" s="244"/>
      <c r="O45" s="244"/>
    </row>
    <row r="46" spans="1:15" ht="11.25" customHeight="1">
      <c r="A46" s="248" t="s">
        <v>380</v>
      </c>
      <c r="B46" s="248"/>
      <c r="C46" s="244"/>
      <c r="D46" s="244"/>
      <c r="E46" s="244"/>
      <c r="F46" s="244"/>
      <c r="G46" s="244"/>
      <c r="H46" s="244"/>
      <c r="I46" s="244"/>
      <c r="J46" s="244"/>
      <c r="K46" s="244"/>
      <c r="L46" s="244"/>
      <c r="M46" s="244"/>
      <c r="N46" s="244"/>
      <c r="O46" s="244"/>
    </row>
    <row r="47" spans="1:15" ht="11.25" customHeight="1">
      <c r="A47" s="247" t="s">
        <v>312</v>
      </c>
      <c r="B47" s="247"/>
      <c r="C47" s="249">
        <v>38000</v>
      </c>
      <c r="D47" s="244"/>
      <c r="E47" s="249">
        <v>33000</v>
      </c>
      <c r="F47" s="244"/>
      <c r="G47" s="249">
        <v>140</v>
      </c>
      <c r="H47" s="244"/>
      <c r="I47" s="249">
        <v>4620</v>
      </c>
      <c r="J47" s="244"/>
      <c r="K47" s="250">
        <v>30.8</v>
      </c>
      <c r="L47" s="244"/>
      <c r="M47" s="249">
        <v>142296</v>
      </c>
      <c r="N47" s="244"/>
      <c r="O47" s="244"/>
    </row>
    <row r="48" spans="1:15" ht="11.25" customHeight="1">
      <c r="A48" s="247" t="s">
        <v>357</v>
      </c>
      <c r="B48" s="247"/>
      <c r="C48" s="249">
        <v>6100</v>
      </c>
      <c r="D48" s="244"/>
      <c r="E48" s="249">
        <v>6000</v>
      </c>
      <c r="F48" s="244"/>
      <c r="G48" s="249">
        <v>150</v>
      </c>
      <c r="H48" s="244"/>
      <c r="I48" s="249">
        <v>900</v>
      </c>
      <c r="J48" s="244"/>
      <c r="K48" s="250">
        <v>23.6</v>
      </c>
      <c r="L48" s="244"/>
      <c r="M48" s="249">
        <v>21240</v>
      </c>
      <c r="N48" s="244"/>
      <c r="O48" s="244"/>
    </row>
    <row r="49" spans="1:15" ht="11.25" customHeight="1">
      <c r="A49" s="247" t="s">
        <v>358</v>
      </c>
      <c r="B49" s="247"/>
      <c r="C49" s="249">
        <v>2000</v>
      </c>
      <c r="D49" s="244"/>
      <c r="E49" s="249">
        <v>1700</v>
      </c>
      <c r="F49" s="244"/>
      <c r="G49" s="249">
        <v>175</v>
      </c>
      <c r="H49" s="244"/>
      <c r="I49" s="249">
        <v>298</v>
      </c>
      <c r="J49" s="244"/>
      <c r="K49" s="250">
        <v>33.7</v>
      </c>
      <c r="L49" s="244"/>
      <c r="M49" s="249">
        <v>10043</v>
      </c>
      <c r="N49" s="244"/>
      <c r="O49" s="244"/>
    </row>
    <row r="50" spans="1:15" ht="11.25" customHeight="1">
      <c r="A50" s="247" t="s">
        <v>359</v>
      </c>
      <c r="B50" s="247"/>
      <c r="C50" s="249">
        <v>2300</v>
      </c>
      <c r="D50" s="244"/>
      <c r="E50" s="249">
        <v>2200</v>
      </c>
      <c r="F50" s="244"/>
      <c r="G50" s="249">
        <v>80</v>
      </c>
      <c r="H50" s="244"/>
      <c r="I50" s="249">
        <v>176</v>
      </c>
      <c r="J50" s="244"/>
      <c r="K50" s="250">
        <v>26.6</v>
      </c>
      <c r="L50" s="244"/>
      <c r="M50" s="249">
        <v>4682</v>
      </c>
      <c r="N50" s="244"/>
      <c r="O50" s="244"/>
    </row>
    <row r="51" spans="1:15" ht="11.25" customHeight="1">
      <c r="A51" s="247" t="s">
        <v>362</v>
      </c>
      <c r="B51" s="247"/>
      <c r="C51" s="249">
        <v>2800</v>
      </c>
      <c r="D51" s="244"/>
      <c r="E51" s="249">
        <v>2700</v>
      </c>
      <c r="F51" s="244"/>
      <c r="G51" s="249">
        <v>79</v>
      </c>
      <c r="H51" s="244"/>
      <c r="I51" s="249">
        <v>213</v>
      </c>
      <c r="J51" s="244"/>
      <c r="K51" s="250">
        <v>33.8</v>
      </c>
      <c r="L51" s="244"/>
      <c r="M51" s="249">
        <v>7200</v>
      </c>
      <c r="N51" s="244"/>
      <c r="O51" s="244"/>
    </row>
    <row r="52" spans="1:15" ht="5.25" customHeight="1">
      <c r="A52" s="247"/>
      <c r="B52" s="247"/>
      <c r="C52" s="249"/>
      <c r="D52" s="244"/>
      <c r="E52" s="249"/>
      <c r="F52" s="244"/>
      <c r="G52" s="249"/>
      <c r="H52" s="244"/>
      <c r="I52" s="249"/>
      <c r="J52" s="244"/>
      <c r="K52" s="250"/>
      <c r="L52" s="244"/>
      <c r="M52" s="249"/>
      <c r="N52" s="244"/>
      <c r="O52" s="244"/>
    </row>
    <row r="53" spans="1:15" ht="11.25" customHeight="1">
      <c r="A53" s="247" t="s">
        <v>317</v>
      </c>
      <c r="B53" s="247"/>
      <c r="C53" s="249">
        <f>SUM(C47:C51)</f>
        <v>51200</v>
      </c>
      <c r="D53" s="244"/>
      <c r="E53" s="249">
        <f>SUM(E47:E51)</f>
        <v>45600</v>
      </c>
      <c r="F53" s="244"/>
      <c r="G53" s="249">
        <v>136</v>
      </c>
      <c r="H53" s="244"/>
      <c r="I53" s="249">
        <f>SUM(I47:I51)</f>
        <v>6207</v>
      </c>
      <c r="J53" s="244"/>
      <c r="K53" s="250">
        <v>29.9</v>
      </c>
      <c r="L53" s="244"/>
      <c r="M53" s="249">
        <f>SUM(M47:M51)</f>
        <v>185461</v>
      </c>
      <c r="N53" s="244"/>
      <c r="O53" s="244"/>
    </row>
    <row r="54" spans="1:15" ht="6.75" customHeight="1">
      <c r="A54" s="247"/>
      <c r="B54" s="247"/>
      <c r="C54" s="249"/>
      <c r="D54" s="244"/>
      <c r="E54" s="249"/>
      <c r="F54" s="244"/>
      <c r="G54" s="249"/>
      <c r="H54" s="244"/>
      <c r="I54" s="249"/>
      <c r="J54" s="244"/>
      <c r="K54" s="250"/>
      <c r="L54" s="244"/>
      <c r="M54" s="249"/>
      <c r="N54" s="244"/>
      <c r="O54" s="244"/>
    </row>
    <row r="55" spans="1:15" ht="11.25" customHeight="1">
      <c r="A55" s="248" t="s">
        <v>424</v>
      </c>
      <c r="B55" s="248"/>
      <c r="C55" s="244"/>
      <c r="D55" s="244"/>
      <c r="E55" s="244"/>
      <c r="F55" s="244"/>
      <c r="G55" s="244"/>
      <c r="H55" s="244"/>
      <c r="I55" s="244"/>
      <c r="J55" s="244"/>
      <c r="K55" s="244"/>
      <c r="L55" s="244"/>
      <c r="M55" s="244"/>
      <c r="N55" s="244"/>
      <c r="O55" s="244"/>
    </row>
    <row r="56" spans="1:15" ht="11.25" customHeight="1">
      <c r="A56" s="247" t="s">
        <v>312</v>
      </c>
      <c r="B56" s="247"/>
      <c r="C56" s="249">
        <v>33500</v>
      </c>
      <c r="D56" s="244"/>
      <c r="E56" s="249">
        <v>33000</v>
      </c>
      <c r="F56" s="244"/>
      <c r="G56" s="249">
        <v>160</v>
      </c>
      <c r="H56" s="244"/>
      <c r="I56" s="249">
        <v>5280</v>
      </c>
      <c r="J56" s="244"/>
      <c r="K56" s="250">
        <v>32</v>
      </c>
      <c r="L56" s="244"/>
      <c r="M56" s="249">
        <v>168960</v>
      </c>
      <c r="N56" s="244"/>
      <c r="O56" s="244"/>
    </row>
    <row r="57" spans="1:15" ht="11.25" customHeight="1">
      <c r="A57" s="247" t="s">
        <v>357</v>
      </c>
      <c r="B57" s="247"/>
      <c r="C57" s="249">
        <v>4000</v>
      </c>
      <c r="D57" s="244"/>
      <c r="E57" s="249">
        <v>3900</v>
      </c>
      <c r="F57" s="244"/>
      <c r="G57" s="249">
        <v>160</v>
      </c>
      <c r="H57" s="244"/>
      <c r="I57" s="249">
        <v>624</v>
      </c>
      <c r="J57" s="244"/>
      <c r="K57" s="250">
        <v>31.7</v>
      </c>
      <c r="L57" s="244"/>
      <c r="M57" s="249">
        <v>19781</v>
      </c>
      <c r="N57" s="244"/>
      <c r="O57" s="244"/>
    </row>
    <row r="58" spans="1:15" ht="11.25" customHeight="1">
      <c r="A58" s="247" t="s">
        <v>358</v>
      </c>
      <c r="B58" s="247"/>
      <c r="C58" s="249">
        <v>1700</v>
      </c>
      <c r="D58" s="244"/>
      <c r="E58" s="249">
        <v>1600</v>
      </c>
      <c r="F58" s="244"/>
      <c r="G58" s="249">
        <v>100</v>
      </c>
      <c r="H58" s="244"/>
      <c r="I58" s="249">
        <v>160</v>
      </c>
      <c r="J58" s="244"/>
      <c r="K58" s="250">
        <v>42.6</v>
      </c>
      <c r="L58" s="244"/>
      <c r="M58" s="249">
        <v>6816</v>
      </c>
      <c r="N58" s="244"/>
      <c r="O58" s="244"/>
    </row>
    <row r="59" spans="1:15" ht="11.25" customHeight="1">
      <c r="A59" s="247" t="s">
        <v>359</v>
      </c>
      <c r="B59" s="247"/>
      <c r="C59" s="249">
        <v>900</v>
      </c>
      <c r="D59" s="244"/>
      <c r="E59" s="249">
        <v>800</v>
      </c>
      <c r="F59" s="244"/>
      <c r="G59" s="249">
        <v>125</v>
      </c>
      <c r="H59" s="244"/>
      <c r="I59" s="249">
        <v>100</v>
      </c>
      <c r="J59" s="244"/>
      <c r="K59" s="250">
        <v>24</v>
      </c>
      <c r="L59" s="244"/>
      <c r="M59" s="249">
        <v>2400</v>
      </c>
      <c r="N59" s="244"/>
      <c r="O59" s="244"/>
    </row>
    <row r="60" spans="1:15" ht="11.25" customHeight="1">
      <c r="A60" s="247" t="s">
        <v>362</v>
      </c>
      <c r="B60" s="247"/>
      <c r="C60" s="249">
        <v>2600</v>
      </c>
      <c r="D60" s="244"/>
      <c r="E60" s="249">
        <v>2500</v>
      </c>
      <c r="F60" s="244"/>
      <c r="G60" s="249">
        <v>76</v>
      </c>
      <c r="H60" s="244"/>
      <c r="I60" s="249">
        <v>190</v>
      </c>
      <c r="J60" s="244"/>
      <c r="K60" s="250">
        <v>34.9</v>
      </c>
      <c r="L60" s="244"/>
      <c r="M60" s="249">
        <v>6630</v>
      </c>
      <c r="N60" s="244"/>
      <c r="O60" s="244"/>
    </row>
    <row r="61" spans="1:15" ht="5.25" customHeight="1">
      <c r="A61" s="247"/>
      <c r="B61" s="247"/>
      <c r="C61" s="249"/>
      <c r="D61" s="244"/>
      <c r="E61" s="249"/>
      <c r="F61" s="244"/>
      <c r="G61" s="249"/>
      <c r="H61" s="244"/>
      <c r="I61" s="249"/>
      <c r="J61" s="244"/>
      <c r="K61" s="250"/>
      <c r="L61" s="244"/>
      <c r="M61" s="249"/>
      <c r="N61" s="244"/>
      <c r="O61" s="244"/>
    </row>
    <row r="62" spans="1:15" ht="12" customHeight="1">
      <c r="A62" s="247" t="s">
        <v>317</v>
      </c>
      <c r="B62" s="247"/>
      <c r="C62" s="249">
        <f>SUM(C56:C60)</f>
        <v>42700</v>
      </c>
      <c r="D62" s="244"/>
      <c r="E62" s="249">
        <f>SUM(E56:E60)</f>
        <v>41800</v>
      </c>
      <c r="F62" s="244"/>
      <c r="G62" s="249">
        <v>152</v>
      </c>
      <c r="H62" s="244"/>
      <c r="I62" s="249">
        <f>SUM(I56:I60)</f>
        <v>6354</v>
      </c>
      <c r="J62" s="244"/>
      <c r="K62" s="250">
        <v>32.2</v>
      </c>
      <c r="L62" s="244"/>
      <c r="M62" s="249">
        <f>SUM(M56:M60)</f>
        <v>204587</v>
      </c>
      <c r="N62" s="244"/>
      <c r="O62" s="244"/>
    </row>
    <row r="63" spans="1:15" ht="6.75" customHeight="1">
      <c r="A63" s="247"/>
      <c r="B63" s="247"/>
      <c r="C63" s="249"/>
      <c r="D63" s="244"/>
      <c r="E63" s="249"/>
      <c r="F63" s="244"/>
      <c r="G63" s="249"/>
      <c r="H63" s="244"/>
      <c r="I63" s="249"/>
      <c r="J63" s="244"/>
      <c r="K63" s="250"/>
      <c r="L63" s="244"/>
      <c r="M63" s="249"/>
      <c r="N63" s="244"/>
      <c r="O63" s="244"/>
    </row>
    <row r="64" spans="1:15" ht="12.75">
      <c r="A64" s="248" t="s">
        <v>425</v>
      </c>
      <c r="B64" s="248"/>
      <c r="C64" s="249"/>
      <c r="D64" s="244"/>
      <c r="E64" s="249"/>
      <c r="F64" s="244"/>
      <c r="G64" s="249"/>
      <c r="H64" s="244"/>
      <c r="I64" s="249"/>
      <c r="J64" s="244"/>
      <c r="K64" s="250"/>
      <c r="L64" s="244"/>
      <c r="M64" s="249"/>
      <c r="N64" s="244"/>
      <c r="O64" s="244"/>
    </row>
    <row r="65" spans="1:15" ht="10.5" customHeight="1">
      <c r="A65" s="247" t="s">
        <v>312</v>
      </c>
      <c r="B65" s="247"/>
      <c r="C65" s="249">
        <f>AVERAGE(C38,C47,C56)</f>
        <v>34833.333333333336</v>
      </c>
      <c r="D65" s="244"/>
      <c r="E65" s="249">
        <f>AVERAGE(E38,E47,E56)</f>
        <v>32833.333333333336</v>
      </c>
      <c r="F65" s="244"/>
      <c r="G65" s="249">
        <f>+I65/E65*1000</f>
        <v>159.8984771573604</v>
      </c>
      <c r="H65" s="244"/>
      <c r="I65" s="249">
        <f>AVERAGE(I38,I47,I56)</f>
        <v>5250</v>
      </c>
      <c r="J65" s="244"/>
      <c r="K65" s="428">
        <f>+M65/I65</f>
        <v>27.450857142857142</v>
      </c>
      <c r="L65" s="244"/>
      <c r="M65" s="249">
        <f>AVERAGE(M38,M47,M56)</f>
        <v>144117</v>
      </c>
      <c r="N65" s="244"/>
      <c r="O65" s="244"/>
    </row>
    <row r="66" spans="1:15" ht="10.5" customHeight="1">
      <c r="A66" s="247" t="s">
        <v>357</v>
      </c>
      <c r="B66" s="247"/>
      <c r="C66" s="249">
        <f>AVERAGE(C39,C48,C57)</f>
        <v>5533.333333333333</v>
      </c>
      <c r="D66" s="244"/>
      <c r="E66" s="249">
        <f>AVERAGE(E39,E48,E57)</f>
        <v>5433.333333333333</v>
      </c>
      <c r="F66" s="244"/>
      <c r="G66" s="249">
        <f>+I66/E66*1000</f>
        <v>160.36809815950923</v>
      </c>
      <c r="H66" s="244"/>
      <c r="I66" s="249">
        <f>AVERAGE(I39,I48,I57)</f>
        <v>871.3333333333334</v>
      </c>
      <c r="J66" s="244"/>
      <c r="K66" s="428">
        <f>+M66/I66</f>
        <v>28.410864575363426</v>
      </c>
      <c r="L66" s="244"/>
      <c r="M66" s="249">
        <f>AVERAGE(M39,M48,M57)</f>
        <v>24755.333333333332</v>
      </c>
      <c r="N66" s="244"/>
      <c r="O66" s="244"/>
    </row>
    <row r="67" spans="1:15" ht="10.5" customHeight="1">
      <c r="A67" s="247" t="s">
        <v>358</v>
      </c>
      <c r="B67" s="247"/>
      <c r="C67" s="249">
        <f>AVERAGE(C40,C49,C58)</f>
        <v>1900</v>
      </c>
      <c r="D67" s="244"/>
      <c r="E67" s="249">
        <f>AVERAGE(E40,E49,E58)</f>
        <v>1733.3333333333333</v>
      </c>
      <c r="F67" s="244"/>
      <c r="G67" s="249">
        <f>+I67/E67*1000</f>
        <v>126.53846153846155</v>
      </c>
      <c r="H67" s="244"/>
      <c r="I67" s="249">
        <f>AVERAGE(I40,I49,I58)</f>
        <v>219.33333333333334</v>
      </c>
      <c r="J67" s="244"/>
      <c r="K67" s="428">
        <f>+M67/I67</f>
        <v>35.01367781155015</v>
      </c>
      <c r="L67" s="244"/>
      <c r="M67" s="249">
        <f>AVERAGE(M40,M49,M58)</f>
        <v>7679.666666666667</v>
      </c>
      <c r="N67" s="244"/>
      <c r="O67" s="244"/>
    </row>
    <row r="68" spans="1:15" ht="10.5" customHeight="1">
      <c r="A68" s="247" t="s">
        <v>359</v>
      </c>
      <c r="B68" s="247"/>
      <c r="C68" s="249">
        <f>AVERAGE(C41,C50,C59)</f>
        <v>1933.3333333333333</v>
      </c>
      <c r="D68" s="244"/>
      <c r="E68" s="249">
        <f>AVERAGE(E41,E50,E59)</f>
        <v>1700</v>
      </c>
      <c r="F68" s="244"/>
      <c r="G68" s="249">
        <f>+I68/E68*1000</f>
        <v>95.29411764705883</v>
      </c>
      <c r="H68" s="244"/>
      <c r="I68" s="249">
        <f>AVERAGE(I41,I50,I59)</f>
        <v>162</v>
      </c>
      <c r="J68" s="244"/>
      <c r="K68" s="428">
        <f>+M68/I68</f>
        <v>21.22633744855967</v>
      </c>
      <c r="L68" s="244"/>
      <c r="M68" s="249">
        <f>AVERAGE(M41,M50,M59)</f>
        <v>3438.6666666666665</v>
      </c>
      <c r="N68" s="244"/>
      <c r="O68" s="244"/>
    </row>
    <row r="69" spans="1:15" ht="10.5" customHeight="1">
      <c r="A69" s="247" t="s">
        <v>362</v>
      </c>
      <c r="B69" s="247"/>
      <c r="C69" s="249">
        <f>AVERAGE(C42,C51,C60)</f>
        <v>2800</v>
      </c>
      <c r="D69" s="244"/>
      <c r="E69" s="249">
        <f>AVERAGE(E42,E51,E60)</f>
        <v>2666.6666666666665</v>
      </c>
      <c r="F69" s="244"/>
      <c r="G69" s="249">
        <f>+I69/E69*1000</f>
        <v>79.25000000000001</v>
      </c>
      <c r="H69" s="244"/>
      <c r="I69" s="249">
        <f>AVERAGE(I42,I51,I60)</f>
        <v>211.33333333333334</v>
      </c>
      <c r="J69" s="244"/>
      <c r="K69" s="428">
        <f>+M69/I69</f>
        <v>35</v>
      </c>
      <c r="L69" s="244"/>
      <c r="M69" s="249">
        <f>AVERAGE(M42,M51,M60)</f>
        <v>7396.666666666667</v>
      </c>
      <c r="N69" s="244"/>
      <c r="O69" s="244"/>
    </row>
    <row r="70" spans="1:15" ht="6" customHeight="1">
      <c r="A70" s="247"/>
      <c r="B70" s="247"/>
      <c r="C70" s="249"/>
      <c r="D70" s="244"/>
      <c r="E70" s="249"/>
      <c r="F70" s="244"/>
      <c r="G70" s="249"/>
      <c r="H70" s="244"/>
      <c r="I70" s="249"/>
      <c r="J70" s="244"/>
      <c r="K70" s="250"/>
      <c r="L70" s="244"/>
      <c r="M70" s="249"/>
      <c r="N70" s="244"/>
      <c r="O70" s="244"/>
    </row>
    <row r="71" spans="1:15" ht="10.5" customHeight="1">
      <c r="A71" s="247" t="s">
        <v>317</v>
      </c>
      <c r="B71" s="247"/>
      <c r="C71" s="249">
        <f>SUM(C65:C69)</f>
        <v>47000.00000000001</v>
      </c>
      <c r="D71" s="244"/>
      <c r="E71" s="249">
        <f>SUM(E65:E69)</f>
        <v>44366.66666666667</v>
      </c>
      <c r="F71" s="244"/>
      <c r="G71" s="249">
        <f>+I71/E71*1000</f>
        <v>151.32982719759573</v>
      </c>
      <c r="H71" s="244"/>
      <c r="I71" s="249">
        <f>SUM(I65:I69)</f>
        <v>6713.999999999999</v>
      </c>
      <c r="J71" s="244"/>
      <c r="K71" s="428">
        <f>+M71/I71</f>
        <v>27.90993943004667</v>
      </c>
      <c r="L71" s="244"/>
      <c r="M71" s="249">
        <f>SUM(M65:M69)</f>
        <v>187387.3333333333</v>
      </c>
      <c r="N71" s="244"/>
      <c r="O71" s="244"/>
    </row>
    <row r="72" spans="1:15" ht="6.75" customHeight="1">
      <c r="A72" s="244"/>
      <c r="B72" s="244"/>
      <c r="C72" s="244"/>
      <c r="D72" s="244"/>
      <c r="E72" s="244"/>
      <c r="F72" s="244"/>
      <c r="G72" s="244"/>
      <c r="H72" s="244"/>
      <c r="I72" s="244"/>
      <c r="J72" s="244"/>
      <c r="K72" s="244"/>
      <c r="L72" s="244"/>
      <c r="M72" s="244"/>
      <c r="N72" s="244"/>
      <c r="O72" s="244"/>
    </row>
    <row r="73" spans="1:15" ht="5.25" customHeight="1">
      <c r="A73" s="251"/>
      <c r="B73" s="251"/>
      <c r="C73" s="246"/>
      <c r="D73" s="246"/>
      <c r="E73" s="246"/>
      <c r="F73" s="246"/>
      <c r="G73" s="246"/>
      <c r="H73" s="246"/>
      <c r="I73" s="246"/>
      <c r="J73" s="246"/>
      <c r="K73" s="246"/>
      <c r="L73" s="246"/>
      <c r="M73" s="246"/>
      <c r="N73" s="246"/>
      <c r="O73" s="244"/>
    </row>
    <row r="74" spans="1:15" ht="12.75">
      <c r="A74" s="416" t="s">
        <v>363</v>
      </c>
      <c r="B74" s="247"/>
      <c r="C74" s="244"/>
      <c r="D74" s="244"/>
      <c r="E74" s="244"/>
      <c r="F74" s="244"/>
      <c r="G74" s="244"/>
      <c r="H74" s="244"/>
      <c r="I74" s="244"/>
      <c r="J74" s="244"/>
      <c r="K74" s="244"/>
      <c r="L74" s="244"/>
      <c r="M74" s="244"/>
      <c r="N74" s="244"/>
      <c r="O74" s="244"/>
    </row>
    <row r="75" spans="1:15" ht="4.5" customHeight="1">
      <c r="A75" s="417"/>
      <c r="C75" s="244"/>
      <c r="D75" s="244"/>
      <c r="E75" s="244"/>
      <c r="F75" s="244"/>
      <c r="G75" s="244"/>
      <c r="H75" s="244"/>
      <c r="I75" s="244"/>
      <c r="J75" s="244"/>
      <c r="K75" s="244"/>
      <c r="L75" s="244"/>
      <c r="M75" s="244"/>
      <c r="N75" s="244"/>
      <c r="O75" s="244"/>
    </row>
    <row r="76" spans="1:15" ht="12.75">
      <c r="A76" s="416" t="s">
        <v>356</v>
      </c>
      <c r="B76" s="247"/>
      <c r="C76" s="244"/>
      <c r="D76" s="244"/>
      <c r="E76" s="244"/>
      <c r="F76" s="244"/>
      <c r="G76" s="244"/>
      <c r="H76" s="244"/>
      <c r="I76" s="244"/>
      <c r="J76" s="244"/>
      <c r="K76" s="244"/>
      <c r="L76" s="244"/>
      <c r="M76" s="244"/>
      <c r="N76" s="244"/>
      <c r="O76" s="244"/>
    </row>
    <row r="77" ht="12.75">
      <c r="A77" s="417"/>
    </row>
  </sheetData>
  <printOptions horizontalCentered="1"/>
  <pageMargins left="0.167" right="0.167" top="0.52" bottom="0.75" header="0" footer="0.28"/>
  <pageSetup fitToHeight="1" fitToWidth="1" horizontalDpi="600" verticalDpi="600" orientation="portrait" scale="95" r:id="rId1"/>
  <headerFooter alignWithMargins="0">
    <oddFooter>&amp;C&amp;"Arial,Italic"&amp;9Vegetables and Melons Outlook&amp;"Arial,Regular"/VGS-330/December 16, 2008
Economic Research Service, USDA</oddFooter>
  </headerFooter>
</worksheet>
</file>

<file path=xl/worksheets/sheet3.xml><?xml version="1.0" encoding="utf-8"?>
<worksheet xmlns="http://schemas.openxmlformats.org/spreadsheetml/2006/main" xmlns:r="http://schemas.openxmlformats.org/officeDocument/2006/relationships">
  <sheetPr transitionEvaluation="1" transitionEntry="1">
    <tabColor indexed="41"/>
    <pageSetUpPr fitToPage="1"/>
  </sheetPr>
  <dimension ref="A1:AC38"/>
  <sheetViews>
    <sheetView showGridLines="0" workbookViewId="0" topLeftCell="A1">
      <pane xSplit="2" ySplit="5" topLeftCell="E6" activePane="bottomRight" state="frozen"/>
      <selection pane="topLeft" activeCell="A1" sqref="A1"/>
      <selection pane="topRight" activeCell="A1" sqref="A1"/>
      <selection pane="bottomLeft" activeCell="A1" sqref="A1"/>
      <selection pane="bottomRight" activeCell="E5" sqref="E5"/>
    </sheetView>
  </sheetViews>
  <sheetFormatPr defaultColWidth="9.7109375" defaultRowHeight="12.75"/>
  <cols>
    <col min="1" max="1" width="13.8515625" style="15" customWidth="1"/>
    <col min="2" max="2" width="1.421875" style="15" customWidth="1"/>
    <col min="3" max="6" width="7.8515625" style="15" customWidth="1"/>
    <col min="7" max="7" width="1.28515625" style="15" customWidth="1"/>
    <col min="8" max="11" width="7.7109375" style="15" customWidth="1"/>
    <col min="12" max="12" width="1.421875" style="15" customWidth="1"/>
    <col min="13" max="15" width="7.7109375" style="15" customWidth="1"/>
    <col min="16" max="16" width="1.1484375" style="15" customWidth="1"/>
    <col min="17" max="17" width="7.8515625" style="15" customWidth="1"/>
    <col min="18" max="18" width="1.57421875" style="15" customWidth="1"/>
    <col min="19" max="19" width="8.00390625" style="15" customWidth="1"/>
    <col min="20" max="21" width="7.7109375" style="15" customWidth="1"/>
    <col min="22" max="22" width="0.85546875" style="15" customWidth="1"/>
    <col min="23" max="23" width="7.00390625" style="15" customWidth="1"/>
    <col min="24" max="27" width="7.7109375" style="15" customWidth="1"/>
    <col min="28" max="16384" width="9.7109375" style="15" customWidth="1"/>
  </cols>
  <sheetData>
    <row r="1" spans="1:23" ht="16.5" customHeight="1">
      <c r="A1" s="191" t="s">
        <v>441</v>
      </c>
      <c r="B1" s="14"/>
      <c r="C1" s="14"/>
      <c r="D1" s="14"/>
      <c r="E1" s="14"/>
      <c r="F1" s="14"/>
      <c r="G1" s="14"/>
      <c r="H1" s="14"/>
      <c r="I1" s="14"/>
      <c r="J1" s="14"/>
      <c r="K1" s="14"/>
      <c r="L1" s="14"/>
      <c r="M1" s="14"/>
      <c r="N1" s="14"/>
      <c r="O1" s="14"/>
      <c r="P1" s="14"/>
      <c r="Q1" s="14"/>
      <c r="R1" s="14"/>
      <c r="S1" s="14"/>
      <c r="T1" s="14"/>
      <c r="U1" s="14"/>
      <c r="V1" s="13"/>
      <c r="W1" s="13"/>
    </row>
    <row r="2" spans="1:23" ht="12">
      <c r="A2" s="280"/>
      <c r="B2" s="280"/>
      <c r="C2" s="292">
        <v>2006</v>
      </c>
      <c r="D2" s="292"/>
      <c r="E2" s="292"/>
      <c r="F2" s="292"/>
      <c r="G2" s="292"/>
      <c r="H2" s="292">
        <v>2007</v>
      </c>
      <c r="I2" s="292"/>
      <c r="J2" s="292"/>
      <c r="K2" s="292"/>
      <c r="L2" s="292"/>
      <c r="M2" s="534" t="s">
        <v>440</v>
      </c>
      <c r="N2" s="534"/>
      <c r="O2" s="534"/>
      <c r="P2" s="292"/>
      <c r="Q2" s="293"/>
      <c r="R2" s="294"/>
      <c r="S2" s="573" t="s">
        <v>22</v>
      </c>
      <c r="T2" s="427"/>
      <c r="U2" s="427"/>
      <c r="V2" s="295"/>
      <c r="W2" s="283" t="s">
        <v>401</v>
      </c>
    </row>
    <row r="3" spans="1:23" ht="12">
      <c r="A3" s="284" t="s">
        <v>23</v>
      </c>
      <c r="B3" s="296"/>
      <c r="C3" s="297" t="s">
        <v>24</v>
      </c>
      <c r="D3" s="297" t="s">
        <v>25</v>
      </c>
      <c r="E3" s="298" t="s">
        <v>26</v>
      </c>
      <c r="F3" s="297" t="s">
        <v>27</v>
      </c>
      <c r="G3" s="429"/>
      <c r="H3" s="297" t="s">
        <v>24</v>
      </c>
      <c r="I3" s="297" t="s">
        <v>25</v>
      </c>
      <c r="J3" s="298" t="s">
        <v>26</v>
      </c>
      <c r="K3" s="297" t="s">
        <v>27</v>
      </c>
      <c r="L3" s="429"/>
      <c r="M3" s="297" t="s">
        <v>24</v>
      </c>
      <c r="N3" s="297" t="s">
        <v>25</v>
      </c>
      <c r="O3" s="298" t="s">
        <v>26</v>
      </c>
      <c r="P3" s="297"/>
      <c r="Q3" s="286" t="s">
        <v>28</v>
      </c>
      <c r="R3" s="299"/>
      <c r="S3" s="300" t="s">
        <v>337</v>
      </c>
      <c r="T3" s="300" t="s">
        <v>370</v>
      </c>
      <c r="U3" s="300" t="s">
        <v>439</v>
      </c>
      <c r="V3" s="669"/>
      <c r="W3" s="286" t="s">
        <v>29</v>
      </c>
    </row>
    <row r="4" spans="1:23" ht="12">
      <c r="A4" s="16"/>
      <c r="B4" s="18"/>
      <c r="C4" s="506" t="s">
        <v>409</v>
      </c>
      <c r="D4" s="18"/>
      <c r="E4" s="18"/>
      <c r="F4" s="18"/>
      <c r="G4" s="18"/>
      <c r="H4" s="18"/>
      <c r="I4" s="18"/>
      <c r="J4" s="18"/>
      <c r="K4" s="18"/>
      <c r="L4" s="18"/>
      <c r="M4" s="18"/>
      <c r="N4" s="18"/>
      <c r="O4" s="18"/>
      <c r="P4" s="18"/>
      <c r="Q4" s="487" t="s">
        <v>30</v>
      </c>
      <c r="R4" s="17"/>
      <c r="S4" s="506" t="s">
        <v>409</v>
      </c>
      <c r="T4" s="19"/>
      <c r="U4" s="19"/>
      <c r="W4" s="487" t="s">
        <v>30</v>
      </c>
    </row>
    <row r="5" spans="1:23" ht="4.5" customHeight="1">
      <c r="A5" s="16"/>
      <c r="B5" s="16"/>
      <c r="C5" s="17"/>
      <c r="D5" s="16"/>
      <c r="E5" s="16"/>
      <c r="F5" s="16"/>
      <c r="G5" s="16"/>
      <c r="H5" s="17"/>
      <c r="I5" s="16"/>
      <c r="J5" s="16"/>
      <c r="K5" s="16"/>
      <c r="L5" s="16"/>
      <c r="M5" s="17"/>
      <c r="N5" s="17"/>
      <c r="O5" s="17"/>
      <c r="P5" s="16"/>
      <c r="Q5" s="16"/>
      <c r="R5" s="17"/>
      <c r="S5" s="17"/>
      <c r="T5" s="17"/>
      <c r="U5" s="17"/>
      <c r="W5" s="17"/>
    </row>
    <row r="6" spans="1:29" ht="9.75" customHeight="1">
      <c r="A6" s="20" t="s">
        <v>31</v>
      </c>
      <c r="B6" s="22"/>
      <c r="C6" s="21">
        <v>222</v>
      </c>
      <c r="D6" s="21">
        <v>201</v>
      </c>
      <c r="E6" s="21">
        <v>143</v>
      </c>
      <c r="F6" s="21">
        <v>110</v>
      </c>
      <c r="G6" s="21"/>
      <c r="H6" s="21">
        <v>77</v>
      </c>
      <c r="I6" s="21">
        <v>332</v>
      </c>
      <c r="J6" s="21">
        <v>249</v>
      </c>
      <c r="K6" s="21">
        <v>162</v>
      </c>
      <c r="L6" s="21"/>
      <c r="M6" s="21">
        <f>SUM(Fresh2!I6:K6)</f>
        <v>227</v>
      </c>
      <c r="N6" s="21">
        <f>SUM(Fresh2!L6:N6)</f>
        <v>348</v>
      </c>
      <c r="O6" s="21">
        <f>SUM(Fresh2!O6:Q6)</f>
        <v>247</v>
      </c>
      <c r="P6" s="21"/>
      <c r="Q6" s="23">
        <f aca="true" t="shared" si="0" ref="Q6:Q29">+((O6)/(J6)-1)*100</f>
        <v>-0.8032128514056214</v>
      </c>
      <c r="R6" s="17"/>
      <c r="S6" s="21">
        <v>559</v>
      </c>
      <c r="T6" s="21">
        <v>676</v>
      </c>
      <c r="U6" s="21">
        <v>820</v>
      </c>
      <c r="W6" s="23">
        <f aca="true" t="shared" si="1" ref="W6:W29">((+U6/T6)-1)*100</f>
        <v>21.301775147928993</v>
      </c>
      <c r="AC6" s="20"/>
    </row>
    <row r="7" spans="1:29" ht="9.75" customHeight="1">
      <c r="A7" s="20" t="s">
        <v>32</v>
      </c>
      <c r="B7" s="22"/>
      <c r="C7" s="21">
        <v>1137</v>
      </c>
      <c r="D7" s="21">
        <v>1051</v>
      </c>
      <c r="E7" s="21">
        <v>670</v>
      </c>
      <c r="F7" s="21">
        <v>767</v>
      </c>
      <c r="G7" s="21"/>
      <c r="H7" s="21">
        <v>1296</v>
      </c>
      <c r="I7" s="21">
        <v>982</v>
      </c>
      <c r="J7" s="21">
        <v>580</v>
      </c>
      <c r="K7" s="21">
        <v>763</v>
      </c>
      <c r="L7" s="21"/>
      <c r="M7" s="21">
        <f>SUM(Fresh2!I7:K7)</f>
        <v>1271</v>
      </c>
      <c r="N7" s="21">
        <f>SUM(Fresh2!L7:N7)</f>
        <v>893</v>
      </c>
      <c r="O7" s="21">
        <f>SUM(Fresh2!O7:Q7)</f>
        <v>522</v>
      </c>
      <c r="P7" s="21"/>
      <c r="Q7" s="23">
        <f t="shared" si="0"/>
        <v>-9.999999999999998</v>
      </c>
      <c r="R7" s="17"/>
      <c r="S7" s="21">
        <v>3680</v>
      </c>
      <c r="T7" s="21">
        <v>2420</v>
      </c>
      <c r="U7" s="21">
        <v>3621</v>
      </c>
      <c r="W7" s="23">
        <f t="shared" si="1"/>
        <v>49.62809917355371</v>
      </c>
      <c r="AC7" s="20"/>
    </row>
    <row r="8" spans="1:29" ht="9.75" customHeight="1">
      <c r="A8" s="24" t="s">
        <v>33</v>
      </c>
      <c r="B8" s="22"/>
      <c r="C8" s="21">
        <v>921</v>
      </c>
      <c r="D8" s="21">
        <v>1122</v>
      </c>
      <c r="E8" s="21">
        <v>384</v>
      </c>
      <c r="F8" s="21">
        <v>905</v>
      </c>
      <c r="G8" s="21"/>
      <c r="H8" s="21">
        <v>958</v>
      </c>
      <c r="I8" s="21">
        <v>1078</v>
      </c>
      <c r="J8" s="21">
        <v>389</v>
      </c>
      <c r="K8" s="21">
        <v>886</v>
      </c>
      <c r="L8" s="21"/>
      <c r="M8" s="21">
        <f>SUM(Fresh2!I8:K8)</f>
        <v>986</v>
      </c>
      <c r="N8" s="21">
        <f>SUM(Fresh2!L8:N8)</f>
        <v>982</v>
      </c>
      <c r="O8" s="21">
        <f>SUM(Fresh2!O8:Q8)</f>
        <v>350</v>
      </c>
      <c r="P8" s="21"/>
      <c r="Q8" s="23">
        <f t="shared" si="0"/>
        <v>-10.025706940874034</v>
      </c>
      <c r="R8" s="17"/>
      <c r="S8" s="21">
        <v>2596</v>
      </c>
      <c r="T8" s="21">
        <v>3332</v>
      </c>
      <c r="U8" s="21">
        <v>3311</v>
      </c>
      <c r="W8" s="23">
        <f t="shared" si="1"/>
        <v>-0.6302521008403339</v>
      </c>
      <c r="AC8" s="24"/>
    </row>
    <row r="9" spans="1:29" ht="9.75" customHeight="1">
      <c r="A9" s="24" t="s">
        <v>34</v>
      </c>
      <c r="B9" s="22"/>
      <c r="C9" s="21">
        <v>3053</v>
      </c>
      <c r="D9" s="21">
        <v>2365</v>
      </c>
      <c r="E9" s="21">
        <v>2016</v>
      </c>
      <c r="F9" s="21">
        <v>2349</v>
      </c>
      <c r="G9" s="21"/>
      <c r="H9" s="21">
        <v>2771</v>
      </c>
      <c r="I9" s="21">
        <v>2194</v>
      </c>
      <c r="J9" s="21">
        <v>2008</v>
      </c>
      <c r="K9" s="21">
        <v>2565</v>
      </c>
      <c r="L9" s="21"/>
      <c r="M9" s="21">
        <f>SUM(Fresh2!I9:K9)</f>
        <v>2909</v>
      </c>
      <c r="N9" s="21">
        <f>SUM(Fresh2!L9:N9)</f>
        <v>2441</v>
      </c>
      <c r="O9" s="21">
        <f>SUM(Fresh2!O9:Q9)</f>
        <v>2167</v>
      </c>
      <c r="P9" s="21"/>
      <c r="Q9" s="23">
        <f t="shared" si="0"/>
        <v>7.918326693227096</v>
      </c>
      <c r="R9" s="17"/>
      <c r="S9" s="21">
        <v>9803</v>
      </c>
      <c r="T9" s="21">
        <v>9783</v>
      </c>
      <c r="U9" s="21">
        <v>9538</v>
      </c>
      <c r="W9" s="23">
        <f t="shared" si="1"/>
        <v>-2.5043442706736196</v>
      </c>
      <c r="AC9" s="24"/>
    </row>
    <row r="10" spans="1:29" ht="9.75" customHeight="1">
      <c r="A10" s="24" t="s">
        <v>35</v>
      </c>
      <c r="B10" s="22"/>
      <c r="C10" s="21">
        <v>4140</v>
      </c>
      <c r="D10" s="21">
        <v>3065</v>
      </c>
      <c r="E10" s="21">
        <v>2607</v>
      </c>
      <c r="F10" s="21">
        <v>3237</v>
      </c>
      <c r="G10" s="21"/>
      <c r="H10" s="21">
        <v>4159</v>
      </c>
      <c r="I10" s="21">
        <v>2867</v>
      </c>
      <c r="J10" s="21">
        <v>2389</v>
      </c>
      <c r="K10" s="21">
        <v>3292</v>
      </c>
      <c r="L10" s="21"/>
      <c r="M10" s="21">
        <f>SUM(Fresh2!I10:K10)</f>
        <v>4044</v>
      </c>
      <c r="N10" s="21">
        <f>SUM(Fresh2!L10:N10)</f>
        <v>2428</v>
      </c>
      <c r="O10" s="21">
        <f>SUM(Fresh2!O10:Q10)</f>
        <v>2287</v>
      </c>
      <c r="P10" s="21"/>
      <c r="Q10" s="23">
        <f t="shared" si="0"/>
        <v>-4.269568857262451</v>
      </c>
      <c r="R10" s="17"/>
      <c r="S10" s="21">
        <v>13521</v>
      </c>
      <c r="T10" s="21">
        <v>13049</v>
      </c>
      <c r="U10" s="21">
        <v>12707</v>
      </c>
      <c r="W10" s="23">
        <f t="shared" si="1"/>
        <v>-2.6208904896926954</v>
      </c>
      <c r="AC10" s="24"/>
    </row>
    <row r="11" spans="1:29" ht="9.75" customHeight="1">
      <c r="A11" s="25" t="s">
        <v>36</v>
      </c>
      <c r="B11" s="22"/>
      <c r="C11" s="21">
        <v>4388</v>
      </c>
      <c r="D11" s="21">
        <v>10271</v>
      </c>
      <c r="E11" s="21">
        <v>8498</v>
      </c>
      <c r="F11" s="21">
        <v>4221</v>
      </c>
      <c r="G11" s="21"/>
      <c r="H11" s="21">
        <v>4395.7</v>
      </c>
      <c r="I11" s="21">
        <v>9774</v>
      </c>
      <c r="J11" s="21">
        <v>9033.5</v>
      </c>
      <c r="K11" s="21">
        <v>3286</v>
      </c>
      <c r="L11" s="21"/>
      <c r="M11" s="21">
        <f>SUM(Fresh2!I49:K49)</f>
        <v>4201.9</v>
      </c>
      <c r="N11" s="21">
        <f>SUM(Fresh2!L49:N49)</f>
        <v>8921</v>
      </c>
      <c r="O11" s="21">
        <f>SUM(Fresh2!O49:Q49)</f>
        <v>9666</v>
      </c>
      <c r="P11" s="21"/>
      <c r="Q11" s="23">
        <f t="shared" si="0"/>
        <v>7.001715835501199</v>
      </c>
      <c r="R11" s="17"/>
      <c r="S11" s="21">
        <f>19173+9414</f>
        <v>28587</v>
      </c>
      <c r="T11" s="21">
        <v>27378</v>
      </c>
      <c r="U11" s="21">
        <v>26489.2</v>
      </c>
      <c r="W11" s="23">
        <f t="shared" si="1"/>
        <v>-3.246402220761191</v>
      </c>
      <c r="AC11" s="24"/>
    </row>
    <row r="12" spans="1:29" ht="9.75" customHeight="1">
      <c r="A12" s="24" t="s">
        <v>37</v>
      </c>
      <c r="B12" s="22"/>
      <c r="C12" s="21">
        <v>2993</v>
      </c>
      <c r="D12" s="21">
        <v>2742</v>
      </c>
      <c r="E12" s="21">
        <v>2434</v>
      </c>
      <c r="F12" s="21">
        <v>2728</v>
      </c>
      <c r="G12" s="21"/>
      <c r="H12" s="21">
        <v>2425</v>
      </c>
      <c r="I12" s="21">
        <v>2254</v>
      </c>
      <c r="J12" s="21">
        <v>2179</v>
      </c>
      <c r="K12" s="21">
        <v>2804</v>
      </c>
      <c r="L12" s="21"/>
      <c r="M12" s="21">
        <f>SUM(Fresh2!I11:K11)</f>
        <v>2593</v>
      </c>
      <c r="N12" s="21">
        <f>SUM(Fresh2!L11:N11)</f>
        <v>2487</v>
      </c>
      <c r="O12" s="21">
        <f>SUM(Fresh2!O11:Q11)</f>
        <v>2039</v>
      </c>
      <c r="P12" s="21"/>
      <c r="Q12" s="23">
        <f t="shared" si="0"/>
        <v>-6.424965580541531</v>
      </c>
      <c r="R12" s="17"/>
      <c r="S12" s="21">
        <v>11085</v>
      </c>
      <c r="T12" s="21">
        <v>10897</v>
      </c>
      <c r="U12" s="21">
        <v>9662</v>
      </c>
      <c r="W12" s="23">
        <f t="shared" si="1"/>
        <v>-11.333394512251083</v>
      </c>
      <c r="AC12" s="25"/>
    </row>
    <row r="13" spans="1:29" ht="9.75" customHeight="1">
      <c r="A13" s="24" t="s">
        <v>38</v>
      </c>
      <c r="B13" s="22"/>
      <c r="C13" s="21">
        <v>1311</v>
      </c>
      <c r="D13" s="21">
        <v>1039</v>
      </c>
      <c r="E13" s="21">
        <v>879</v>
      </c>
      <c r="F13" s="21">
        <v>990</v>
      </c>
      <c r="G13" s="21"/>
      <c r="H13" s="21">
        <v>1005</v>
      </c>
      <c r="I13" s="21">
        <v>942</v>
      </c>
      <c r="J13" s="21">
        <v>943</v>
      </c>
      <c r="K13" s="21">
        <v>1054</v>
      </c>
      <c r="L13" s="21"/>
      <c r="M13" s="21">
        <f>SUM(Fresh2!I12:K12)</f>
        <v>1074</v>
      </c>
      <c r="N13" s="21">
        <f>SUM(Fresh2!L12:N12)</f>
        <v>936</v>
      </c>
      <c r="O13" s="21">
        <f>SUM(Fresh2!O12:Q12)</f>
        <v>806</v>
      </c>
      <c r="P13" s="21"/>
      <c r="Q13" s="23">
        <f t="shared" si="0"/>
        <v>-14.528101802757154</v>
      </c>
      <c r="R13" s="17"/>
      <c r="S13" s="21">
        <v>4293</v>
      </c>
      <c r="T13" s="21">
        <v>4219</v>
      </c>
      <c r="U13" s="21">
        <v>3944</v>
      </c>
      <c r="W13" s="23">
        <f t="shared" si="1"/>
        <v>-6.518132258829102</v>
      </c>
      <c r="AC13" s="24"/>
    </row>
    <row r="14" spans="1:29" ht="9.75" customHeight="1">
      <c r="A14" s="24" t="s">
        <v>39</v>
      </c>
      <c r="B14" s="22"/>
      <c r="C14" s="21">
        <v>4566</v>
      </c>
      <c r="D14" s="21">
        <v>4186</v>
      </c>
      <c r="E14" s="21">
        <v>3479</v>
      </c>
      <c r="F14" s="21">
        <v>4539</v>
      </c>
      <c r="G14" s="21"/>
      <c r="H14" s="21">
        <v>4057</v>
      </c>
      <c r="I14" s="21">
        <v>4071</v>
      </c>
      <c r="J14" s="21">
        <v>3487</v>
      </c>
      <c r="K14" s="21">
        <v>4876</v>
      </c>
      <c r="L14" s="21"/>
      <c r="M14" s="21">
        <f>SUM(Fresh2!I13:K13)</f>
        <v>4509</v>
      </c>
      <c r="N14" s="21">
        <f>SUM(Fresh2!L13:N13)</f>
        <v>3663</v>
      </c>
      <c r="O14" s="21">
        <f>SUM(Fresh2!O13:Q13)</f>
        <v>3359</v>
      </c>
      <c r="P14" s="21"/>
      <c r="Q14" s="23">
        <f t="shared" si="0"/>
        <v>-3.6707771723544558</v>
      </c>
      <c r="R14" s="17"/>
      <c r="S14" s="21">
        <v>17848</v>
      </c>
      <c r="T14" s="21">
        <v>16770</v>
      </c>
      <c r="U14" s="21">
        <v>16491</v>
      </c>
      <c r="W14" s="23">
        <f t="shared" si="1"/>
        <v>-1.6636851520572482</v>
      </c>
      <c r="AC14" s="24"/>
    </row>
    <row r="15" spans="1:29" ht="9.75" customHeight="1">
      <c r="A15" s="24" t="s">
        <v>40</v>
      </c>
      <c r="B15" s="22"/>
      <c r="C15" s="21">
        <v>1530</v>
      </c>
      <c r="D15" s="21">
        <v>7563</v>
      </c>
      <c r="E15" s="21">
        <v>1044</v>
      </c>
      <c r="F15" s="21">
        <v>1301</v>
      </c>
      <c r="G15" s="21"/>
      <c r="H15" s="21">
        <v>1659</v>
      </c>
      <c r="I15" s="21">
        <v>7239</v>
      </c>
      <c r="J15" s="21">
        <v>1149</v>
      </c>
      <c r="K15" s="21">
        <v>1215</v>
      </c>
      <c r="L15" s="21"/>
      <c r="M15" s="21">
        <f>SUM(Fresh2!I14:K14)</f>
        <v>1832</v>
      </c>
      <c r="N15" s="21">
        <f>SUM(Fresh2!L14:N14)</f>
        <v>7198</v>
      </c>
      <c r="O15" s="21">
        <f>SUM(Fresh2!O14:Q14)</f>
        <v>1662</v>
      </c>
      <c r="P15" s="21"/>
      <c r="Q15" s="23">
        <f t="shared" si="0"/>
        <v>44.64751958224542</v>
      </c>
      <c r="R15" s="17"/>
      <c r="S15" s="21">
        <v>9972</v>
      </c>
      <c r="T15" s="21">
        <v>11438</v>
      </c>
      <c r="U15" s="21">
        <v>11262</v>
      </c>
      <c r="W15" s="23">
        <f t="shared" si="1"/>
        <v>-1.5387305472984836</v>
      </c>
      <c r="AC15" s="24"/>
    </row>
    <row r="16" spans="1:29" ht="9.75" customHeight="1">
      <c r="A16" s="24" t="s">
        <v>41</v>
      </c>
      <c r="B16" s="22"/>
      <c r="C16" s="21">
        <v>3575</v>
      </c>
      <c r="D16" s="21">
        <v>3596</v>
      </c>
      <c r="E16" s="21">
        <v>2951</v>
      </c>
      <c r="F16" s="21">
        <v>4126</v>
      </c>
      <c r="G16" s="21"/>
      <c r="H16" s="21">
        <v>4313</v>
      </c>
      <c r="I16" s="21">
        <v>4465</v>
      </c>
      <c r="J16" s="21">
        <v>2731</v>
      </c>
      <c r="K16" s="21">
        <v>4029</v>
      </c>
      <c r="L16" s="21"/>
      <c r="M16" s="21">
        <f>SUM(Fresh2!I15:K15)</f>
        <v>4592</v>
      </c>
      <c r="N16" s="21">
        <f>SUM(Fresh2!L15:N15)</f>
        <v>3869</v>
      </c>
      <c r="O16" s="21">
        <f>SUM(Fresh2!O15:Q15)</f>
        <v>2618</v>
      </c>
      <c r="P16" s="21"/>
      <c r="Q16" s="23">
        <f t="shared" si="0"/>
        <v>-4.137678506041742</v>
      </c>
      <c r="R16" s="17"/>
      <c r="S16" s="21">
        <v>14100</v>
      </c>
      <c r="T16" s="21">
        <v>14248</v>
      </c>
      <c r="U16" s="21">
        <v>15538</v>
      </c>
      <c r="W16" s="23">
        <f t="shared" si="1"/>
        <v>9.053902302077477</v>
      </c>
      <c r="AC16" s="24"/>
    </row>
    <row r="17" spans="1:29" ht="9.75" customHeight="1">
      <c r="A17" s="24" t="s">
        <v>42</v>
      </c>
      <c r="B17" s="22"/>
      <c r="C17" s="21">
        <v>8566</v>
      </c>
      <c r="D17" s="21">
        <v>9737</v>
      </c>
      <c r="E17" s="21">
        <v>9451</v>
      </c>
      <c r="F17" s="21">
        <v>9126</v>
      </c>
      <c r="G17" s="21"/>
      <c r="H17" s="21">
        <v>9047</v>
      </c>
      <c r="I17" s="21">
        <v>9169</v>
      </c>
      <c r="J17" s="21">
        <v>8721</v>
      </c>
      <c r="K17" s="21">
        <v>8297</v>
      </c>
      <c r="L17" s="21"/>
      <c r="M17" s="21">
        <f>SUM(Fresh2!I18:K18)</f>
        <v>7855</v>
      </c>
      <c r="N17" s="21">
        <f>SUM(Fresh2!L18:N18)</f>
        <v>8477</v>
      </c>
      <c r="O17" s="21">
        <f>SUM(Fresh2!O18:Q18)</f>
        <v>8206</v>
      </c>
      <c r="P17" s="21"/>
      <c r="Q17" s="23">
        <f t="shared" si="0"/>
        <v>-5.905286091044603</v>
      </c>
      <c r="R17" s="17"/>
      <c r="S17" s="21">
        <v>38255</v>
      </c>
      <c r="T17" s="21">
        <v>36880</v>
      </c>
      <c r="U17" s="21">
        <v>35234</v>
      </c>
      <c r="W17" s="23">
        <f t="shared" si="1"/>
        <v>-4.463123644251632</v>
      </c>
      <c r="AC17" s="24"/>
    </row>
    <row r="18" spans="1:29" ht="9.75" customHeight="1">
      <c r="A18" s="24" t="s">
        <v>43</v>
      </c>
      <c r="B18" s="22"/>
      <c r="C18" s="21">
        <v>3863</v>
      </c>
      <c r="D18" s="21">
        <v>3446</v>
      </c>
      <c r="E18" s="21">
        <v>3302</v>
      </c>
      <c r="F18" s="21">
        <v>3910</v>
      </c>
      <c r="G18" s="21"/>
      <c r="H18" s="21">
        <v>4065</v>
      </c>
      <c r="I18" s="21">
        <v>3807</v>
      </c>
      <c r="J18" s="21">
        <v>3637</v>
      </c>
      <c r="K18" s="21">
        <v>3946</v>
      </c>
      <c r="L18" s="21"/>
      <c r="M18" s="21">
        <f>SUM(Fresh2!I19:K19)</f>
        <v>3657</v>
      </c>
      <c r="N18" s="21">
        <f>SUM(Fresh2!L19:N19)</f>
        <v>4051</v>
      </c>
      <c r="O18" s="21">
        <f>SUM(Fresh2!O19:Q19)</f>
        <v>3551</v>
      </c>
      <c r="P18" s="21"/>
      <c r="Q18" s="23">
        <f t="shared" si="0"/>
        <v>-2.3645861974154525</v>
      </c>
      <c r="R18" s="17"/>
      <c r="S18" s="21">
        <v>14510</v>
      </c>
      <c r="T18" s="21">
        <v>14521</v>
      </c>
      <c r="U18" s="21">
        <v>15455</v>
      </c>
      <c r="W18" s="23">
        <f t="shared" si="1"/>
        <v>6.432063907444396</v>
      </c>
      <c r="AC18" s="24"/>
    </row>
    <row r="19" spans="1:29" ht="9.75" customHeight="1">
      <c r="A19" s="24" t="s">
        <v>44</v>
      </c>
      <c r="B19" s="22"/>
      <c r="C19" s="21">
        <v>1050</v>
      </c>
      <c r="D19" s="21">
        <v>900</v>
      </c>
      <c r="E19" s="21">
        <v>1042</v>
      </c>
      <c r="F19" s="21">
        <v>1149</v>
      </c>
      <c r="G19" s="21"/>
      <c r="H19" s="21">
        <v>1203</v>
      </c>
      <c r="I19" s="21">
        <v>1015</v>
      </c>
      <c r="J19" s="21">
        <v>975</v>
      </c>
      <c r="K19" s="21">
        <v>1021</v>
      </c>
      <c r="L19" s="21"/>
      <c r="M19" s="21">
        <f>SUM(Fresh2!I20:K20)</f>
        <v>1124</v>
      </c>
      <c r="N19" s="21">
        <f>SUM(Fresh2!L20:N20)</f>
        <v>945</v>
      </c>
      <c r="O19" s="21">
        <f>SUM(Fresh2!O20:Q20)</f>
        <v>819</v>
      </c>
      <c r="P19" s="21"/>
      <c r="Q19" s="23">
        <f t="shared" si="0"/>
        <v>-16.000000000000004</v>
      </c>
      <c r="R19" s="17"/>
      <c r="S19" s="21">
        <v>4274</v>
      </c>
      <c r="T19" s="21">
        <v>4141</v>
      </c>
      <c r="U19" s="21">
        <v>4214</v>
      </c>
      <c r="W19" s="23">
        <f t="shared" si="1"/>
        <v>1.762859212750545</v>
      </c>
      <c r="AC19" s="25"/>
    </row>
    <row r="20" spans="1:29" ht="9.75" customHeight="1">
      <c r="A20" s="25" t="s">
        <v>45</v>
      </c>
      <c r="B20" s="22"/>
      <c r="C20" s="21">
        <v>11170</v>
      </c>
      <c r="D20" s="21">
        <v>12391</v>
      </c>
      <c r="E20" s="21">
        <v>10382</v>
      </c>
      <c r="F20" s="21">
        <v>12059</v>
      </c>
      <c r="G20" s="21"/>
      <c r="H20" s="21">
        <v>11158</v>
      </c>
      <c r="I20" s="21">
        <v>12055</v>
      </c>
      <c r="J20" s="21">
        <v>11811</v>
      </c>
      <c r="K20" s="21">
        <v>13296</v>
      </c>
      <c r="L20" s="21"/>
      <c r="M20" s="21">
        <f>SUM(Fresh2!I24:K24)</f>
        <v>12370</v>
      </c>
      <c r="N20" s="21">
        <f>SUM(Fresh2!L24:N24)</f>
        <v>11949</v>
      </c>
      <c r="O20" s="21">
        <f>SUM(Fresh2!O24:Q24)</f>
        <v>11541</v>
      </c>
      <c r="P20" s="21"/>
      <c r="Q20" s="23">
        <f t="shared" si="0"/>
        <v>-2.286004572009148</v>
      </c>
      <c r="R20" s="17"/>
      <c r="S20" s="21">
        <v>50296</v>
      </c>
      <c r="T20" s="21">
        <v>46002</v>
      </c>
      <c r="U20" s="21">
        <v>48320</v>
      </c>
      <c r="W20" s="23">
        <f t="shared" si="1"/>
        <v>5.038911351680353</v>
      </c>
      <c r="AC20" s="24"/>
    </row>
    <row r="21" spans="1:29" ht="9.75" customHeight="1">
      <c r="A21" s="25" t="s">
        <v>46</v>
      </c>
      <c r="B21" s="21"/>
      <c r="C21" s="21">
        <v>1050</v>
      </c>
      <c r="D21" s="21">
        <v>932</v>
      </c>
      <c r="E21" s="21">
        <v>555</v>
      </c>
      <c r="F21" s="21">
        <v>929</v>
      </c>
      <c r="G21" s="21"/>
      <c r="H21" s="21">
        <v>1001</v>
      </c>
      <c r="I21" s="21">
        <v>805</v>
      </c>
      <c r="J21" s="21">
        <v>430</v>
      </c>
      <c r="K21" s="21">
        <v>695</v>
      </c>
      <c r="L21" s="21"/>
      <c r="M21" s="21">
        <f>SUM(Fresh2!I25:K25)</f>
        <v>1003</v>
      </c>
      <c r="N21" s="21">
        <f>SUM(Fresh2!L25:N25)</f>
        <v>933</v>
      </c>
      <c r="O21" s="21">
        <f>SUM(Fresh2!O25:Q25)</f>
        <v>600</v>
      </c>
      <c r="P21" s="21"/>
      <c r="Q21" s="23">
        <f t="shared" si="0"/>
        <v>39.53488372093024</v>
      </c>
      <c r="R21" s="17"/>
      <c r="S21" s="21">
        <v>3540</v>
      </c>
      <c r="T21" s="21">
        <v>3466</v>
      </c>
      <c r="U21" s="21">
        <v>2931</v>
      </c>
      <c r="W21" s="23">
        <f t="shared" si="1"/>
        <v>-15.435660703981535</v>
      </c>
      <c r="AC21" s="24"/>
    </row>
    <row r="22" spans="1:29" ht="9.75" customHeight="1">
      <c r="A22" s="25" t="s">
        <v>47</v>
      </c>
      <c r="B22" s="22"/>
      <c r="C22" s="21">
        <v>4904</v>
      </c>
      <c r="D22" s="21">
        <v>5297</v>
      </c>
      <c r="E22" s="21">
        <v>3205</v>
      </c>
      <c r="F22" s="21">
        <v>4237</v>
      </c>
      <c r="G22" s="21"/>
      <c r="H22" s="21">
        <v>4459</v>
      </c>
      <c r="I22" s="21">
        <v>4887</v>
      </c>
      <c r="J22" s="21">
        <v>3926</v>
      </c>
      <c r="K22" s="21">
        <v>4588</v>
      </c>
      <c r="L22" s="21"/>
      <c r="M22" s="21">
        <f>SUM(Fresh2!I27:K27)</f>
        <v>4870</v>
      </c>
      <c r="N22" s="21">
        <f>SUM(Fresh2!L27:N27)</f>
        <v>3982</v>
      </c>
      <c r="O22" s="21">
        <f>SUM(Fresh2!O27:Q27)</f>
        <v>3154</v>
      </c>
      <c r="P22" s="21"/>
      <c r="Q22" s="23">
        <f t="shared" si="0"/>
        <v>-19.66377992868059</v>
      </c>
      <c r="R22" s="17"/>
      <c r="S22" s="21">
        <v>16577</v>
      </c>
      <c r="T22" s="21">
        <v>17643</v>
      </c>
      <c r="U22" s="21">
        <v>17860</v>
      </c>
      <c r="W22" s="23">
        <f t="shared" si="1"/>
        <v>1.2299495550643247</v>
      </c>
      <c r="AC22" s="24"/>
    </row>
    <row r="23" spans="1:29" ht="9.75" customHeight="1">
      <c r="A23" s="25" t="s">
        <v>48</v>
      </c>
      <c r="B23" s="22"/>
      <c r="C23" s="21">
        <v>1521</v>
      </c>
      <c r="D23" s="21">
        <v>1312</v>
      </c>
      <c r="E23" s="21">
        <v>1032</v>
      </c>
      <c r="F23" s="21">
        <v>918</v>
      </c>
      <c r="G23" s="21"/>
      <c r="H23" s="21">
        <v>1465</v>
      </c>
      <c r="I23" s="21">
        <v>1276</v>
      </c>
      <c r="J23" s="21">
        <v>1583</v>
      </c>
      <c r="K23" s="21">
        <v>1773</v>
      </c>
      <c r="L23" s="21"/>
      <c r="M23" s="21">
        <f>SUM(Fresh2!I28:K28)</f>
        <v>1609</v>
      </c>
      <c r="N23" s="21">
        <f>SUM(Fresh2!L28:N28)</f>
        <v>1501</v>
      </c>
      <c r="O23" s="21">
        <f>SUM(Fresh2!O28:Q28)</f>
        <v>1673</v>
      </c>
      <c r="P23" s="21"/>
      <c r="Q23" s="23">
        <f t="shared" si="0"/>
        <v>5.685407454200875</v>
      </c>
      <c r="R23" s="17"/>
      <c r="S23" s="21">
        <v>4009</v>
      </c>
      <c r="T23" s="21">
        <v>4783</v>
      </c>
      <c r="U23" s="21">
        <v>6097</v>
      </c>
      <c r="W23" s="23">
        <f t="shared" si="1"/>
        <v>27.47229772109554</v>
      </c>
      <c r="AC23" s="24"/>
    </row>
    <row r="24" spans="1:29" ht="9.75" customHeight="1">
      <c r="A24" s="25" t="s">
        <v>49</v>
      </c>
      <c r="B24" s="22"/>
      <c r="C24" s="21">
        <v>400</v>
      </c>
      <c r="D24" s="21">
        <v>230</v>
      </c>
      <c r="E24" s="21">
        <v>169</v>
      </c>
      <c r="F24" s="21">
        <v>320</v>
      </c>
      <c r="G24" s="21"/>
      <c r="H24" s="21">
        <v>385</v>
      </c>
      <c r="I24" s="21">
        <v>207</v>
      </c>
      <c r="J24" s="21">
        <v>129</v>
      </c>
      <c r="K24" s="21">
        <v>263</v>
      </c>
      <c r="L24" s="21"/>
      <c r="M24" s="21">
        <f>SUM(Fresh2!I29:K29)</f>
        <v>391</v>
      </c>
      <c r="N24" s="21">
        <f>SUM(Fresh2!L29:N29)</f>
        <v>190</v>
      </c>
      <c r="O24" s="21">
        <f>SUM(Fresh2!O29:Q29)</f>
        <v>74</v>
      </c>
      <c r="P24" s="21"/>
      <c r="Q24" s="23">
        <f t="shared" si="0"/>
        <v>-42.63565891472868</v>
      </c>
      <c r="R24" s="17"/>
      <c r="S24" s="21">
        <v>1051</v>
      </c>
      <c r="T24" s="21">
        <v>1119</v>
      </c>
      <c r="U24" s="21">
        <v>984</v>
      </c>
      <c r="W24" s="23">
        <f t="shared" si="1"/>
        <v>-12.06434316353887</v>
      </c>
      <c r="AC24" s="25"/>
    </row>
    <row r="25" spans="1:29" ht="9.75" customHeight="1">
      <c r="A25" s="24" t="s">
        <v>50</v>
      </c>
      <c r="B25" s="22"/>
      <c r="C25" s="21">
        <v>2566</v>
      </c>
      <c r="D25" s="21">
        <v>1548</v>
      </c>
      <c r="E25" s="21">
        <v>799</v>
      </c>
      <c r="F25" s="21">
        <v>2121</v>
      </c>
      <c r="G25" s="21"/>
      <c r="H25" s="21">
        <v>2579</v>
      </c>
      <c r="I25" s="21">
        <v>1626</v>
      </c>
      <c r="J25" s="21">
        <v>746</v>
      </c>
      <c r="K25" s="21">
        <v>2063</v>
      </c>
      <c r="L25" s="21"/>
      <c r="M25" s="21">
        <f>SUM(Fresh2!I31:K31)</f>
        <v>2443</v>
      </c>
      <c r="N25" s="21">
        <f>SUM(Fresh2!L31:N31)</f>
        <v>1998</v>
      </c>
      <c r="O25" s="21">
        <f>SUM(Fresh2!O31:Q31)</f>
        <v>755</v>
      </c>
      <c r="P25" s="21"/>
      <c r="Q25" s="23">
        <f t="shared" si="0"/>
        <v>1.206434316353877</v>
      </c>
      <c r="R25" s="17"/>
      <c r="S25" s="21">
        <v>7019</v>
      </c>
      <c r="T25" s="21">
        <v>7034</v>
      </c>
      <c r="U25" s="21">
        <v>7014</v>
      </c>
      <c r="W25" s="23">
        <f t="shared" si="1"/>
        <v>-0.2843332385555897</v>
      </c>
      <c r="AC25" s="25"/>
    </row>
    <row r="26" spans="1:29" ht="9.75" customHeight="1">
      <c r="A26" s="25" t="s">
        <v>51</v>
      </c>
      <c r="B26" s="22"/>
      <c r="C26" s="21">
        <v>14505</v>
      </c>
      <c r="D26" s="21">
        <v>13129</v>
      </c>
      <c r="E26" s="21">
        <v>10600</v>
      </c>
      <c r="F26" s="21">
        <v>11468</v>
      </c>
      <c r="G26" s="21"/>
      <c r="H26" s="21">
        <v>13804</v>
      </c>
      <c r="I26" s="21">
        <v>13694</v>
      </c>
      <c r="J26" s="21">
        <v>11777</v>
      </c>
      <c r="K26" s="21">
        <v>11587</v>
      </c>
      <c r="L26" s="21"/>
      <c r="M26" s="21">
        <f>SUM(Fresh2!I32:K32)</f>
        <v>14409</v>
      </c>
      <c r="N26" s="21">
        <f>SUM(Fresh2!L32:N32)</f>
        <v>14271</v>
      </c>
      <c r="O26" s="21">
        <f>SUM(Fresh2!O32:Q32)</f>
        <v>11598</v>
      </c>
      <c r="P26" s="21"/>
      <c r="Q26" s="23">
        <f t="shared" si="0"/>
        <v>-1.5199116922815614</v>
      </c>
      <c r="R26" s="17"/>
      <c r="S26" s="21">
        <v>52713</v>
      </c>
      <c r="T26" s="21">
        <v>49702</v>
      </c>
      <c r="U26" s="21">
        <v>50862</v>
      </c>
      <c r="W26" s="23">
        <f t="shared" si="1"/>
        <v>2.3339101042211485</v>
      </c>
      <c r="AC26" s="25"/>
    </row>
    <row r="27" spans="1:29" ht="9.75" customHeight="1">
      <c r="A27" s="25" t="s">
        <v>437</v>
      </c>
      <c r="B27" s="22"/>
      <c r="C27" s="21">
        <v>1295</v>
      </c>
      <c r="D27" s="21">
        <v>1033</v>
      </c>
      <c r="E27" s="21">
        <v>798</v>
      </c>
      <c r="F27" s="21">
        <v>1056</v>
      </c>
      <c r="G27" s="21"/>
      <c r="H27" s="21">
        <v>1233</v>
      </c>
      <c r="I27" s="21">
        <v>1187</v>
      </c>
      <c r="J27" s="21">
        <v>974</v>
      </c>
      <c r="K27" s="21">
        <v>1173</v>
      </c>
      <c r="L27" s="21"/>
      <c r="M27" s="21">
        <f>SUM(Fresh2!I36:K36)</f>
        <v>1434</v>
      </c>
      <c r="N27" s="21">
        <f>SUM(Fresh2!L36:N36)</f>
        <v>1229</v>
      </c>
      <c r="O27" s="21">
        <f>SUM(Fresh2!O36:Q36)</f>
        <v>776</v>
      </c>
      <c r="P27" s="21"/>
      <c r="Q27" s="23">
        <f t="shared" si="0"/>
        <v>-20.328542094455848</v>
      </c>
      <c r="R27" s="17"/>
      <c r="S27" s="21">
        <v>4227</v>
      </c>
      <c r="T27" s="21">
        <v>4182</v>
      </c>
      <c r="U27" s="21">
        <v>4567</v>
      </c>
      <c r="W27" s="23">
        <f t="shared" si="1"/>
        <v>9.206121472979433</v>
      </c>
      <c r="AC27" s="25"/>
    </row>
    <row r="28" spans="1:29" ht="9.75" customHeight="1">
      <c r="A28" s="24" t="s">
        <v>52</v>
      </c>
      <c r="B28" s="22"/>
      <c r="C28" s="21">
        <v>3253</v>
      </c>
      <c r="D28" s="21">
        <v>23002</v>
      </c>
      <c r="E28" s="21">
        <v>12037</v>
      </c>
      <c r="F28" s="21">
        <v>2151</v>
      </c>
      <c r="G28" s="21"/>
      <c r="H28" s="21">
        <v>2608</v>
      </c>
      <c r="I28" s="21">
        <v>21511</v>
      </c>
      <c r="J28" s="21">
        <v>13706</v>
      </c>
      <c r="K28" s="21">
        <v>2085</v>
      </c>
      <c r="L28" s="21"/>
      <c r="M28" s="21">
        <f>SUM(Fresh2!I51:K51)</f>
        <v>3460</v>
      </c>
      <c r="N28" s="21">
        <f>SUM(Fresh2!L51:N51)</f>
        <v>23133</v>
      </c>
      <c r="O28" s="21">
        <f>SUM(Fresh2!O51:Q51)</f>
        <v>14623</v>
      </c>
      <c r="P28" s="21"/>
      <c r="Q28" s="23">
        <f t="shared" si="0"/>
        <v>6.690500510725239</v>
      </c>
      <c r="R28" s="17"/>
      <c r="S28" s="21">
        <v>35110</v>
      </c>
      <c r="T28" s="21">
        <v>40443</v>
      </c>
      <c r="U28" s="21">
        <v>39910</v>
      </c>
      <c r="W28" s="23">
        <f t="shared" si="1"/>
        <v>-1.3179042108646732</v>
      </c>
      <c r="AC28" s="25"/>
    </row>
    <row r="29" spans="1:29" ht="12.75" customHeight="1">
      <c r="A29" s="24" t="s">
        <v>53</v>
      </c>
      <c r="B29" s="21"/>
      <c r="C29" s="21">
        <v>81979</v>
      </c>
      <c r="D29" s="21">
        <v>110158</v>
      </c>
      <c r="E29" s="21">
        <v>77967</v>
      </c>
      <c r="F29" s="21">
        <v>74022</v>
      </c>
      <c r="G29" s="21"/>
      <c r="H29" s="21">
        <v>80122.7</v>
      </c>
      <c r="I29" s="21">
        <v>107437</v>
      </c>
      <c r="J29" s="21">
        <v>83552.5</v>
      </c>
      <c r="K29" s="21">
        <v>75719</v>
      </c>
      <c r="L29" s="21"/>
      <c r="M29" s="21">
        <f>+SUM(M6:M28)</f>
        <v>82863.9</v>
      </c>
      <c r="N29" s="21">
        <f>+SUM(N6:N28)</f>
        <v>106825</v>
      </c>
      <c r="O29" s="21">
        <f>+SUM(O6:O28)</f>
        <v>83093</v>
      </c>
      <c r="P29" s="21"/>
      <c r="Q29" s="23">
        <f t="shared" si="0"/>
        <v>-0.5499536219742085</v>
      </c>
      <c r="R29" s="17"/>
      <c r="S29" s="21">
        <v>316913</v>
      </c>
      <c r="T29" s="21">
        <v>344126</v>
      </c>
      <c r="U29" s="21">
        <v>346831.2</v>
      </c>
      <c r="W29" s="23">
        <f t="shared" si="1"/>
        <v>0.786107414144821</v>
      </c>
      <c r="AC29" s="24"/>
    </row>
    <row r="30" spans="1:29" ht="3" customHeight="1">
      <c r="A30" s="24"/>
      <c r="B30" s="21"/>
      <c r="C30" s="21"/>
      <c r="D30" s="21"/>
      <c r="E30" s="21"/>
      <c r="F30" s="21"/>
      <c r="G30" s="21"/>
      <c r="H30" s="21"/>
      <c r="I30" s="21"/>
      <c r="J30" s="21"/>
      <c r="K30" s="21"/>
      <c r="L30" s="21"/>
      <c r="M30" s="21"/>
      <c r="N30" s="21"/>
      <c r="O30" s="21"/>
      <c r="P30" s="21"/>
      <c r="Q30" s="23"/>
      <c r="R30" s="17"/>
      <c r="S30" s="21"/>
      <c r="T30" s="21">
        <v>0</v>
      </c>
      <c r="U30" s="21"/>
      <c r="W30" s="23"/>
      <c r="AC30" s="25"/>
    </row>
    <row r="31" spans="1:29" ht="11.25" customHeight="1">
      <c r="A31" s="24" t="s">
        <v>54</v>
      </c>
      <c r="B31" s="22"/>
      <c r="C31" s="21">
        <v>1026</v>
      </c>
      <c r="D31" s="21">
        <v>1030</v>
      </c>
      <c r="E31" s="21">
        <v>1194</v>
      </c>
      <c r="F31" s="21">
        <v>2111</v>
      </c>
      <c r="G31" s="21"/>
      <c r="H31" s="21">
        <v>1477</v>
      </c>
      <c r="I31" s="21">
        <v>1216</v>
      </c>
      <c r="J31" s="21">
        <v>1080</v>
      </c>
      <c r="K31" s="21">
        <v>1212</v>
      </c>
      <c r="L31" s="21"/>
      <c r="M31" s="21">
        <f>SUM(Fresh2!I42:K42)</f>
        <v>1441</v>
      </c>
      <c r="N31" s="21">
        <f>SUM(Fresh2!L42:N42)</f>
        <v>1242</v>
      </c>
      <c r="O31" s="21">
        <f>SUM(Fresh2!O42:Q42)</f>
        <v>1383</v>
      </c>
      <c r="P31" s="21"/>
      <c r="Q31" s="23">
        <f>+((O31)/(J31)-1)*100</f>
        <v>28.055555555555543</v>
      </c>
      <c r="R31" s="17"/>
      <c r="S31" s="21">
        <v>4287</v>
      </c>
      <c r="T31" s="21">
        <v>5361</v>
      </c>
      <c r="U31" s="21">
        <v>4985</v>
      </c>
      <c r="W31" s="23">
        <f>((+U31/T31)-1)*100</f>
        <v>-7.013616862525652</v>
      </c>
      <c r="AC31" s="25"/>
    </row>
    <row r="32" spans="1:29" ht="11.25" customHeight="1">
      <c r="A32" s="24" t="s">
        <v>271</v>
      </c>
      <c r="B32" s="22"/>
      <c r="C32" s="21">
        <v>40925</v>
      </c>
      <c r="D32" s="21">
        <v>51849</v>
      </c>
      <c r="E32" s="21">
        <v>37067</v>
      </c>
      <c r="F32" s="21">
        <v>40483</v>
      </c>
      <c r="G32" s="21"/>
      <c r="H32" s="21">
        <v>44960</v>
      </c>
      <c r="I32" s="21">
        <v>51282</v>
      </c>
      <c r="J32" s="21">
        <v>35598</v>
      </c>
      <c r="K32" s="21">
        <v>37042</v>
      </c>
      <c r="L32" s="21"/>
      <c r="M32" s="21">
        <f>SUM(Fresh2!I43:K43)</f>
        <v>42708</v>
      </c>
      <c r="N32" s="21">
        <f>SUM(Fresh2!L43:N43)</f>
        <v>48835</v>
      </c>
      <c r="O32" s="21">
        <f>SUM(Fresh2!O43:Q43)</f>
        <v>34740</v>
      </c>
      <c r="P32" s="21"/>
      <c r="Q32" s="23">
        <f>+((O32)/(J32)-1)*100</f>
        <v>-2.4102477667284683</v>
      </c>
      <c r="R32" s="17"/>
      <c r="S32" s="21">
        <v>177031</v>
      </c>
      <c r="T32" s="21">
        <v>170324</v>
      </c>
      <c r="U32" s="21">
        <v>168882</v>
      </c>
      <c r="W32" s="23">
        <f>((+U32/T32)-1)*100</f>
        <v>-0.8466217326976833</v>
      </c>
      <c r="AC32" s="24"/>
    </row>
    <row r="33" spans="1:29" ht="12.75" customHeight="1">
      <c r="A33" s="290" t="s">
        <v>55</v>
      </c>
      <c r="B33" s="301"/>
      <c r="C33" s="291">
        <v>123930</v>
      </c>
      <c r="D33" s="291">
        <v>163037</v>
      </c>
      <c r="E33" s="291">
        <v>116228</v>
      </c>
      <c r="F33" s="291">
        <v>116616</v>
      </c>
      <c r="G33" s="291"/>
      <c r="H33" s="291">
        <f>+H29+H31+H32</f>
        <v>126559.7</v>
      </c>
      <c r="I33" s="291">
        <f>+I29+I31+I32</f>
        <v>159935</v>
      </c>
      <c r="J33" s="504">
        <f>+J29+J31+J32</f>
        <v>120230.5</v>
      </c>
      <c r="K33" s="504">
        <f>+K29+K31+K32</f>
        <v>113973</v>
      </c>
      <c r="L33" s="504"/>
      <c r="M33" s="291">
        <f>+M29+M31+M32</f>
        <v>127012.9</v>
      </c>
      <c r="N33" s="291">
        <f>+N29+N31+N32</f>
        <v>156902</v>
      </c>
      <c r="O33" s="291">
        <f>+O29+O31+O32</f>
        <v>119216</v>
      </c>
      <c r="P33" s="291"/>
      <c r="Q33" s="289">
        <f>+((O33)/(J33)-1)*100</f>
        <v>-0.843795875422626</v>
      </c>
      <c r="R33" s="303"/>
      <c r="S33" s="291">
        <v>498231</v>
      </c>
      <c r="T33" s="291">
        <v>519811</v>
      </c>
      <c r="U33" s="291">
        <v>515713.2</v>
      </c>
      <c r="V33" s="304"/>
      <c r="W33" s="302">
        <f>((+U33/T33)-1)*100</f>
        <v>-0.7883249873511744</v>
      </c>
      <c r="AC33" s="24"/>
    </row>
    <row r="34" spans="1:29" ht="12.75" customHeight="1">
      <c r="A34" s="26" t="s">
        <v>524</v>
      </c>
      <c r="B34" s="28"/>
      <c r="C34" s="27"/>
      <c r="D34" s="27"/>
      <c r="E34" s="27"/>
      <c r="F34" s="27"/>
      <c r="G34" s="27"/>
      <c r="H34" s="27"/>
      <c r="I34" s="27"/>
      <c r="J34" s="27"/>
      <c r="K34" s="27"/>
      <c r="L34" s="27"/>
      <c r="M34" s="27"/>
      <c r="N34" s="27"/>
      <c r="O34" s="27"/>
      <c r="P34" s="27"/>
      <c r="Q34" s="418"/>
      <c r="R34" s="27"/>
      <c r="S34" s="169"/>
      <c r="T34" s="28"/>
      <c r="U34" s="28"/>
      <c r="V34" s="27"/>
      <c r="W34" s="17"/>
      <c r="X34" s="17"/>
      <c r="Y34" s="17"/>
      <c r="Z34" s="17"/>
      <c r="AC34" s="24"/>
    </row>
    <row r="35" spans="1:29" ht="10.5" customHeight="1">
      <c r="A35" s="26" t="s">
        <v>438</v>
      </c>
      <c r="B35" s="28"/>
      <c r="C35" s="27"/>
      <c r="D35" s="27"/>
      <c r="E35" s="27"/>
      <c r="F35" s="27"/>
      <c r="G35" s="27"/>
      <c r="H35" s="27"/>
      <c r="I35" s="27"/>
      <c r="J35" s="27"/>
      <c r="K35" s="27"/>
      <c r="L35" s="27"/>
      <c r="M35" s="27"/>
      <c r="N35" s="27"/>
      <c r="O35" s="27"/>
      <c r="P35" s="27"/>
      <c r="Q35" s="27"/>
      <c r="R35" s="27"/>
      <c r="S35" s="28"/>
      <c r="T35" s="28"/>
      <c r="U35" s="28"/>
      <c r="V35" s="28"/>
      <c r="W35" s="17"/>
      <c r="X35" s="17"/>
      <c r="Y35" s="17"/>
      <c r="Z35" s="17"/>
      <c r="AA35" s="28"/>
      <c r="AC35" s="24"/>
    </row>
    <row r="36" spans="1:29" ht="12.75" customHeight="1">
      <c r="A36" s="413" t="s">
        <v>579</v>
      </c>
      <c r="B36" s="28"/>
      <c r="C36" s="27"/>
      <c r="D36" s="27"/>
      <c r="E36" s="27"/>
      <c r="F36" s="27"/>
      <c r="G36" s="27"/>
      <c r="H36" s="27"/>
      <c r="I36" s="27"/>
      <c r="J36" s="27"/>
      <c r="K36" s="27"/>
      <c r="L36" s="27"/>
      <c r="M36" s="27"/>
      <c r="N36" s="27"/>
      <c r="O36" s="27"/>
      <c r="P36" s="27"/>
      <c r="Q36" s="27"/>
      <c r="R36" s="27"/>
      <c r="S36" s="28"/>
      <c r="T36" s="28"/>
      <c r="U36" s="28"/>
      <c r="V36" s="27"/>
      <c r="W36" s="17"/>
      <c r="X36" s="17"/>
      <c r="Y36" s="17"/>
      <c r="Z36" s="17"/>
      <c r="AA36" s="28"/>
      <c r="AC36" s="24"/>
    </row>
    <row r="37" spans="1:29" ht="12" hidden="1">
      <c r="A37" s="29"/>
      <c r="B37" s="29"/>
      <c r="C37" s="30"/>
      <c r="D37" s="30"/>
      <c r="E37" s="30"/>
      <c r="F37" s="30"/>
      <c r="G37" s="30"/>
      <c r="H37" s="30"/>
      <c r="I37" s="30"/>
      <c r="J37" s="30"/>
      <c r="K37" s="30"/>
      <c r="L37" s="30"/>
      <c r="M37" s="30"/>
      <c r="N37" s="30"/>
      <c r="O37" s="30"/>
      <c r="P37" s="30"/>
      <c r="Q37" s="30"/>
      <c r="R37" s="30"/>
      <c r="S37" s="29"/>
      <c r="T37" s="29"/>
      <c r="U37" s="29"/>
      <c r="V37" s="30"/>
      <c r="W37" s="29"/>
      <c r="X37" s="29"/>
      <c r="Y37" s="29"/>
      <c r="Z37" s="29"/>
      <c r="AA37" s="29"/>
      <c r="AC37" s="24"/>
    </row>
    <row r="38" spans="3:29" ht="12">
      <c r="C38" s="31"/>
      <c r="D38" s="31"/>
      <c r="E38" s="31"/>
      <c r="F38" s="31"/>
      <c r="G38" s="31"/>
      <c r="H38" s="31"/>
      <c r="I38" s="31"/>
      <c r="J38" s="31"/>
      <c r="K38" s="31"/>
      <c r="L38" s="31"/>
      <c r="M38" s="31"/>
      <c r="N38" s="31"/>
      <c r="O38" s="31"/>
      <c r="P38" s="31"/>
      <c r="Q38" s="31"/>
      <c r="R38" s="31"/>
      <c r="W38" s="32"/>
      <c r="X38" s="32"/>
      <c r="Y38" s="32"/>
      <c r="Z38" s="32"/>
      <c r="AC38" s="24"/>
    </row>
  </sheetData>
  <printOptions horizontalCentered="1"/>
  <pageMargins left="0.167" right="0.167" top="0.52" bottom="0.75" header="0" footer="0.28"/>
  <pageSetup fitToHeight="1" fitToWidth="1" horizontalDpi="600" verticalDpi="600" orientation="landscape" scale="96" r:id="rId1"/>
  <headerFooter alignWithMargins="0">
    <oddFooter>&amp;C&amp;"Arial,Italic"&amp;9Vegetables and Melons Outlook&amp;"Arial,Regular"/VGS-330/December 16, 2008
Economic Research Service, USDA</oddFooter>
  </headerFooter>
</worksheet>
</file>

<file path=xl/worksheets/sheet4.xml><?xml version="1.0" encoding="utf-8"?>
<worksheet xmlns="http://schemas.openxmlformats.org/spreadsheetml/2006/main" xmlns:r="http://schemas.openxmlformats.org/officeDocument/2006/relationships">
  <sheetPr>
    <tabColor indexed="51"/>
    <pageSetUpPr fitToPage="1"/>
  </sheetPr>
  <dimension ref="A1:N20"/>
  <sheetViews>
    <sheetView showGridLines="0" workbookViewId="0" topLeftCell="A1">
      <selection activeCell="A1" sqref="A1"/>
    </sheetView>
  </sheetViews>
  <sheetFormatPr defaultColWidth="9.140625" defaultRowHeight="12.75"/>
  <cols>
    <col min="1" max="1" width="12.140625" style="0" customWidth="1"/>
    <col min="2" max="2" width="2.00390625" style="0" customWidth="1"/>
    <col min="3" max="6" width="7.8515625" style="0" customWidth="1"/>
    <col min="7" max="7" width="7.7109375" style="0" customWidth="1"/>
    <col min="8" max="8" width="7.00390625" style="0" customWidth="1"/>
    <col min="9" max="10" width="6.8515625" style="0" customWidth="1"/>
    <col min="11" max="11" width="7.140625" style="0" customWidth="1"/>
    <col min="12" max="12" width="0.85546875" style="0" customWidth="1"/>
    <col min="13" max="13" width="1.57421875" style="0" customWidth="1"/>
  </cols>
  <sheetData>
    <row r="1" spans="1:14" ht="21" customHeight="1">
      <c r="A1" s="185" t="s">
        <v>429</v>
      </c>
      <c r="B1" s="185"/>
      <c r="C1" s="35"/>
      <c r="D1" s="35"/>
      <c r="E1" s="35"/>
      <c r="F1" s="35"/>
      <c r="G1" s="35"/>
      <c r="H1" s="35"/>
      <c r="I1" s="35"/>
      <c r="J1" s="35"/>
      <c r="K1" s="35"/>
      <c r="L1" s="35"/>
      <c r="N1" s="35"/>
    </row>
    <row r="2" spans="1:14" ht="15" customHeight="1">
      <c r="A2" s="305" t="s">
        <v>89</v>
      </c>
      <c r="B2" s="305"/>
      <c r="C2" s="403" t="s">
        <v>344</v>
      </c>
      <c r="D2" s="403" t="s">
        <v>345</v>
      </c>
      <c r="E2" s="403" t="s">
        <v>346</v>
      </c>
      <c r="F2" s="403" t="s">
        <v>347</v>
      </c>
      <c r="G2" s="403" t="s">
        <v>348</v>
      </c>
      <c r="H2" s="403" t="s">
        <v>349</v>
      </c>
      <c r="I2" s="403" t="s">
        <v>435</v>
      </c>
      <c r="J2" s="403" t="s">
        <v>436</v>
      </c>
      <c r="K2" s="403" t="s">
        <v>519</v>
      </c>
      <c r="L2" s="403"/>
      <c r="N2" s="403" t="s">
        <v>449</v>
      </c>
    </row>
    <row r="3" spans="1:14" ht="14.25" customHeight="1">
      <c r="A3" s="37"/>
      <c r="B3" s="37"/>
      <c r="C3" s="39" t="s">
        <v>387</v>
      </c>
      <c r="D3" s="38"/>
      <c r="E3" s="39"/>
      <c r="F3" s="39"/>
      <c r="G3" s="39"/>
      <c r="H3" s="39"/>
      <c r="I3" s="234"/>
      <c r="J3" s="234"/>
      <c r="K3" s="234"/>
      <c r="N3" s="39" t="s">
        <v>30</v>
      </c>
    </row>
    <row r="4" spans="1:8" ht="5.25" customHeight="1">
      <c r="A4" s="40"/>
      <c r="B4" s="40"/>
      <c r="C4" s="37"/>
      <c r="D4" s="37"/>
      <c r="E4" s="37"/>
      <c r="F4" s="37"/>
      <c r="G4" s="37"/>
      <c r="H4" s="37"/>
    </row>
    <row r="5" spans="1:14" ht="12.75">
      <c r="A5" s="274" t="s">
        <v>91</v>
      </c>
      <c r="B5" s="274"/>
      <c r="C5" s="310">
        <v>40.5</v>
      </c>
      <c r="D5" s="310">
        <v>38.3</v>
      </c>
      <c r="E5" s="310">
        <v>38.4</v>
      </c>
      <c r="F5" s="310">
        <v>36</v>
      </c>
      <c r="G5" s="310">
        <v>39.9</v>
      </c>
      <c r="H5" s="309">
        <v>40.7</v>
      </c>
      <c r="I5" s="309">
        <v>40.8</v>
      </c>
      <c r="J5" s="309">
        <v>33.8</v>
      </c>
      <c r="K5" s="309">
        <v>31.2</v>
      </c>
      <c r="N5" s="309">
        <f>+((K5/J5)-1)*100</f>
        <v>-7.692307692307687</v>
      </c>
    </row>
    <row r="6" spans="1:14" ht="6.75" customHeight="1">
      <c r="A6" s="37"/>
      <c r="B6" s="37"/>
      <c r="C6" s="164"/>
      <c r="D6" s="164"/>
      <c r="E6" s="164"/>
      <c r="F6" s="164"/>
      <c r="G6" s="164"/>
      <c r="H6" s="164"/>
      <c r="N6" s="309"/>
    </row>
    <row r="7" spans="1:14" ht="12.75">
      <c r="A7" s="42" t="s">
        <v>152</v>
      </c>
      <c r="B7" s="42"/>
      <c r="C7" s="164"/>
      <c r="D7" s="164"/>
      <c r="E7" s="164"/>
      <c r="F7" s="164"/>
      <c r="G7" s="164"/>
      <c r="H7" s="164"/>
      <c r="N7" s="309"/>
    </row>
    <row r="8" spans="1:14" ht="12.75">
      <c r="A8" s="40" t="s">
        <v>92</v>
      </c>
      <c r="B8" s="40"/>
      <c r="C8" s="164">
        <v>22.7</v>
      </c>
      <c r="D8" s="164">
        <v>21.9</v>
      </c>
      <c r="E8" s="164">
        <v>22.4</v>
      </c>
      <c r="F8" s="164">
        <v>22.7</v>
      </c>
      <c r="G8" s="164">
        <v>23.9</v>
      </c>
      <c r="H8" s="180">
        <v>21</v>
      </c>
      <c r="I8" s="180">
        <v>20.9</v>
      </c>
      <c r="J8" s="180">
        <v>21.4</v>
      </c>
      <c r="K8" s="180">
        <v>20.1</v>
      </c>
      <c r="N8" s="309">
        <f>+((K8/J8)-1)*100</f>
        <v>-6.074766355140171</v>
      </c>
    </row>
    <row r="9" spans="1:14" ht="5.25" customHeight="1">
      <c r="A9" s="40"/>
      <c r="B9" s="40"/>
      <c r="C9" s="164"/>
      <c r="D9" s="164"/>
      <c r="E9" s="164"/>
      <c r="F9" s="164"/>
      <c r="G9" s="164"/>
      <c r="H9" s="164"/>
      <c r="N9" s="309"/>
    </row>
    <row r="10" spans="1:14" ht="12.75">
      <c r="A10" s="42" t="s">
        <v>153</v>
      </c>
      <c r="B10" s="42"/>
      <c r="C10" s="164"/>
      <c r="D10" s="164"/>
      <c r="E10" s="164"/>
      <c r="F10" s="164"/>
      <c r="G10" s="164"/>
      <c r="H10" s="164"/>
      <c r="N10" s="309"/>
    </row>
    <row r="11" spans="1:14" ht="12.75">
      <c r="A11" s="42" t="s">
        <v>150</v>
      </c>
      <c r="B11" s="42"/>
      <c r="C11" s="164">
        <v>35.6</v>
      </c>
      <c r="D11" s="164">
        <v>31</v>
      </c>
      <c r="E11" s="164">
        <v>29.2</v>
      </c>
      <c r="F11" s="164">
        <v>36</v>
      </c>
      <c r="G11" s="164">
        <v>30.9</v>
      </c>
      <c r="H11" s="180">
        <v>31.8</v>
      </c>
      <c r="I11" s="180">
        <v>33.1</v>
      </c>
      <c r="J11" s="180">
        <v>31.7</v>
      </c>
      <c r="K11" s="180">
        <v>31</v>
      </c>
      <c r="N11" s="309">
        <f>+((K11/J11)-1)*100</f>
        <v>-2.208201892744477</v>
      </c>
    </row>
    <row r="12" spans="1:14" ht="12.75">
      <c r="A12" s="42" t="s">
        <v>154</v>
      </c>
      <c r="B12" s="42"/>
      <c r="C12" s="164">
        <f aca="true" t="shared" si="0" ref="C12:K12">+C13-C11</f>
        <v>79.47999999999999</v>
      </c>
      <c r="D12" s="164">
        <f t="shared" si="0"/>
        <v>81.8</v>
      </c>
      <c r="E12" s="164">
        <f t="shared" si="0"/>
        <v>81.55</v>
      </c>
      <c r="F12" s="164">
        <f t="shared" si="0"/>
        <v>78.26</v>
      </c>
      <c r="G12" s="164">
        <f t="shared" si="0"/>
        <v>84.69999999999999</v>
      </c>
      <c r="H12" s="180">
        <f t="shared" si="0"/>
        <v>79.52</v>
      </c>
      <c r="I12" s="180">
        <f t="shared" si="0"/>
        <v>80.97999999999999</v>
      </c>
      <c r="J12" s="180">
        <f t="shared" si="0"/>
        <v>80.08</v>
      </c>
      <c r="K12" s="180">
        <f t="shared" si="0"/>
        <v>72.85</v>
      </c>
      <c r="N12" s="309">
        <f>+((K12/J12)-1)*100</f>
        <v>-9.028471528471538</v>
      </c>
    </row>
    <row r="13" spans="1:14" ht="12.75">
      <c r="A13" s="42" t="s">
        <v>156</v>
      </c>
      <c r="B13" s="42"/>
      <c r="C13" s="164">
        <v>115.08</v>
      </c>
      <c r="D13" s="164">
        <v>112.8</v>
      </c>
      <c r="E13" s="164">
        <v>110.75</v>
      </c>
      <c r="F13" s="164">
        <v>114.26</v>
      </c>
      <c r="G13" s="164">
        <v>115.6</v>
      </c>
      <c r="H13" s="180">
        <v>111.32</v>
      </c>
      <c r="I13" s="180">
        <v>114.08</v>
      </c>
      <c r="J13" s="180">
        <v>111.78</v>
      </c>
      <c r="K13" s="180">
        <v>103.85</v>
      </c>
      <c r="N13" s="309">
        <f>+((K13/J13)-1)*100</f>
        <v>-7.094292359992849</v>
      </c>
    </row>
    <row r="14" spans="1:14" ht="6" customHeight="1">
      <c r="A14" s="42"/>
      <c r="B14" s="42"/>
      <c r="C14" s="164"/>
      <c r="D14" s="164"/>
      <c r="E14" s="164"/>
      <c r="F14" s="164"/>
      <c r="G14" s="164"/>
      <c r="H14" s="164"/>
      <c r="N14" s="309"/>
    </row>
    <row r="15" spans="1:14" ht="12.75">
      <c r="A15" s="42" t="s">
        <v>155</v>
      </c>
      <c r="B15" s="42"/>
      <c r="C15" s="164">
        <f aca="true" t="shared" si="1" ref="C15:K15">+C8+C13</f>
        <v>137.78</v>
      </c>
      <c r="D15" s="164">
        <f t="shared" si="1"/>
        <v>134.7</v>
      </c>
      <c r="E15" s="164">
        <f t="shared" si="1"/>
        <v>133.15</v>
      </c>
      <c r="F15" s="164">
        <f t="shared" si="1"/>
        <v>136.96</v>
      </c>
      <c r="G15" s="164">
        <f t="shared" si="1"/>
        <v>139.5</v>
      </c>
      <c r="H15" s="180">
        <f t="shared" si="1"/>
        <v>132.32</v>
      </c>
      <c r="I15" s="180">
        <f t="shared" si="1"/>
        <v>134.98</v>
      </c>
      <c r="J15" s="180">
        <f t="shared" si="1"/>
        <v>133.18</v>
      </c>
      <c r="K15" s="180">
        <f t="shared" si="1"/>
        <v>123.94999999999999</v>
      </c>
      <c r="N15" s="309">
        <f>+((K15/J15)-1)*100</f>
        <v>-6.930470040546643</v>
      </c>
    </row>
    <row r="16" spans="1:14" ht="7.5" customHeight="1">
      <c r="A16" s="37"/>
      <c r="B16" s="37"/>
      <c r="C16" s="164"/>
      <c r="D16" s="164"/>
      <c r="E16" s="164"/>
      <c r="F16" s="164"/>
      <c r="G16" s="164"/>
      <c r="H16" s="164"/>
      <c r="N16" s="309"/>
    </row>
    <row r="17" spans="1:14" ht="12.75">
      <c r="A17" s="274" t="s">
        <v>93</v>
      </c>
      <c r="B17" s="274"/>
      <c r="C17" s="308">
        <f aca="true" t="shared" si="2" ref="C17:K17">+C15+C5</f>
        <v>178.28</v>
      </c>
      <c r="D17" s="308">
        <f t="shared" si="2"/>
        <v>173</v>
      </c>
      <c r="E17" s="308">
        <f t="shared" si="2"/>
        <v>171.55</v>
      </c>
      <c r="F17" s="308">
        <f t="shared" si="2"/>
        <v>172.96</v>
      </c>
      <c r="G17" s="308">
        <f t="shared" si="2"/>
        <v>179.4</v>
      </c>
      <c r="H17" s="309">
        <f t="shared" si="2"/>
        <v>173.01999999999998</v>
      </c>
      <c r="I17" s="309">
        <f t="shared" si="2"/>
        <v>175.77999999999997</v>
      </c>
      <c r="J17" s="309">
        <f t="shared" si="2"/>
        <v>166.98000000000002</v>
      </c>
      <c r="K17" s="309">
        <f t="shared" si="2"/>
        <v>155.14999999999998</v>
      </c>
      <c r="N17" s="309">
        <f>+((K17/J17)-1)*100</f>
        <v>-7.084680800095844</v>
      </c>
    </row>
    <row r="18" spans="1:14" ht="5.25" customHeight="1">
      <c r="A18" s="40"/>
      <c r="B18" s="40"/>
      <c r="C18" s="164"/>
      <c r="D18" s="164"/>
      <c r="E18" s="164"/>
      <c r="F18" s="164"/>
      <c r="G18" s="164"/>
      <c r="H18" s="164"/>
      <c r="I18" s="164"/>
      <c r="J18" s="164"/>
      <c r="K18" s="164"/>
      <c r="N18" s="309"/>
    </row>
    <row r="19" spans="1:14" ht="15" customHeight="1">
      <c r="A19" s="54" t="s">
        <v>518</v>
      </c>
      <c r="B19" s="54"/>
      <c r="C19" s="55"/>
      <c r="D19" s="55"/>
      <c r="E19" s="55"/>
      <c r="F19" s="55"/>
      <c r="G19" s="55"/>
      <c r="H19" s="55"/>
      <c r="I19" s="55"/>
      <c r="J19" s="55"/>
      <c r="K19" s="55"/>
      <c r="L19" s="55"/>
      <c r="N19" s="55"/>
    </row>
    <row r="20" spans="1:5" ht="15.75" customHeight="1">
      <c r="A20" s="265" t="s">
        <v>430</v>
      </c>
      <c r="B20" s="265"/>
      <c r="C20" s="37"/>
      <c r="D20" s="37"/>
      <c r="E20" s="37"/>
    </row>
  </sheetData>
  <printOptions horizontalCentered="1"/>
  <pageMargins left="0.167" right="0.167" top="0.52" bottom="0.75" header="0" footer="0.28"/>
  <pageSetup fitToHeight="1" fitToWidth="1" horizontalDpi="600" verticalDpi="600" orientation="portrait" r:id="rId1"/>
  <headerFooter alignWithMargins="0">
    <oddFooter>&amp;C&amp;"Arial,Italic"&amp;9Vegetables and Melons Outlook&amp;"Arial,Regular"/VGS-330/December 16, 2008
Economic Research Service, USDA</oddFooter>
  </headerFooter>
</worksheet>
</file>

<file path=xl/worksheets/sheet5.xml><?xml version="1.0" encoding="utf-8"?>
<worksheet xmlns="http://schemas.openxmlformats.org/spreadsheetml/2006/main" xmlns:r="http://schemas.openxmlformats.org/officeDocument/2006/relationships">
  <sheetPr transitionEvaluation="1">
    <tabColor indexed="51"/>
    <pageSetUpPr fitToPage="1"/>
  </sheetPr>
  <dimension ref="A1:J76"/>
  <sheetViews>
    <sheetView showGridLines="0" workbookViewId="0" topLeftCell="A1">
      <selection activeCell="A1" sqref="A1"/>
    </sheetView>
  </sheetViews>
  <sheetFormatPr defaultColWidth="9.7109375" defaultRowHeight="12.75"/>
  <cols>
    <col min="1" max="1" width="15.421875" style="36" customWidth="1"/>
    <col min="2" max="5" width="9.57421875" style="36" customWidth="1"/>
    <col min="6" max="6" width="2.00390625" style="36" customWidth="1"/>
    <col min="7" max="7" width="9.421875" style="36" customWidth="1"/>
    <col min="8" max="8" width="3.140625" style="36" customWidth="1"/>
    <col min="9" max="9" width="0.71875" style="36" customWidth="1"/>
    <col min="10" max="16384" width="9.7109375" style="36" customWidth="1"/>
  </cols>
  <sheetData>
    <row r="1" spans="1:8" ht="21.75" customHeight="1">
      <c r="A1" s="185" t="s">
        <v>443</v>
      </c>
      <c r="B1" s="35"/>
      <c r="C1" s="35"/>
      <c r="D1" s="35"/>
      <c r="E1" s="35"/>
      <c r="F1" s="35"/>
      <c r="G1" s="35"/>
      <c r="H1" s="35"/>
    </row>
    <row r="2" spans="1:8" ht="12.75" customHeight="1">
      <c r="A2" s="311"/>
      <c r="B2" s="312"/>
      <c r="C2" s="312"/>
      <c r="D2" s="312"/>
      <c r="E2" s="312"/>
      <c r="F2" s="312"/>
      <c r="G2" s="313" t="s">
        <v>228</v>
      </c>
      <c r="H2" s="312"/>
    </row>
    <row r="3" spans="1:8" ht="12.75" customHeight="1">
      <c r="A3" s="305" t="s">
        <v>89</v>
      </c>
      <c r="B3" s="306" t="s">
        <v>240</v>
      </c>
      <c r="C3" s="306" t="s">
        <v>183</v>
      </c>
      <c r="D3" s="306" t="s">
        <v>187</v>
      </c>
      <c r="E3" s="306" t="s">
        <v>217</v>
      </c>
      <c r="F3" s="306"/>
      <c r="G3" s="306" t="s">
        <v>229</v>
      </c>
      <c r="H3" s="306"/>
    </row>
    <row r="4" spans="1:8" ht="12.75" customHeight="1">
      <c r="A4" s="37"/>
      <c r="B4" s="38" t="s">
        <v>245</v>
      </c>
      <c r="C4" s="39"/>
      <c r="D4" s="39"/>
      <c r="E4" s="39"/>
      <c r="F4" s="39"/>
      <c r="G4" s="39"/>
      <c r="H4" s="39"/>
    </row>
    <row r="5" spans="1:8" ht="10.5" customHeight="1">
      <c r="A5" s="170" t="s">
        <v>230</v>
      </c>
      <c r="B5" s="37"/>
      <c r="C5" s="37"/>
      <c r="D5" s="37"/>
      <c r="E5" s="37"/>
      <c r="F5" s="37"/>
      <c r="G5" s="37"/>
      <c r="H5" s="37"/>
    </row>
    <row r="6" spans="1:8" ht="9.75" customHeight="1">
      <c r="A6" s="42" t="s">
        <v>231</v>
      </c>
      <c r="B6" s="179">
        <v>2700</v>
      </c>
      <c r="C6" s="179">
        <v>6900</v>
      </c>
      <c r="D6" s="179">
        <v>15000</v>
      </c>
      <c r="E6" s="179">
        <v>15900</v>
      </c>
      <c r="F6" s="179"/>
      <c r="G6" s="179">
        <f aca="true" t="shared" si="0" ref="G6:G12">SUM(B6:E6)</f>
        <v>40500</v>
      </c>
      <c r="H6" s="164"/>
    </row>
    <row r="7" spans="1:8" ht="9.75" customHeight="1">
      <c r="A7" s="177" t="s">
        <v>232</v>
      </c>
      <c r="B7" s="179">
        <v>2200</v>
      </c>
      <c r="C7" s="179">
        <v>6400</v>
      </c>
      <c r="D7" s="179">
        <v>14500</v>
      </c>
      <c r="E7" s="179">
        <v>15200</v>
      </c>
      <c r="F7" s="179"/>
      <c r="G7" s="179">
        <f t="shared" si="0"/>
        <v>38300</v>
      </c>
      <c r="H7" s="164"/>
    </row>
    <row r="8" spans="1:8" ht="9.75" customHeight="1">
      <c r="A8" s="42" t="s">
        <v>233</v>
      </c>
      <c r="B8" s="179">
        <v>1600</v>
      </c>
      <c r="C8" s="179">
        <v>5900</v>
      </c>
      <c r="D8" s="179">
        <v>14700</v>
      </c>
      <c r="E8" s="179">
        <v>16200</v>
      </c>
      <c r="F8" s="179"/>
      <c r="G8" s="179">
        <f t="shared" si="0"/>
        <v>38400</v>
      </c>
      <c r="H8" s="164"/>
    </row>
    <row r="9" spans="1:8" ht="9.75" customHeight="1">
      <c r="A9" s="42" t="s">
        <v>234</v>
      </c>
      <c r="B9" s="179">
        <v>1500</v>
      </c>
      <c r="C9" s="179">
        <v>7700</v>
      </c>
      <c r="D9" s="179">
        <v>14000</v>
      </c>
      <c r="E9" s="179">
        <v>12800</v>
      </c>
      <c r="F9" s="179"/>
      <c r="G9" s="179">
        <f t="shared" si="0"/>
        <v>36000</v>
      </c>
      <c r="H9" s="164"/>
    </row>
    <row r="10" spans="1:8" ht="9.75" customHeight="1">
      <c r="A10" s="42" t="s">
        <v>248</v>
      </c>
      <c r="B10" s="179">
        <v>1600</v>
      </c>
      <c r="C10" s="179">
        <v>7300</v>
      </c>
      <c r="D10" s="179">
        <v>16500</v>
      </c>
      <c r="E10" s="179">
        <v>14500</v>
      </c>
      <c r="F10" s="179"/>
      <c r="G10" s="179">
        <f t="shared" si="0"/>
        <v>39900</v>
      </c>
      <c r="H10" s="164"/>
    </row>
    <row r="11" spans="1:8" ht="9.75" customHeight="1">
      <c r="A11" s="42" t="s">
        <v>292</v>
      </c>
      <c r="B11" s="179">
        <v>2000</v>
      </c>
      <c r="C11" s="179">
        <v>8200</v>
      </c>
      <c r="D11" s="179">
        <v>13500</v>
      </c>
      <c r="E11" s="179">
        <v>17000</v>
      </c>
      <c r="F11" s="179"/>
      <c r="G11" s="179">
        <f t="shared" si="0"/>
        <v>40700</v>
      </c>
      <c r="H11" s="164"/>
    </row>
    <row r="12" spans="1:8" s="461" customFormat="1" ht="9.75" customHeight="1">
      <c r="A12" s="458" t="s">
        <v>341</v>
      </c>
      <c r="B12" s="459">
        <v>1000</v>
      </c>
      <c r="C12" s="459">
        <v>8100</v>
      </c>
      <c r="D12" s="459">
        <v>14000</v>
      </c>
      <c r="E12" s="459">
        <v>17700</v>
      </c>
      <c r="F12" s="459"/>
      <c r="G12" s="459">
        <f t="shared" si="0"/>
        <v>40800</v>
      </c>
      <c r="H12" s="460"/>
    </row>
    <row r="13" spans="1:8" ht="9.75" customHeight="1">
      <c r="A13" s="314" t="s">
        <v>381</v>
      </c>
      <c r="B13" s="315">
        <v>1200</v>
      </c>
      <c r="C13" s="315">
        <v>7600</v>
      </c>
      <c r="D13" s="315">
        <v>12500</v>
      </c>
      <c r="E13" s="315">
        <v>12500</v>
      </c>
      <c r="F13" s="315"/>
      <c r="G13" s="315">
        <f>SUM(B13:E13)</f>
        <v>33800</v>
      </c>
      <c r="H13" s="164"/>
    </row>
    <row r="14" spans="1:8" ht="9.75" customHeight="1">
      <c r="A14" s="314" t="s">
        <v>517</v>
      </c>
      <c r="B14" s="315">
        <v>1500</v>
      </c>
      <c r="C14" s="315">
        <v>6700</v>
      </c>
      <c r="D14" s="315">
        <v>12000</v>
      </c>
      <c r="E14" s="315">
        <v>11000</v>
      </c>
      <c r="F14" s="315"/>
      <c r="G14" s="315">
        <f>SUM(B14:E14)</f>
        <v>31200</v>
      </c>
      <c r="H14" s="164"/>
    </row>
    <row r="15" spans="1:10" ht="7.5" customHeight="1">
      <c r="A15" s="40"/>
      <c r="B15" s="179"/>
      <c r="C15" s="179"/>
      <c r="D15" s="179"/>
      <c r="E15" s="179"/>
      <c r="F15" s="179"/>
      <c r="G15" s="179"/>
      <c r="H15" s="164"/>
      <c r="J15" s="152"/>
    </row>
    <row r="16" spans="1:10" ht="10.5" customHeight="1">
      <c r="A16" s="170" t="s">
        <v>235</v>
      </c>
      <c r="B16" s="179"/>
      <c r="C16" s="179"/>
      <c r="D16" s="179"/>
      <c r="E16" s="179"/>
      <c r="F16" s="179"/>
      <c r="G16" s="179"/>
      <c r="H16" s="164"/>
      <c r="J16" s="151"/>
    </row>
    <row r="17" spans="1:8" ht="9.75" customHeight="1">
      <c r="A17" s="42" t="s">
        <v>231</v>
      </c>
      <c r="B17" s="179">
        <v>2500</v>
      </c>
      <c r="C17" s="179">
        <v>6800</v>
      </c>
      <c r="D17" s="179">
        <v>12400</v>
      </c>
      <c r="E17" s="179">
        <v>13500</v>
      </c>
      <c r="F17" s="179"/>
      <c r="G17" s="179">
        <f aca="true" t="shared" si="1" ref="G17:G25">SUM(B17:E17)</f>
        <v>35200</v>
      </c>
      <c r="H17" s="164"/>
    </row>
    <row r="18" spans="1:8" ht="9.75" customHeight="1">
      <c r="A18" s="177" t="s">
        <v>232</v>
      </c>
      <c r="B18" s="179">
        <v>2000</v>
      </c>
      <c r="C18" s="179">
        <v>6200</v>
      </c>
      <c r="D18" s="179">
        <v>13500</v>
      </c>
      <c r="E18" s="179">
        <v>14200</v>
      </c>
      <c r="F18" s="179"/>
      <c r="G18" s="179">
        <f t="shared" si="1"/>
        <v>35900</v>
      </c>
      <c r="H18" s="165"/>
    </row>
    <row r="19" spans="1:8" ht="9.75" customHeight="1">
      <c r="A19" s="42" t="s">
        <v>233</v>
      </c>
      <c r="B19" s="179">
        <v>1500</v>
      </c>
      <c r="C19" s="179">
        <v>5700</v>
      </c>
      <c r="D19" s="179">
        <v>11500</v>
      </c>
      <c r="E19" s="179">
        <v>15000</v>
      </c>
      <c r="F19" s="179"/>
      <c r="G19" s="179">
        <f t="shared" si="1"/>
        <v>33700</v>
      </c>
      <c r="H19" s="165"/>
    </row>
    <row r="20" spans="1:8" ht="9.75" customHeight="1">
      <c r="A20" s="42" t="s">
        <v>234</v>
      </c>
      <c r="B20" s="179">
        <v>1500</v>
      </c>
      <c r="C20" s="179">
        <v>7500</v>
      </c>
      <c r="D20" s="179">
        <v>12500</v>
      </c>
      <c r="E20" s="179">
        <v>11000</v>
      </c>
      <c r="F20" s="179"/>
      <c r="G20" s="179">
        <f t="shared" si="1"/>
        <v>32500</v>
      </c>
      <c r="H20" s="165"/>
    </row>
    <row r="21" spans="1:8" ht="9.75" customHeight="1">
      <c r="A21" s="42" t="s">
        <v>248</v>
      </c>
      <c r="B21" s="197">
        <v>1600</v>
      </c>
      <c r="C21" s="197">
        <v>7100</v>
      </c>
      <c r="D21" s="179">
        <v>14500</v>
      </c>
      <c r="E21" s="179">
        <v>12500</v>
      </c>
      <c r="F21" s="179"/>
      <c r="G21" s="179">
        <f t="shared" si="1"/>
        <v>35700</v>
      </c>
      <c r="H21" s="165"/>
    </row>
    <row r="22" spans="1:8" ht="9.75" customHeight="1">
      <c r="A22" s="42" t="s">
        <v>292</v>
      </c>
      <c r="B22" s="197">
        <v>2000</v>
      </c>
      <c r="C22" s="197">
        <v>8000</v>
      </c>
      <c r="D22" s="179">
        <v>10500</v>
      </c>
      <c r="E22" s="179">
        <v>15500</v>
      </c>
      <c r="F22" s="179"/>
      <c r="G22" s="179">
        <f t="shared" si="1"/>
        <v>36000</v>
      </c>
      <c r="H22" s="165"/>
    </row>
    <row r="23" spans="1:8" s="461" customFormat="1" ht="9.75" customHeight="1">
      <c r="A23" s="458" t="s">
        <v>341</v>
      </c>
      <c r="B23" s="462">
        <v>1000</v>
      </c>
      <c r="C23" s="462">
        <v>7900</v>
      </c>
      <c r="D23" s="459">
        <v>10500</v>
      </c>
      <c r="E23" s="459">
        <v>15200</v>
      </c>
      <c r="F23" s="459"/>
      <c r="G23" s="459">
        <f t="shared" si="1"/>
        <v>34600</v>
      </c>
      <c r="H23" s="463"/>
    </row>
    <row r="24" spans="1:8" ht="9.75" customHeight="1">
      <c r="A24" s="314" t="s">
        <v>397</v>
      </c>
      <c r="B24" s="316">
        <f>+B23/B12*B13</f>
        <v>1200</v>
      </c>
      <c r="C24" s="316">
        <v>7400</v>
      </c>
      <c r="D24" s="316">
        <v>12000</v>
      </c>
      <c r="E24" s="316">
        <v>10400</v>
      </c>
      <c r="F24" s="315"/>
      <c r="G24" s="315">
        <f t="shared" si="1"/>
        <v>31000</v>
      </c>
      <c r="H24" s="165"/>
    </row>
    <row r="25" spans="1:8" ht="9.75" customHeight="1">
      <c r="A25" s="314" t="s">
        <v>517</v>
      </c>
      <c r="B25" s="316">
        <f>+(AVERAGE(B20:B24)/AVERAGE(B9:B13))*B14</f>
        <v>1500</v>
      </c>
      <c r="C25" s="316">
        <v>6500</v>
      </c>
      <c r="D25" s="316">
        <v>11500</v>
      </c>
      <c r="E25" s="316">
        <v>9500</v>
      </c>
      <c r="F25" s="315"/>
      <c r="G25" s="315">
        <f t="shared" si="1"/>
        <v>29000</v>
      </c>
      <c r="H25" s="165"/>
    </row>
    <row r="26" spans="1:8" ht="9.75" customHeight="1">
      <c r="A26" s="42"/>
      <c r="B26" s="164"/>
      <c r="C26" s="164"/>
      <c r="D26" s="164"/>
      <c r="E26" s="164"/>
      <c r="F26" s="164"/>
      <c r="G26" s="164"/>
      <c r="H26" s="165"/>
    </row>
    <row r="27" spans="1:8" ht="9.75" customHeight="1">
      <c r="A27" s="40"/>
      <c r="B27" s="165"/>
      <c r="C27" s="165"/>
      <c r="D27" s="178" t="s">
        <v>241</v>
      </c>
      <c r="E27" s="165"/>
      <c r="F27" s="165"/>
      <c r="G27" s="165"/>
      <c r="H27" s="165"/>
    </row>
    <row r="28" spans="1:8" ht="9.75" customHeight="1">
      <c r="A28" s="170" t="s">
        <v>236</v>
      </c>
      <c r="B28" s="164"/>
      <c r="C28" s="164"/>
      <c r="D28" s="164"/>
      <c r="E28" s="164"/>
      <c r="F28" s="164"/>
      <c r="G28" s="164"/>
      <c r="H28" s="165"/>
    </row>
    <row r="29" spans="1:8" ht="9.75" customHeight="1">
      <c r="A29" s="42" t="s">
        <v>231</v>
      </c>
      <c r="B29" s="179">
        <v>550</v>
      </c>
      <c r="C29" s="179">
        <v>435</v>
      </c>
      <c r="D29" s="179">
        <v>255</v>
      </c>
      <c r="E29" s="179">
        <v>310</v>
      </c>
      <c r="F29" s="179"/>
      <c r="G29" s="179">
        <v>332</v>
      </c>
      <c r="H29" s="165"/>
    </row>
    <row r="30" spans="1:8" ht="9.75" customHeight="1">
      <c r="A30" s="177" t="s">
        <v>232</v>
      </c>
      <c r="B30" s="179">
        <v>550</v>
      </c>
      <c r="C30" s="179">
        <v>430</v>
      </c>
      <c r="D30" s="179">
        <v>190</v>
      </c>
      <c r="E30" s="179">
        <v>325</v>
      </c>
      <c r="F30" s="179"/>
      <c r="G30" s="179">
        <v>305</v>
      </c>
      <c r="H30" s="165"/>
    </row>
    <row r="31" spans="1:8" ht="9.75" customHeight="1">
      <c r="A31" s="42" t="s">
        <v>233</v>
      </c>
      <c r="B31" s="179">
        <v>460</v>
      </c>
      <c r="C31" s="179">
        <v>475</v>
      </c>
      <c r="D31" s="179">
        <v>125</v>
      </c>
      <c r="E31" s="179">
        <v>315</v>
      </c>
      <c r="F31" s="179"/>
      <c r="G31" s="179">
        <v>284</v>
      </c>
      <c r="H31" s="165"/>
    </row>
    <row r="32" spans="1:8" ht="9.75" customHeight="1">
      <c r="A32" s="42" t="s">
        <v>234</v>
      </c>
      <c r="B32" s="179">
        <v>500</v>
      </c>
      <c r="C32" s="179">
        <v>490</v>
      </c>
      <c r="D32" s="179">
        <v>175</v>
      </c>
      <c r="E32" s="179">
        <v>320</v>
      </c>
      <c r="F32" s="179"/>
      <c r="G32" s="179">
        <v>312</v>
      </c>
      <c r="H32" s="165"/>
    </row>
    <row r="33" spans="1:8" ht="9.75" customHeight="1">
      <c r="A33" s="42" t="s">
        <v>248</v>
      </c>
      <c r="B33" s="197">
        <v>500</v>
      </c>
      <c r="C33" s="197">
        <v>505</v>
      </c>
      <c r="D33" s="197">
        <v>260</v>
      </c>
      <c r="E33" s="197">
        <v>310</v>
      </c>
      <c r="F33" s="197"/>
      <c r="G33" s="197">
        <v>337</v>
      </c>
      <c r="H33" s="165"/>
    </row>
    <row r="34" spans="1:8" ht="9.75" customHeight="1">
      <c r="A34" s="42" t="s">
        <v>292</v>
      </c>
      <c r="B34" s="197">
        <v>460</v>
      </c>
      <c r="C34" s="197">
        <v>475</v>
      </c>
      <c r="D34" s="197">
        <v>210</v>
      </c>
      <c r="E34" s="197">
        <v>300</v>
      </c>
      <c r="F34" s="197"/>
      <c r="G34" s="197">
        <v>322</v>
      </c>
      <c r="H34" s="165"/>
    </row>
    <row r="35" spans="1:8" ht="9.75" customHeight="1">
      <c r="A35" s="42" t="s">
        <v>341</v>
      </c>
      <c r="B35" s="197">
        <v>490</v>
      </c>
      <c r="C35" s="197">
        <v>415</v>
      </c>
      <c r="D35" s="197">
        <v>310</v>
      </c>
      <c r="E35" s="197">
        <v>270</v>
      </c>
      <c r="F35" s="197"/>
      <c r="G35" s="197">
        <v>322</v>
      </c>
      <c r="H35" s="165"/>
    </row>
    <row r="36" spans="1:8" ht="9.75" customHeight="1">
      <c r="A36" s="314" t="s">
        <v>397</v>
      </c>
      <c r="B36" s="316">
        <v>450</v>
      </c>
      <c r="C36" s="316">
        <v>450</v>
      </c>
      <c r="D36" s="316">
        <v>270</v>
      </c>
      <c r="E36" s="316">
        <v>300</v>
      </c>
      <c r="F36" s="316"/>
      <c r="G36" s="316">
        <v>330</v>
      </c>
      <c r="H36" s="165"/>
    </row>
    <row r="37" spans="1:8" ht="9.75" customHeight="1">
      <c r="A37" s="314" t="s">
        <v>517</v>
      </c>
      <c r="B37" s="316">
        <v>440</v>
      </c>
      <c r="C37" s="316">
        <v>440</v>
      </c>
      <c r="D37" s="316">
        <v>320</v>
      </c>
      <c r="E37" s="316">
        <v>400</v>
      </c>
      <c r="F37" s="316"/>
      <c r="G37" s="316">
        <v>379</v>
      </c>
      <c r="H37" s="165"/>
    </row>
    <row r="38" spans="1:8" ht="6" customHeight="1">
      <c r="A38" s="40"/>
      <c r="B38" s="165"/>
      <c r="C38" s="165"/>
      <c r="D38" s="165"/>
      <c r="E38" s="165"/>
      <c r="F38" s="165"/>
      <c r="G38" s="165"/>
      <c r="H38" s="165"/>
    </row>
    <row r="39" spans="1:8" ht="9.75" customHeight="1">
      <c r="A39" s="40"/>
      <c r="B39" s="176"/>
      <c r="C39" s="165"/>
      <c r="D39" s="176" t="s">
        <v>242</v>
      </c>
      <c r="E39" s="165"/>
      <c r="F39" s="165"/>
      <c r="G39" s="165"/>
      <c r="H39" s="165"/>
    </row>
    <row r="40" spans="1:10" ht="9.75" customHeight="1">
      <c r="A40" s="170" t="s">
        <v>237</v>
      </c>
      <c r="B40" s="180"/>
      <c r="C40" s="180"/>
      <c r="D40" s="180"/>
      <c r="E40" s="180"/>
      <c r="F40" s="180"/>
      <c r="G40" s="180"/>
      <c r="H40" s="181"/>
      <c r="I40" s="182"/>
      <c r="J40" s="182"/>
    </row>
    <row r="41" spans="1:10" ht="9.75" customHeight="1">
      <c r="A41" s="42" t="s">
        <v>231</v>
      </c>
      <c r="B41" s="179">
        <v>1375</v>
      </c>
      <c r="C41" s="179">
        <v>2958</v>
      </c>
      <c r="D41" s="179">
        <v>3162</v>
      </c>
      <c r="E41" s="179">
        <v>4185</v>
      </c>
      <c r="F41" s="179"/>
      <c r="G41" s="179">
        <f aca="true" t="shared" si="2" ref="G41:G46">SUM(B41:E41)</f>
        <v>11680</v>
      </c>
      <c r="H41" s="181"/>
      <c r="I41" s="182"/>
      <c r="J41" s="182"/>
    </row>
    <row r="42" spans="1:10" ht="9.75" customHeight="1">
      <c r="A42" s="177" t="s">
        <v>232</v>
      </c>
      <c r="B42" s="179">
        <v>1100</v>
      </c>
      <c r="C42" s="179">
        <v>2666</v>
      </c>
      <c r="D42" s="179">
        <v>2565</v>
      </c>
      <c r="E42" s="179">
        <v>4615</v>
      </c>
      <c r="F42" s="179"/>
      <c r="G42" s="179">
        <f t="shared" si="2"/>
        <v>10946</v>
      </c>
      <c r="H42" s="181"/>
      <c r="I42" s="182"/>
      <c r="J42" s="182"/>
    </row>
    <row r="43" spans="1:10" ht="9.75" customHeight="1">
      <c r="A43" s="42" t="s">
        <v>233</v>
      </c>
      <c r="B43" s="179">
        <v>690</v>
      </c>
      <c r="C43" s="179">
        <v>2708</v>
      </c>
      <c r="D43" s="179">
        <v>1438</v>
      </c>
      <c r="E43" s="179">
        <v>4725</v>
      </c>
      <c r="F43" s="179"/>
      <c r="G43" s="179">
        <f t="shared" si="2"/>
        <v>9561</v>
      </c>
      <c r="H43" s="181"/>
      <c r="I43" s="182"/>
      <c r="J43" s="182"/>
    </row>
    <row r="44" spans="1:10" ht="9.75" customHeight="1">
      <c r="A44" s="42" t="s">
        <v>234</v>
      </c>
      <c r="B44" s="179">
        <v>750</v>
      </c>
      <c r="C44" s="197">
        <f>+C32*C20*0.001</f>
        <v>3675</v>
      </c>
      <c r="D44" s="197">
        <v>2188</v>
      </c>
      <c r="E44" s="179">
        <v>3520</v>
      </c>
      <c r="F44" s="179"/>
      <c r="G44" s="179">
        <f t="shared" si="2"/>
        <v>10133</v>
      </c>
      <c r="H44" s="181"/>
      <c r="I44" s="182"/>
      <c r="J44" s="182"/>
    </row>
    <row r="45" spans="1:10" ht="9.75" customHeight="1">
      <c r="A45" s="42" t="s">
        <v>248</v>
      </c>
      <c r="B45" s="197">
        <v>800</v>
      </c>
      <c r="C45" s="197">
        <f>+C33*C21*0.001</f>
        <v>3585.5</v>
      </c>
      <c r="D45" s="197">
        <v>3770</v>
      </c>
      <c r="E45" s="197">
        <v>3875</v>
      </c>
      <c r="F45" s="197"/>
      <c r="G45" s="179">
        <f t="shared" si="2"/>
        <v>12030.5</v>
      </c>
      <c r="H45" s="181"/>
      <c r="I45" s="182"/>
      <c r="J45" s="182"/>
    </row>
    <row r="46" spans="1:10" ht="9.75" customHeight="1">
      <c r="A46" s="42" t="s">
        <v>292</v>
      </c>
      <c r="B46" s="197">
        <v>920</v>
      </c>
      <c r="C46" s="197">
        <v>3800</v>
      </c>
      <c r="D46" s="197">
        <v>2205</v>
      </c>
      <c r="E46" s="197">
        <v>4650</v>
      </c>
      <c r="F46" s="197"/>
      <c r="G46" s="179">
        <f t="shared" si="2"/>
        <v>11575</v>
      </c>
      <c r="H46" s="181"/>
      <c r="I46" s="182"/>
      <c r="J46" s="182"/>
    </row>
    <row r="47" spans="1:10" ht="9.75" customHeight="1">
      <c r="A47" s="42" t="s">
        <v>342</v>
      </c>
      <c r="B47" s="197">
        <v>490</v>
      </c>
      <c r="C47" s="197">
        <v>3279</v>
      </c>
      <c r="D47" s="197">
        <v>3255</v>
      </c>
      <c r="E47" s="197">
        <v>4104</v>
      </c>
      <c r="F47" s="197"/>
      <c r="G47" s="179">
        <f>SUM(B47:E47)</f>
        <v>11128</v>
      </c>
      <c r="H47" s="181"/>
      <c r="I47" s="182"/>
      <c r="J47" s="182"/>
    </row>
    <row r="48" spans="1:10" ht="9.75" customHeight="1">
      <c r="A48" s="314" t="s">
        <v>397</v>
      </c>
      <c r="B48" s="316">
        <v>540</v>
      </c>
      <c r="C48" s="316">
        <f>+C24*C36*0.001</f>
        <v>3330</v>
      </c>
      <c r="D48" s="316">
        <v>3240</v>
      </c>
      <c r="E48" s="316">
        <f>+E24*E36*0.001</f>
        <v>3120</v>
      </c>
      <c r="F48" s="316"/>
      <c r="G48" s="315">
        <f>SUM(B48:E48)</f>
        <v>10230</v>
      </c>
      <c r="H48" s="181"/>
      <c r="I48" s="182"/>
      <c r="J48" s="182"/>
    </row>
    <row r="49" spans="1:10" ht="9.75" customHeight="1">
      <c r="A49" s="314" t="s">
        <v>517</v>
      </c>
      <c r="B49" s="316">
        <v>660</v>
      </c>
      <c r="C49" s="316">
        <v>2860</v>
      </c>
      <c r="D49" s="316">
        <v>3680</v>
      </c>
      <c r="E49" s="316">
        <v>3800</v>
      </c>
      <c r="F49" s="316"/>
      <c r="G49" s="315">
        <f>SUM(B49:E49)</f>
        <v>11000</v>
      </c>
      <c r="H49" s="181"/>
      <c r="I49" s="182"/>
      <c r="J49" s="182"/>
    </row>
    <row r="50" spans="1:8" ht="6" customHeight="1">
      <c r="A50" s="40"/>
      <c r="B50" s="165"/>
      <c r="C50" s="165"/>
      <c r="D50" s="165"/>
      <c r="E50" s="165"/>
      <c r="F50" s="165"/>
      <c r="G50" s="165"/>
      <c r="H50" s="165"/>
    </row>
    <row r="51" spans="1:8" ht="9.75" customHeight="1">
      <c r="A51" s="40"/>
      <c r="B51" s="165"/>
      <c r="C51" s="165"/>
      <c r="D51" s="165" t="s">
        <v>243</v>
      </c>
      <c r="E51" s="165"/>
      <c r="F51" s="165"/>
      <c r="G51" s="165"/>
      <c r="H51" s="165"/>
    </row>
    <row r="52" spans="1:8" ht="9.75" customHeight="1">
      <c r="A52" s="170" t="s">
        <v>238</v>
      </c>
      <c r="B52" s="164"/>
      <c r="C52" s="164"/>
      <c r="D52" s="164"/>
      <c r="E52" s="164"/>
      <c r="F52" s="164"/>
      <c r="G52" s="164"/>
      <c r="H52" s="165"/>
    </row>
    <row r="53" spans="1:8" ht="9.75" customHeight="1">
      <c r="A53" s="42" t="s">
        <v>231</v>
      </c>
      <c r="B53" s="183">
        <v>5.8</v>
      </c>
      <c r="C53" s="183">
        <v>10.6</v>
      </c>
      <c r="D53" s="183">
        <v>26</v>
      </c>
      <c r="E53" s="183">
        <v>17.2</v>
      </c>
      <c r="F53" s="183"/>
      <c r="G53" s="183">
        <v>16.6</v>
      </c>
      <c r="H53" s="165"/>
    </row>
    <row r="54" spans="1:8" ht="9.75" customHeight="1">
      <c r="A54" s="177" t="s">
        <v>232</v>
      </c>
      <c r="B54" s="183">
        <v>8</v>
      </c>
      <c r="C54" s="183">
        <v>13.5</v>
      </c>
      <c r="D54" s="183">
        <v>27.5</v>
      </c>
      <c r="E54" s="183">
        <v>18.5</v>
      </c>
      <c r="F54" s="183"/>
      <c r="G54" s="183">
        <v>18.3</v>
      </c>
      <c r="H54" s="165"/>
    </row>
    <row r="55" spans="1:8" ht="9.75" customHeight="1">
      <c r="A55" s="42" t="s">
        <v>233</v>
      </c>
      <c r="B55" s="183">
        <v>8.35</v>
      </c>
      <c r="C55" s="183">
        <v>14.2</v>
      </c>
      <c r="D55" s="183">
        <v>32.2</v>
      </c>
      <c r="E55" s="183">
        <v>21.4</v>
      </c>
      <c r="F55" s="183"/>
      <c r="G55" s="183">
        <v>20</v>
      </c>
      <c r="H55" s="165"/>
    </row>
    <row r="56" spans="1:8" ht="9.75" customHeight="1">
      <c r="A56" s="42" t="s">
        <v>234</v>
      </c>
      <c r="B56" s="183">
        <v>9.89</v>
      </c>
      <c r="C56" s="183">
        <v>22.9</v>
      </c>
      <c r="D56" s="183">
        <v>34.3</v>
      </c>
      <c r="E56" s="183">
        <v>38.1</v>
      </c>
      <c r="F56" s="183"/>
      <c r="G56" s="183">
        <v>29.7</v>
      </c>
      <c r="H56" s="165"/>
    </row>
    <row r="57" spans="1:8" ht="9.75" customHeight="1">
      <c r="A57" s="42" t="s">
        <v>248</v>
      </c>
      <c r="B57" s="183">
        <v>8.8</v>
      </c>
      <c r="C57" s="183">
        <v>10.1</v>
      </c>
      <c r="D57" s="183">
        <v>23.5</v>
      </c>
      <c r="E57" s="183">
        <v>22.6</v>
      </c>
      <c r="F57" s="183"/>
      <c r="G57" s="183">
        <v>18.2</v>
      </c>
      <c r="H57" s="165"/>
    </row>
    <row r="58" spans="1:8" ht="9.75" customHeight="1">
      <c r="A58" s="42" t="s">
        <v>292</v>
      </c>
      <c r="B58" s="183">
        <v>10.2</v>
      </c>
      <c r="C58" s="183">
        <v>12.4</v>
      </c>
      <c r="D58" s="183">
        <v>29.7</v>
      </c>
      <c r="E58" s="183">
        <v>29.7</v>
      </c>
      <c r="F58" s="183"/>
      <c r="G58" s="183">
        <v>22.5</v>
      </c>
      <c r="H58" s="165"/>
    </row>
    <row r="59" spans="1:8" ht="9.75" customHeight="1">
      <c r="A59" s="42" t="s">
        <v>341</v>
      </c>
      <c r="B59" s="183">
        <v>9</v>
      </c>
      <c r="C59" s="183">
        <v>9.3</v>
      </c>
      <c r="D59" s="183">
        <v>25.2</v>
      </c>
      <c r="E59" s="183">
        <v>20</v>
      </c>
      <c r="F59" s="183"/>
      <c r="G59" s="183">
        <v>17.9</v>
      </c>
      <c r="H59" s="165"/>
    </row>
    <row r="60" spans="1:8" ht="9.75" customHeight="1">
      <c r="A60" s="314" t="s">
        <v>381</v>
      </c>
      <c r="B60" s="505">
        <v>12</v>
      </c>
      <c r="C60" s="505">
        <v>11</v>
      </c>
      <c r="D60" s="505">
        <v>35.9</v>
      </c>
      <c r="E60" s="505">
        <v>56</v>
      </c>
      <c r="F60" s="505"/>
      <c r="G60" s="505">
        <v>32.7</v>
      </c>
      <c r="H60" s="165"/>
    </row>
    <row r="61" spans="1:8" ht="9.75" customHeight="1">
      <c r="A61" s="314" t="s">
        <v>517</v>
      </c>
      <c r="B61" s="505">
        <v>8.3</v>
      </c>
      <c r="C61" s="505">
        <v>12.8</v>
      </c>
      <c r="D61" s="505">
        <v>29.5</v>
      </c>
      <c r="E61" s="505">
        <v>30.3</v>
      </c>
      <c r="F61" s="505"/>
      <c r="G61" s="505">
        <v>24.2</v>
      </c>
      <c r="H61" s="165"/>
    </row>
    <row r="62" spans="1:8" ht="6" customHeight="1">
      <c r="A62" s="40"/>
      <c r="B62" s="184"/>
      <c r="C62" s="184"/>
      <c r="D62" s="184"/>
      <c r="E62" s="184"/>
      <c r="F62" s="184"/>
      <c r="G62" s="184"/>
      <c r="H62" s="165"/>
    </row>
    <row r="63" spans="1:8" ht="9.75" customHeight="1">
      <c r="A63" s="37"/>
      <c r="B63" s="175"/>
      <c r="C63" s="164"/>
      <c r="D63" s="176" t="s">
        <v>244</v>
      </c>
      <c r="E63" s="164"/>
      <c r="F63" s="164"/>
      <c r="G63" s="164"/>
      <c r="H63" s="164"/>
    </row>
    <row r="64" spans="1:8" ht="9.75" customHeight="1">
      <c r="A64" s="170" t="s">
        <v>239</v>
      </c>
      <c r="B64" s="175"/>
      <c r="C64" s="164"/>
      <c r="D64" s="164"/>
      <c r="E64" s="164"/>
      <c r="F64" s="164"/>
      <c r="G64" s="164"/>
      <c r="H64" s="164"/>
    </row>
    <row r="65" spans="1:8" ht="9.75" customHeight="1">
      <c r="A65" s="42" t="s">
        <v>231</v>
      </c>
      <c r="B65" s="179">
        <v>7975</v>
      </c>
      <c r="C65" s="179">
        <v>31355</v>
      </c>
      <c r="D65" s="179">
        <v>82212</v>
      </c>
      <c r="E65" s="179">
        <v>71982</v>
      </c>
      <c r="F65" s="179"/>
      <c r="G65" s="179">
        <f aca="true" t="shared" si="3" ref="G65:G70">SUM(B65:E65)</f>
        <v>193524</v>
      </c>
      <c r="H65" s="164"/>
    </row>
    <row r="66" spans="1:8" ht="9.75" customHeight="1">
      <c r="A66" s="177" t="s">
        <v>232</v>
      </c>
      <c r="B66" s="179">
        <v>8800</v>
      </c>
      <c r="C66" s="179">
        <v>35991</v>
      </c>
      <c r="D66" s="179">
        <v>70538</v>
      </c>
      <c r="E66" s="179">
        <v>85378</v>
      </c>
      <c r="F66" s="179"/>
      <c r="G66" s="179">
        <f t="shared" si="3"/>
        <v>200707</v>
      </c>
      <c r="H66" s="164"/>
    </row>
    <row r="67" spans="1:8" ht="9.75" customHeight="1">
      <c r="A67" s="42" t="s">
        <v>233</v>
      </c>
      <c r="B67" s="179">
        <v>5762</v>
      </c>
      <c r="C67" s="179">
        <v>38454</v>
      </c>
      <c r="D67" s="179">
        <v>46304</v>
      </c>
      <c r="E67" s="179">
        <v>101115</v>
      </c>
      <c r="F67" s="179"/>
      <c r="G67" s="179">
        <f t="shared" si="3"/>
        <v>191635</v>
      </c>
      <c r="H67" s="164"/>
    </row>
    <row r="68" spans="1:8" ht="9.75" customHeight="1">
      <c r="A68" s="42" t="s">
        <v>234</v>
      </c>
      <c r="B68" s="179">
        <v>7418</v>
      </c>
      <c r="C68" s="179">
        <v>84158</v>
      </c>
      <c r="D68" s="179">
        <v>75048</v>
      </c>
      <c r="E68" s="179">
        <v>134112</v>
      </c>
      <c r="F68" s="179"/>
      <c r="G68" s="179">
        <f t="shared" si="3"/>
        <v>300736</v>
      </c>
      <c r="H68" s="164"/>
    </row>
    <row r="69" spans="1:8" ht="9.75" customHeight="1">
      <c r="A69" s="42" t="s">
        <v>248</v>
      </c>
      <c r="B69" s="179">
        <v>7040</v>
      </c>
      <c r="C69" s="179">
        <v>36219</v>
      </c>
      <c r="D69" s="179">
        <v>88595</v>
      </c>
      <c r="E69" s="179">
        <v>87575</v>
      </c>
      <c r="F69" s="197"/>
      <c r="G69" s="179">
        <f t="shared" si="3"/>
        <v>219429</v>
      </c>
      <c r="H69" s="164"/>
    </row>
    <row r="70" spans="1:8" ht="9.75" customHeight="1">
      <c r="A70" s="42" t="s">
        <v>292</v>
      </c>
      <c r="B70" s="179">
        <v>9384</v>
      </c>
      <c r="C70" s="179">
        <v>47120</v>
      </c>
      <c r="D70" s="179">
        <v>65489</v>
      </c>
      <c r="E70" s="179">
        <v>138105</v>
      </c>
      <c r="F70" s="197"/>
      <c r="G70" s="179">
        <f t="shared" si="3"/>
        <v>260098</v>
      </c>
      <c r="H70" s="164"/>
    </row>
    <row r="71" spans="1:8" ht="9.75" customHeight="1">
      <c r="A71" s="42" t="s">
        <v>341</v>
      </c>
      <c r="B71" s="179">
        <v>4410</v>
      </c>
      <c r="C71" s="179">
        <v>30495</v>
      </c>
      <c r="D71" s="179">
        <v>82026</v>
      </c>
      <c r="E71" s="179">
        <v>82080</v>
      </c>
      <c r="F71" s="197"/>
      <c r="G71" s="179">
        <f>SUM(B71:E71)</f>
        <v>199011</v>
      </c>
      <c r="H71" s="164"/>
    </row>
    <row r="72" spans="1:8" ht="9.75" customHeight="1">
      <c r="A72" s="314" t="s">
        <v>381</v>
      </c>
      <c r="B72" s="315">
        <v>6480</v>
      </c>
      <c r="C72" s="315">
        <v>36630</v>
      </c>
      <c r="D72" s="315">
        <v>116316</v>
      </c>
      <c r="E72" s="315">
        <v>174720</v>
      </c>
      <c r="F72" s="316"/>
      <c r="G72" s="315">
        <f>SUM(B72:E72)</f>
        <v>334146</v>
      </c>
      <c r="H72" s="164"/>
    </row>
    <row r="73" spans="1:8" ht="9.75" customHeight="1">
      <c r="A73" s="314" t="s">
        <v>517</v>
      </c>
      <c r="B73" s="315">
        <v>5478</v>
      </c>
      <c r="C73" s="315">
        <v>36608</v>
      </c>
      <c r="D73" s="315">
        <v>108560</v>
      </c>
      <c r="E73" s="315">
        <v>115140</v>
      </c>
      <c r="F73" s="316"/>
      <c r="G73" s="315">
        <f>SUM(B73:E73)</f>
        <v>265786</v>
      </c>
      <c r="H73" s="164"/>
    </row>
    <row r="74" spans="1:8" ht="6.75" customHeight="1">
      <c r="A74" s="42"/>
      <c r="B74" s="179"/>
      <c r="C74" s="179"/>
      <c r="D74" s="179"/>
      <c r="E74" s="179"/>
      <c r="F74" s="197"/>
      <c r="G74" s="179"/>
      <c r="H74" s="164"/>
    </row>
    <row r="75" spans="1:8" ht="12.75" customHeight="1">
      <c r="A75" s="54" t="s">
        <v>520</v>
      </c>
      <c r="B75" s="55"/>
      <c r="C75" s="55"/>
      <c r="D75" s="55"/>
      <c r="E75" s="55"/>
      <c r="F75" s="55"/>
      <c r="G75" s="55"/>
      <c r="H75" s="55"/>
    </row>
    <row r="76" spans="1:8" ht="12.75" customHeight="1">
      <c r="A76" s="265" t="s">
        <v>430</v>
      </c>
      <c r="B76" s="37"/>
      <c r="C76" s="37"/>
      <c r="D76" s="40"/>
      <c r="E76" s="37"/>
      <c r="F76" s="37"/>
      <c r="G76" s="37"/>
      <c r="H76" s="37"/>
    </row>
  </sheetData>
  <printOptions horizontalCentered="1"/>
  <pageMargins left="0.167" right="0.167" top="0.25" bottom="0.65" header="0" footer="0.28"/>
  <pageSetup fitToHeight="1" fitToWidth="1" horizontalDpi="600" verticalDpi="600" orientation="portrait" scale="96" r:id="rId1"/>
  <headerFooter alignWithMargins="0">
    <oddFooter>&amp;C&amp;"Arial,Italic"&amp;9Vegetables and Melons Outlook&amp;"Arial,Regular"/VGS-330/December 16, 2008
Economic Research Service, USDA</oddFooter>
  </headerFooter>
</worksheet>
</file>

<file path=xl/worksheets/sheet6.xml><?xml version="1.0" encoding="utf-8"?>
<worksheet xmlns="http://schemas.openxmlformats.org/spreadsheetml/2006/main" xmlns:r="http://schemas.openxmlformats.org/officeDocument/2006/relationships">
  <sheetPr transitionEvaluation="1">
    <tabColor indexed="51"/>
    <pageSetUpPr fitToPage="1"/>
  </sheetPr>
  <dimension ref="A2:O45"/>
  <sheetViews>
    <sheetView showGridLines="0" workbookViewId="0" topLeftCell="A1">
      <selection activeCell="A1" sqref="A1"/>
    </sheetView>
  </sheetViews>
  <sheetFormatPr defaultColWidth="9.7109375" defaultRowHeight="12.75"/>
  <cols>
    <col min="1" max="1" width="15.421875" style="36" customWidth="1"/>
    <col min="2" max="12" width="8.421875" style="36" customWidth="1"/>
    <col min="13" max="13" width="0.9921875" style="36" customWidth="1"/>
    <col min="14" max="14" width="4.8515625" style="36" customWidth="1"/>
    <col min="15" max="15" width="1.1484375" style="36" customWidth="1"/>
    <col min="16" max="16384" width="9.7109375" style="36" customWidth="1"/>
  </cols>
  <sheetData>
    <row r="2" spans="1:15" ht="12">
      <c r="A2" s="185" t="s">
        <v>445</v>
      </c>
      <c r="B2" s="35"/>
      <c r="C2" s="35"/>
      <c r="D2" s="35"/>
      <c r="E2" s="35"/>
      <c r="F2" s="35"/>
      <c r="G2" s="35"/>
      <c r="H2" s="35"/>
      <c r="I2" s="35"/>
      <c r="J2" s="35"/>
      <c r="K2" s="35"/>
      <c r="L2" s="35"/>
      <c r="M2" s="35"/>
      <c r="N2" s="35"/>
      <c r="O2" s="35"/>
    </row>
    <row r="3" spans="1:15" ht="12">
      <c r="A3" s="305" t="s">
        <v>89</v>
      </c>
      <c r="B3" s="306">
        <v>1998</v>
      </c>
      <c r="C3" s="306">
        <v>1999</v>
      </c>
      <c r="D3" s="306">
        <v>2000</v>
      </c>
      <c r="E3" s="306">
        <v>2001</v>
      </c>
      <c r="F3" s="306">
        <v>2002</v>
      </c>
      <c r="G3" s="307" t="s">
        <v>291</v>
      </c>
      <c r="H3" s="307" t="s">
        <v>290</v>
      </c>
      <c r="I3" s="307" t="s">
        <v>293</v>
      </c>
      <c r="J3" s="307" t="s">
        <v>343</v>
      </c>
      <c r="K3" s="306">
        <v>2007</v>
      </c>
      <c r="L3" s="306" t="s">
        <v>525</v>
      </c>
      <c r="M3" s="307"/>
      <c r="N3" s="306" t="s">
        <v>444</v>
      </c>
      <c r="O3" s="307"/>
    </row>
    <row r="4" spans="1:14" ht="12">
      <c r="A4" s="37"/>
      <c r="B4" s="455" t="s">
        <v>387</v>
      </c>
      <c r="C4" s="39"/>
      <c r="D4" s="39"/>
      <c r="E4" s="39"/>
      <c r="F4" s="39"/>
      <c r="G4" s="39"/>
      <c r="H4" s="39"/>
      <c r="I4" s="39"/>
      <c r="J4" s="420"/>
      <c r="K4" s="420"/>
      <c r="L4" s="420"/>
      <c r="N4" s="455" t="s">
        <v>30</v>
      </c>
    </row>
    <row r="5" ht="12">
      <c r="A5" s="454" t="s">
        <v>384</v>
      </c>
    </row>
    <row r="6" spans="1:14" ht="10.5" customHeight="1">
      <c r="A6" s="40" t="s">
        <v>173</v>
      </c>
      <c r="B6" s="542">
        <v>39200</v>
      </c>
      <c r="C6" s="542">
        <v>41600</v>
      </c>
      <c r="D6" s="542">
        <v>35600</v>
      </c>
      <c r="E6" s="542">
        <v>31000</v>
      </c>
      <c r="F6" s="542">
        <v>29200</v>
      </c>
      <c r="G6" s="542">
        <v>31800</v>
      </c>
      <c r="H6" s="542">
        <v>30900</v>
      </c>
      <c r="I6" s="542">
        <v>31800</v>
      </c>
      <c r="J6" s="542">
        <v>33100</v>
      </c>
      <c r="K6" s="542">
        <v>31700</v>
      </c>
      <c r="L6" s="542">
        <v>31000</v>
      </c>
      <c r="N6" s="501">
        <f>+(L6/K6-1)*100</f>
        <v>-2.208201892744477</v>
      </c>
    </row>
    <row r="7" spans="1:14" ht="10.5" customHeight="1">
      <c r="A7" s="40" t="s">
        <v>160</v>
      </c>
      <c r="B7" s="542">
        <v>16500</v>
      </c>
      <c r="C7" s="542">
        <v>15500</v>
      </c>
      <c r="D7" s="542">
        <v>12000</v>
      </c>
      <c r="E7" s="542">
        <v>14000</v>
      </c>
      <c r="F7" s="542">
        <v>12500</v>
      </c>
      <c r="G7" s="542">
        <v>10500</v>
      </c>
      <c r="H7" s="542">
        <v>12500</v>
      </c>
      <c r="I7" s="542">
        <v>10000</v>
      </c>
      <c r="J7" s="542">
        <v>10000</v>
      </c>
      <c r="K7" s="542">
        <v>9000</v>
      </c>
      <c r="L7" s="542">
        <v>8000</v>
      </c>
      <c r="N7" s="501">
        <f>+(L7/K7-1)*100</f>
        <v>-11.111111111111116</v>
      </c>
    </row>
    <row r="8" spans="1:14" ht="10.5" customHeight="1">
      <c r="A8" s="40" t="s">
        <v>161</v>
      </c>
      <c r="B8" s="542">
        <v>9000</v>
      </c>
      <c r="C8" s="542">
        <v>10200</v>
      </c>
      <c r="D8" s="542">
        <v>8900</v>
      </c>
      <c r="E8" s="542">
        <v>9500</v>
      </c>
      <c r="F8" s="542">
        <v>10000</v>
      </c>
      <c r="G8" s="542">
        <v>10000</v>
      </c>
      <c r="H8" s="542">
        <v>11000</v>
      </c>
      <c r="I8" s="542">
        <v>9700</v>
      </c>
      <c r="J8" s="542">
        <v>9700</v>
      </c>
      <c r="K8" s="542">
        <v>9300</v>
      </c>
      <c r="L8" s="542">
        <v>8600</v>
      </c>
      <c r="N8" s="501">
        <f>+(L8/K8-1)*100</f>
        <v>-7.5268817204301115</v>
      </c>
    </row>
    <row r="9" spans="1:14" ht="10.5" customHeight="1">
      <c r="A9" s="40" t="s">
        <v>162</v>
      </c>
      <c r="B9" s="542">
        <v>4500</v>
      </c>
      <c r="C9" s="542">
        <v>4100</v>
      </c>
      <c r="D9" s="542">
        <v>4100</v>
      </c>
      <c r="E9" s="542">
        <v>4100</v>
      </c>
      <c r="F9" s="542">
        <v>4000</v>
      </c>
      <c r="G9" s="542">
        <v>3700</v>
      </c>
      <c r="H9" s="542">
        <v>3500</v>
      </c>
      <c r="I9" s="542">
        <v>3000</v>
      </c>
      <c r="J9" s="542">
        <v>2700</v>
      </c>
      <c r="K9" s="542">
        <v>2600</v>
      </c>
      <c r="L9" s="542">
        <v>2600</v>
      </c>
      <c r="N9" s="501">
        <f>+(L9/K9-1)*100</f>
        <v>0</v>
      </c>
    </row>
    <row r="10" spans="1:12" ht="10.5" customHeight="1">
      <c r="A10" s="40" t="s">
        <v>163</v>
      </c>
      <c r="B10" s="542">
        <v>490</v>
      </c>
      <c r="C10" s="542">
        <v>480</v>
      </c>
      <c r="D10" s="542">
        <v>300</v>
      </c>
      <c r="E10" s="542">
        <v>230</v>
      </c>
      <c r="F10" s="542">
        <v>280</v>
      </c>
      <c r="G10" s="542">
        <v>280</v>
      </c>
      <c r="H10" s="544" t="s">
        <v>176</v>
      </c>
      <c r="I10" s="544" t="s">
        <v>176</v>
      </c>
      <c r="J10" s="544" t="s">
        <v>176</v>
      </c>
      <c r="K10" s="544" t="s">
        <v>176</v>
      </c>
      <c r="L10" s="544" t="s">
        <v>151</v>
      </c>
    </row>
    <row r="11" spans="1:14" ht="10.5" customHeight="1">
      <c r="A11" s="40" t="s">
        <v>164</v>
      </c>
      <c r="B11" s="542">
        <v>13100</v>
      </c>
      <c r="C11" s="542">
        <v>13000</v>
      </c>
      <c r="D11" s="542">
        <v>13400</v>
      </c>
      <c r="E11" s="542">
        <v>13200</v>
      </c>
      <c r="F11" s="542">
        <v>12700</v>
      </c>
      <c r="G11" s="542">
        <v>12100</v>
      </c>
      <c r="H11" s="542">
        <v>13500</v>
      </c>
      <c r="I11" s="542">
        <v>13800</v>
      </c>
      <c r="J11" s="542">
        <v>14100</v>
      </c>
      <c r="K11" s="542">
        <v>13000</v>
      </c>
      <c r="L11" s="542">
        <v>11700</v>
      </c>
      <c r="N11" s="501">
        <f>+(L11/K11-1)*100</f>
        <v>-9.999999999999998</v>
      </c>
    </row>
    <row r="12" spans="1:12" ht="10.5" customHeight="1">
      <c r="A12" s="40" t="s">
        <v>165</v>
      </c>
      <c r="B12" s="542">
        <v>530</v>
      </c>
      <c r="C12" s="542">
        <v>480</v>
      </c>
      <c r="D12" s="542">
        <v>480</v>
      </c>
      <c r="E12" s="542">
        <v>470</v>
      </c>
      <c r="F12" s="542">
        <v>470</v>
      </c>
      <c r="G12" s="542">
        <v>380</v>
      </c>
      <c r="H12" s="544" t="s">
        <v>176</v>
      </c>
      <c r="I12" s="544" t="s">
        <v>176</v>
      </c>
      <c r="J12" s="544" t="s">
        <v>176</v>
      </c>
      <c r="K12" s="544" t="s">
        <v>176</v>
      </c>
      <c r="L12" s="543"/>
    </row>
    <row r="13" spans="1:14" ht="10.5" customHeight="1">
      <c r="A13" s="40" t="s">
        <v>166</v>
      </c>
      <c r="B13" s="542">
        <f aca="true" t="shared" si="0" ref="B13:H13">+B15+B14</f>
        <v>19800</v>
      </c>
      <c r="C13" s="542">
        <f t="shared" si="0"/>
        <v>20300</v>
      </c>
      <c r="D13" s="542">
        <f t="shared" si="0"/>
        <v>19800</v>
      </c>
      <c r="E13" s="542">
        <f t="shared" si="0"/>
        <v>19100</v>
      </c>
      <c r="F13" s="542">
        <f t="shared" si="0"/>
        <v>19300</v>
      </c>
      <c r="G13" s="542">
        <f t="shared" si="0"/>
        <v>19300</v>
      </c>
      <c r="H13" s="542">
        <f t="shared" si="0"/>
        <v>19900</v>
      </c>
      <c r="I13" s="542">
        <f>+I14+I15</f>
        <v>19500</v>
      </c>
      <c r="J13" s="542">
        <f>+J14+J15</f>
        <v>20100</v>
      </c>
      <c r="K13" s="542">
        <f>+K14+K15</f>
        <v>21100</v>
      </c>
      <c r="L13" s="542">
        <f>+L14+L15</f>
        <v>19500</v>
      </c>
      <c r="N13" s="501">
        <f>+(L13/K13-1)*100</f>
        <v>-7.5829383886255926</v>
      </c>
    </row>
    <row r="14" spans="1:14" ht="10.5" customHeight="1">
      <c r="A14" s="40" t="s">
        <v>167</v>
      </c>
      <c r="B14" s="542">
        <v>12200</v>
      </c>
      <c r="C14" s="542">
        <v>13000</v>
      </c>
      <c r="D14" s="542">
        <v>11700</v>
      </c>
      <c r="E14" s="542">
        <v>11400</v>
      </c>
      <c r="F14" s="542">
        <v>12000</v>
      </c>
      <c r="G14" s="542">
        <v>12400</v>
      </c>
      <c r="H14" s="542">
        <v>12500</v>
      </c>
      <c r="I14" s="542">
        <v>11700</v>
      </c>
      <c r="J14" s="542">
        <v>11700</v>
      </c>
      <c r="K14" s="542">
        <v>12000</v>
      </c>
      <c r="L14" s="542">
        <v>10700</v>
      </c>
      <c r="N14" s="501">
        <f>+(L14/K14-1)*100</f>
        <v>-10.833333333333329</v>
      </c>
    </row>
    <row r="15" spans="1:14" ht="10.5" customHeight="1">
      <c r="A15" s="40" t="s">
        <v>168</v>
      </c>
      <c r="B15" s="542">
        <v>7600</v>
      </c>
      <c r="C15" s="542">
        <v>7300</v>
      </c>
      <c r="D15" s="542">
        <v>8100</v>
      </c>
      <c r="E15" s="542">
        <v>7700</v>
      </c>
      <c r="F15" s="542">
        <v>7300</v>
      </c>
      <c r="G15" s="542">
        <v>6900</v>
      </c>
      <c r="H15" s="542">
        <v>7400</v>
      </c>
      <c r="I15" s="542">
        <v>7800</v>
      </c>
      <c r="J15" s="542">
        <v>8400</v>
      </c>
      <c r="K15" s="542">
        <v>9100</v>
      </c>
      <c r="L15" s="542">
        <v>8800</v>
      </c>
      <c r="N15" s="501">
        <f>+(L15/K15-1)*100</f>
        <v>-3.296703296703296</v>
      </c>
    </row>
    <row r="16" spans="1:12" ht="10.5" customHeight="1">
      <c r="A16" s="40" t="s">
        <v>169</v>
      </c>
      <c r="B16" s="542">
        <v>2500</v>
      </c>
      <c r="C16" s="542">
        <v>2800</v>
      </c>
      <c r="D16" s="542">
        <v>2500</v>
      </c>
      <c r="E16" s="542">
        <v>2200</v>
      </c>
      <c r="F16" s="542">
        <v>2200</v>
      </c>
      <c r="G16" s="542">
        <v>1900</v>
      </c>
      <c r="H16" s="542">
        <v>1600</v>
      </c>
      <c r="I16" s="544" t="s">
        <v>176</v>
      </c>
      <c r="J16" s="544" t="s">
        <v>176</v>
      </c>
      <c r="K16" s="544" t="s">
        <v>176</v>
      </c>
      <c r="L16" s="544" t="s">
        <v>151</v>
      </c>
    </row>
    <row r="17" spans="1:14" ht="10.5" customHeight="1">
      <c r="A17" s="40" t="s">
        <v>170</v>
      </c>
      <c r="B17" s="542">
        <v>17300</v>
      </c>
      <c r="C17" s="542">
        <v>18300</v>
      </c>
      <c r="D17" s="542">
        <v>16000</v>
      </c>
      <c r="E17" s="542">
        <v>17000</v>
      </c>
      <c r="F17" s="542">
        <v>18000</v>
      </c>
      <c r="G17" s="542">
        <v>18000</v>
      </c>
      <c r="H17" s="542">
        <v>20000</v>
      </c>
      <c r="I17" s="542">
        <v>19500</v>
      </c>
      <c r="J17" s="542">
        <v>20000</v>
      </c>
      <c r="K17" s="542">
        <v>21000</v>
      </c>
      <c r="L17" s="542">
        <v>19000</v>
      </c>
      <c r="N17" s="501">
        <f>+(L17/K17-1)*100</f>
        <v>-9.523809523809524</v>
      </c>
    </row>
    <row r="18" spans="1:14" ht="10.5" customHeight="1">
      <c r="A18" s="40" t="s">
        <v>171</v>
      </c>
      <c r="B18" s="542">
        <v>2100</v>
      </c>
      <c r="C18" s="542">
        <v>2300</v>
      </c>
      <c r="D18" s="542">
        <v>2000</v>
      </c>
      <c r="E18" s="542">
        <v>2000</v>
      </c>
      <c r="F18" s="542">
        <v>2100</v>
      </c>
      <c r="G18" s="542">
        <v>2100</v>
      </c>
      <c r="H18" s="542">
        <v>2000</v>
      </c>
      <c r="I18" s="542">
        <v>2000</v>
      </c>
      <c r="J18" s="542">
        <v>2100</v>
      </c>
      <c r="K18" s="542">
        <v>1900</v>
      </c>
      <c r="L18" s="542">
        <v>1800</v>
      </c>
      <c r="N18" s="501">
        <f>+(L18/K18-1)*100</f>
        <v>-5.263157894736848</v>
      </c>
    </row>
    <row r="19" spans="1:14" ht="9.75" customHeight="1">
      <c r="A19" s="40" t="s">
        <v>278</v>
      </c>
      <c r="B19" s="545" t="s">
        <v>157</v>
      </c>
      <c r="C19" s="545" t="s">
        <v>157</v>
      </c>
      <c r="D19" s="545" t="s">
        <v>157</v>
      </c>
      <c r="E19" s="545" t="s">
        <v>157</v>
      </c>
      <c r="F19" s="545" t="s">
        <v>157</v>
      </c>
      <c r="G19" s="545" t="s">
        <v>157</v>
      </c>
      <c r="H19" s="542">
        <v>700</v>
      </c>
      <c r="I19" s="542">
        <v>2020</v>
      </c>
      <c r="J19" s="542">
        <v>2280</v>
      </c>
      <c r="K19" s="542">
        <v>2180</v>
      </c>
      <c r="L19" s="542">
        <v>1650</v>
      </c>
      <c r="N19" s="501">
        <f>+(L19/K19-1)*100</f>
        <v>-24.311926605504585</v>
      </c>
    </row>
    <row r="20" spans="2:12" ht="3" customHeight="1">
      <c r="B20" s="543"/>
      <c r="C20" s="543"/>
      <c r="D20" s="543"/>
      <c r="E20" s="543"/>
      <c r="F20" s="543"/>
      <c r="G20" s="543"/>
      <c r="H20" s="543"/>
      <c r="I20" s="543"/>
      <c r="J20" s="543"/>
      <c r="K20" s="543"/>
      <c r="L20" s="543"/>
    </row>
    <row r="21" spans="1:14" ht="12">
      <c r="A21" s="274" t="s">
        <v>172</v>
      </c>
      <c r="B21" s="546">
        <f aca="true" t="shared" si="1" ref="B21:G21">SUM(B6:B18)-B13</f>
        <v>125020</v>
      </c>
      <c r="C21" s="546">
        <f t="shared" si="1"/>
        <v>129060</v>
      </c>
      <c r="D21" s="546">
        <f t="shared" si="1"/>
        <v>115080</v>
      </c>
      <c r="E21" s="546">
        <f t="shared" si="1"/>
        <v>112800</v>
      </c>
      <c r="F21" s="546">
        <f t="shared" si="1"/>
        <v>110750</v>
      </c>
      <c r="G21" s="546">
        <f t="shared" si="1"/>
        <v>110060</v>
      </c>
      <c r="H21" s="546">
        <f>SUM(H6:H19)-H13</f>
        <v>115600</v>
      </c>
      <c r="I21" s="546">
        <f>SUM(I6:I19)-I13</f>
        <v>111320</v>
      </c>
      <c r="J21" s="546">
        <f>SUM(J6:J19)-J13</f>
        <v>114080</v>
      </c>
      <c r="K21" s="546">
        <f>SUM(K6:K19)-K13</f>
        <v>111780</v>
      </c>
      <c r="L21" s="546">
        <f>SUM(L6:L19)-L13</f>
        <v>103850</v>
      </c>
      <c r="N21" s="501">
        <f>+(L21/K21-1)*100</f>
        <v>-7.094292359992838</v>
      </c>
    </row>
    <row r="22" spans="2:12" ht="14.25" customHeight="1">
      <c r="B22" s="543"/>
      <c r="C22" s="543"/>
      <c r="D22" s="547"/>
      <c r="E22" s="543"/>
      <c r="F22" s="543"/>
      <c r="G22" s="543"/>
      <c r="H22" s="543"/>
      <c r="I22" s="543"/>
      <c r="J22" s="543"/>
      <c r="K22" s="543"/>
      <c r="L22" s="543"/>
    </row>
    <row r="23" spans="1:12" ht="12">
      <c r="A23" s="170" t="s">
        <v>90</v>
      </c>
      <c r="B23" s="543"/>
      <c r="C23" s="543"/>
      <c r="D23" s="543"/>
      <c r="E23" s="543"/>
      <c r="F23" s="543"/>
      <c r="G23" s="543"/>
      <c r="H23" s="543"/>
      <c r="I23" s="543"/>
      <c r="J23" s="543"/>
      <c r="K23" s="543"/>
      <c r="L23" s="543"/>
    </row>
    <row r="24" spans="1:14" ht="10.5" customHeight="1">
      <c r="A24" s="40" t="s">
        <v>173</v>
      </c>
      <c r="B24" s="542">
        <v>37700</v>
      </c>
      <c r="C24" s="542">
        <v>39000</v>
      </c>
      <c r="D24" s="542">
        <v>34000</v>
      </c>
      <c r="E24" s="542">
        <v>29800</v>
      </c>
      <c r="F24" s="542">
        <v>28200</v>
      </c>
      <c r="G24" s="542">
        <v>35000</v>
      </c>
      <c r="H24" s="542">
        <v>30000</v>
      </c>
      <c r="I24" s="542">
        <v>30600</v>
      </c>
      <c r="J24" s="542">
        <v>31800</v>
      </c>
      <c r="K24" s="542">
        <v>30500</v>
      </c>
      <c r="L24" s="542">
        <v>30000</v>
      </c>
      <c r="N24" s="501">
        <f>+(L24/K24-1)*100</f>
        <v>-1.6393442622950838</v>
      </c>
    </row>
    <row r="25" spans="1:14" ht="10.5" customHeight="1">
      <c r="A25" s="40" t="s">
        <v>160</v>
      </c>
      <c r="B25" s="542">
        <v>16000</v>
      </c>
      <c r="C25" s="542">
        <v>14500</v>
      </c>
      <c r="D25" s="542">
        <v>11500</v>
      </c>
      <c r="E25" s="542">
        <v>12000</v>
      </c>
      <c r="F25" s="542">
        <v>11000</v>
      </c>
      <c r="G25" s="542">
        <v>9600</v>
      </c>
      <c r="H25" s="542">
        <v>11000</v>
      </c>
      <c r="I25" s="542">
        <v>9500</v>
      </c>
      <c r="J25" s="542">
        <v>9500</v>
      </c>
      <c r="K25" s="542">
        <v>7700</v>
      </c>
      <c r="L25" s="542">
        <v>7200</v>
      </c>
      <c r="N25" s="501">
        <f>+(L25/K25-1)*100</f>
        <v>-6.493506493506496</v>
      </c>
    </row>
    <row r="26" spans="1:14" ht="10.5" customHeight="1">
      <c r="A26" s="40" t="s">
        <v>161</v>
      </c>
      <c r="B26" s="542">
        <v>8800</v>
      </c>
      <c r="C26" s="542">
        <v>10000</v>
      </c>
      <c r="D26" s="542">
        <v>8700</v>
      </c>
      <c r="E26" s="542">
        <v>9300</v>
      </c>
      <c r="F26" s="542">
        <v>9800</v>
      </c>
      <c r="G26" s="542">
        <v>9800</v>
      </c>
      <c r="H26" s="542">
        <v>10400</v>
      </c>
      <c r="I26" s="542">
        <v>9500</v>
      </c>
      <c r="J26" s="542">
        <v>9400</v>
      </c>
      <c r="K26" s="542">
        <v>9100</v>
      </c>
      <c r="L26" s="542">
        <v>8500</v>
      </c>
      <c r="N26" s="501">
        <f>+(L26/K26-1)*100</f>
        <v>-6.593406593406592</v>
      </c>
    </row>
    <row r="27" spans="1:14" ht="10.5" customHeight="1">
      <c r="A27" s="40" t="s">
        <v>162</v>
      </c>
      <c r="B27" s="542">
        <v>4200</v>
      </c>
      <c r="C27" s="542">
        <v>4000</v>
      </c>
      <c r="D27" s="542">
        <v>3500</v>
      </c>
      <c r="E27" s="542">
        <v>3700</v>
      </c>
      <c r="F27" s="542">
        <v>3900</v>
      </c>
      <c r="G27" s="542">
        <v>3600</v>
      </c>
      <c r="H27" s="542">
        <v>3400</v>
      </c>
      <c r="I27" s="542">
        <v>2900</v>
      </c>
      <c r="J27" s="542">
        <v>2600</v>
      </c>
      <c r="K27" s="542">
        <v>2500</v>
      </c>
      <c r="L27" s="542">
        <v>2500</v>
      </c>
      <c r="N27" s="501">
        <f>+(L27/K27-1)*100</f>
        <v>0</v>
      </c>
    </row>
    <row r="28" spans="1:12" ht="10.5" customHeight="1">
      <c r="A28" s="40" t="s">
        <v>163</v>
      </c>
      <c r="B28" s="542">
        <v>470</v>
      </c>
      <c r="C28" s="542">
        <v>420</v>
      </c>
      <c r="D28" s="542">
        <v>90</v>
      </c>
      <c r="E28" s="542">
        <v>220</v>
      </c>
      <c r="F28" s="542">
        <v>250</v>
      </c>
      <c r="G28" s="542">
        <v>210</v>
      </c>
      <c r="H28" s="545" t="s">
        <v>157</v>
      </c>
      <c r="I28" s="544" t="s">
        <v>176</v>
      </c>
      <c r="J28" s="544" t="s">
        <v>176</v>
      </c>
      <c r="K28" s="544" t="s">
        <v>176</v>
      </c>
      <c r="L28" s="544" t="s">
        <v>176</v>
      </c>
    </row>
    <row r="29" spans="1:14" ht="10.5" customHeight="1">
      <c r="A29" s="40" t="s">
        <v>164</v>
      </c>
      <c r="B29" s="542">
        <v>12500</v>
      </c>
      <c r="C29" s="542">
        <v>12600</v>
      </c>
      <c r="D29" s="542">
        <v>12300</v>
      </c>
      <c r="E29" s="542">
        <v>12800</v>
      </c>
      <c r="F29" s="542">
        <v>12300</v>
      </c>
      <c r="G29" s="542">
        <v>11900</v>
      </c>
      <c r="H29" s="542">
        <v>13000</v>
      </c>
      <c r="I29" s="542">
        <v>13600</v>
      </c>
      <c r="J29" s="542">
        <v>12800</v>
      </c>
      <c r="K29" s="542">
        <v>12300</v>
      </c>
      <c r="L29" s="542">
        <v>10800</v>
      </c>
      <c r="N29" s="501">
        <f>+(L29/K29-1)*100</f>
        <v>-12.195121951219512</v>
      </c>
    </row>
    <row r="30" spans="1:12" ht="10.5" customHeight="1">
      <c r="A30" s="40" t="s">
        <v>165</v>
      </c>
      <c r="B30" s="542">
        <v>520</v>
      </c>
      <c r="C30" s="542">
        <v>480</v>
      </c>
      <c r="D30" s="542">
        <v>480</v>
      </c>
      <c r="E30" s="542">
        <v>470</v>
      </c>
      <c r="F30" s="542">
        <v>470</v>
      </c>
      <c r="G30" s="542">
        <v>380</v>
      </c>
      <c r="H30" s="545" t="s">
        <v>157</v>
      </c>
      <c r="I30" s="544" t="s">
        <v>176</v>
      </c>
      <c r="J30" s="544" t="s">
        <v>176</v>
      </c>
      <c r="K30" s="544" t="s">
        <v>176</v>
      </c>
      <c r="L30" s="544" t="s">
        <v>176</v>
      </c>
    </row>
    <row r="31" spans="1:14" ht="10.5" customHeight="1">
      <c r="A31" s="40" t="s">
        <v>166</v>
      </c>
      <c r="B31" s="542">
        <f aca="true" t="shared" si="2" ref="B31:L31">+B32+B33</f>
        <v>19500</v>
      </c>
      <c r="C31" s="542">
        <f t="shared" si="2"/>
        <v>20100</v>
      </c>
      <c r="D31" s="542">
        <f t="shared" si="2"/>
        <v>19600</v>
      </c>
      <c r="E31" s="542">
        <f t="shared" si="2"/>
        <v>18900</v>
      </c>
      <c r="F31" s="542">
        <f t="shared" si="2"/>
        <v>19300</v>
      </c>
      <c r="G31" s="542">
        <f t="shared" si="2"/>
        <v>19100</v>
      </c>
      <c r="H31" s="542">
        <f t="shared" si="2"/>
        <v>18500</v>
      </c>
      <c r="I31" s="542">
        <f t="shared" si="2"/>
        <v>19300</v>
      </c>
      <c r="J31" s="542">
        <f t="shared" si="2"/>
        <v>20100</v>
      </c>
      <c r="K31" s="542">
        <f t="shared" si="2"/>
        <v>20800</v>
      </c>
      <c r="L31" s="542">
        <f t="shared" si="2"/>
        <v>19400</v>
      </c>
      <c r="N31" s="501">
        <f>+(L31/K31-1)*100</f>
        <v>-6.730769230769229</v>
      </c>
    </row>
    <row r="32" spans="1:14" ht="10.5" customHeight="1">
      <c r="A32" s="40" t="s">
        <v>167</v>
      </c>
      <c r="B32" s="542">
        <v>12000</v>
      </c>
      <c r="C32" s="542">
        <v>12900</v>
      </c>
      <c r="D32" s="542">
        <v>11600</v>
      </c>
      <c r="E32" s="542">
        <v>11300</v>
      </c>
      <c r="F32" s="542">
        <v>12000</v>
      </c>
      <c r="G32" s="542">
        <v>12200</v>
      </c>
      <c r="H32" s="542">
        <v>11100</v>
      </c>
      <c r="I32" s="542">
        <v>11500</v>
      </c>
      <c r="J32" s="542">
        <v>11700</v>
      </c>
      <c r="K32" s="542">
        <v>12000</v>
      </c>
      <c r="L32" s="542">
        <v>10600</v>
      </c>
      <c r="N32" s="501">
        <f>+(L32/K32-1)*100</f>
        <v>-11.66666666666667</v>
      </c>
    </row>
    <row r="33" spans="1:14" ht="10.5" customHeight="1">
      <c r="A33" s="40" t="s">
        <v>168</v>
      </c>
      <c r="B33" s="542">
        <v>7500</v>
      </c>
      <c r="C33" s="542">
        <v>7200</v>
      </c>
      <c r="D33" s="542">
        <v>8000</v>
      </c>
      <c r="E33" s="542">
        <v>7600</v>
      </c>
      <c r="F33" s="542">
        <v>7300</v>
      </c>
      <c r="G33" s="542">
        <v>6900</v>
      </c>
      <c r="H33" s="542">
        <v>7400</v>
      </c>
      <c r="I33" s="542">
        <v>7800</v>
      </c>
      <c r="J33" s="542">
        <v>8400</v>
      </c>
      <c r="K33" s="542">
        <v>8800</v>
      </c>
      <c r="L33" s="542">
        <v>8800</v>
      </c>
      <c r="N33" s="501">
        <f>+(L33/K33-1)*100</f>
        <v>0</v>
      </c>
    </row>
    <row r="34" spans="1:12" ht="10.5" customHeight="1">
      <c r="A34" s="40" t="s">
        <v>169</v>
      </c>
      <c r="B34" s="542">
        <v>2400</v>
      </c>
      <c r="C34" s="542">
        <v>2700</v>
      </c>
      <c r="D34" s="542">
        <v>2400</v>
      </c>
      <c r="E34" s="542">
        <v>2100</v>
      </c>
      <c r="F34" s="542">
        <v>2100</v>
      </c>
      <c r="G34" s="542">
        <v>1800</v>
      </c>
      <c r="H34" s="542">
        <v>1500</v>
      </c>
      <c r="I34" s="544" t="s">
        <v>176</v>
      </c>
      <c r="J34" s="544" t="s">
        <v>176</v>
      </c>
      <c r="K34" s="544" t="s">
        <v>176</v>
      </c>
      <c r="L34" s="544" t="s">
        <v>176</v>
      </c>
    </row>
    <row r="35" spans="1:14" ht="10.5" customHeight="1">
      <c r="A35" s="40" t="s">
        <v>170</v>
      </c>
      <c r="B35" s="542">
        <v>17000</v>
      </c>
      <c r="C35" s="542">
        <v>18000</v>
      </c>
      <c r="D35" s="542">
        <v>16000</v>
      </c>
      <c r="E35" s="542">
        <v>17000</v>
      </c>
      <c r="F35" s="542">
        <v>18000</v>
      </c>
      <c r="G35" s="542">
        <v>18000</v>
      </c>
      <c r="H35" s="542">
        <v>20000</v>
      </c>
      <c r="I35" s="542">
        <v>19500</v>
      </c>
      <c r="J35" s="542">
        <v>20000</v>
      </c>
      <c r="K35" s="542">
        <f>(AVERAGE(F35:J35)/AVERAGE(F17:J17))*K17</f>
        <v>21000</v>
      </c>
      <c r="L35" s="542">
        <f>+(AVERAGE(G35:K35)/AVERAGE(G17:K17))*L17</f>
        <v>19000</v>
      </c>
      <c r="N35" s="501">
        <f>+(L35/K35-1)*100</f>
        <v>-9.523809523809524</v>
      </c>
    </row>
    <row r="36" spans="1:14" ht="10.5" customHeight="1">
      <c r="A36" s="40" t="s">
        <v>171</v>
      </c>
      <c r="B36" s="542">
        <v>2000</v>
      </c>
      <c r="C36" s="542">
        <v>1800</v>
      </c>
      <c r="D36" s="542">
        <v>1800</v>
      </c>
      <c r="E36" s="542">
        <v>1800</v>
      </c>
      <c r="F36" s="542">
        <v>1900</v>
      </c>
      <c r="G36" s="542">
        <v>2000</v>
      </c>
      <c r="H36" s="542">
        <v>1900</v>
      </c>
      <c r="I36" s="542">
        <v>2000</v>
      </c>
      <c r="J36" s="542">
        <v>2100</v>
      </c>
      <c r="K36" s="542">
        <v>1800</v>
      </c>
      <c r="L36" s="542">
        <v>840</v>
      </c>
      <c r="N36" s="501">
        <f>+(L36/K36-1)*100</f>
        <v>-53.333333333333336</v>
      </c>
    </row>
    <row r="37" spans="1:14" ht="10.5" customHeight="1">
      <c r="A37" s="40" t="s">
        <v>278</v>
      </c>
      <c r="B37" s="545" t="s">
        <v>157</v>
      </c>
      <c r="C37" s="545" t="s">
        <v>157</v>
      </c>
      <c r="D37" s="545" t="s">
        <v>157</v>
      </c>
      <c r="E37" s="545" t="s">
        <v>157</v>
      </c>
      <c r="F37" s="545" t="s">
        <v>157</v>
      </c>
      <c r="G37" s="545" t="s">
        <v>157</v>
      </c>
      <c r="H37" s="542">
        <v>550</v>
      </c>
      <c r="I37" s="542">
        <v>1920</v>
      </c>
      <c r="J37" s="542">
        <v>2180</v>
      </c>
      <c r="K37" s="542">
        <v>2080</v>
      </c>
      <c r="L37" s="542">
        <v>1380</v>
      </c>
      <c r="N37" s="501">
        <f>+(L37/K37-1)*100</f>
        <v>-33.65384615384615</v>
      </c>
    </row>
    <row r="38" spans="2:12" ht="5.25" customHeight="1">
      <c r="B38" s="543"/>
      <c r="C38" s="543"/>
      <c r="D38" s="543"/>
      <c r="E38" s="543"/>
      <c r="F38" s="543"/>
      <c r="G38" s="543"/>
      <c r="H38" s="543"/>
      <c r="I38" s="543"/>
      <c r="J38" s="543"/>
      <c r="K38" s="543"/>
      <c r="L38" s="543"/>
    </row>
    <row r="39" spans="1:14" ht="12">
      <c r="A39" s="274" t="s">
        <v>172</v>
      </c>
      <c r="B39" s="546">
        <f aca="true" t="shared" si="3" ref="B39:G39">SUM(B24:B36)-B31</f>
        <v>121090</v>
      </c>
      <c r="C39" s="546">
        <f t="shared" si="3"/>
        <v>123600</v>
      </c>
      <c r="D39" s="546">
        <f t="shared" si="3"/>
        <v>110370</v>
      </c>
      <c r="E39" s="546">
        <f t="shared" si="3"/>
        <v>108090</v>
      </c>
      <c r="F39" s="546">
        <f t="shared" si="3"/>
        <v>107220</v>
      </c>
      <c r="G39" s="546">
        <f t="shared" si="3"/>
        <v>111390</v>
      </c>
      <c r="H39" s="546">
        <f>SUM(H24:H37)-H31</f>
        <v>110250</v>
      </c>
      <c r="I39" s="546">
        <f>SUM(I24:I37)-I31</f>
        <v>108820</v>
      </c>
      <c r="J39" s="546">
        <f>SUM(J24:J37)-J31</f>
        <v>110480</v>
      </c>
      <c r="K39" s="546">
        <f>SUM(K24:K37)-K31</f>
        <v>107780</v>
      </c>
      <c r="L39" s="546">
        <f>SUM(L24:L37)-L31</f>
        <v>99620</v>
      </c>
      <c r="M39" s="317"/>
      <c r="N39" s="549">
        <f>+(L39/K39-1)*100</f>
        <v>-7.57097791798107</v>
      </c>
    </row>
    <row r="40" spans="1:12" ht="5.25" customHeight="1">
      <c r="A40" s="40"/>
      <c r="B40" s="542"/>
      <c r="C40" s="542"/>
      <c r="D40" s="542"/>
      <c r="E40" s="542"/>
      <c r="F40" s="542"/>
      <c r="G40" s="542"/>
      <c r="H40" s="543"/>
      <c r="I40" s="543"/>
      <c r="J40" s="543"/>
      <c r="K40" s="543"/>
      <c r="L40" s="543"/>
    </row>
    <row r="41" spans="1:14" ht="12">
      <c r="A41" s="318" t="s">
        <v>246</v>
      </c>
      <c r="B41" s="548">
        <f aca="true" t="shared" si="4" ref="B41:L41">+B39-B24</f>
        <v>83390</v>
      </c>
      <c r="C41" s="548">
        <f t="shared" si="4"/>
        <v>84600</v>
      </c>
      <c r="D41" s="548">
        <f t="shared" si="4"/>
        <v>76370</v>
      </c>
      <c r="E41" s="548">
        <f t="shared" si="4"/>
        <v>78290</v>
      </c>
      <c r="F41" s="548">
        <f t="shared" si="4"/>
        <v>79020</v>
      </c>
      <c r="G41" s="548">
        <f t="shared" si="4"/>
        <v>76390</v>
      </c>
      <c r="H41" s="548">
        <f t="shared" si="4"/>
        <v>80250</v>
      </c>
      <c r="I41" s="548">
        <f t="shared" si="4"/>
        <v>78220</v>
      </c>
      <c r="J41" s="548">
        <f t="shared" si="4"/>
        <v>78680</v>
      </c>
      <c r="K41" s="548">
        <f t="shared" si="4"/>
        <v>77280</v>
      </c>
      <c r="L41" s="548">
        <f t="shared" si="4"/>
        <v>69620</v>
      </c>
      <c r="M41" s="319"/>
      <c r="N41" s="502">
        <f>+(L41/K41-1)*100</f>
        <v>-9.912008281573502</v>
      </c>
    </row>
    <row r="42" ht="3" customHeight="1"/>
    <row r="43" spans="1:15" ht="15" customHeight="1">
      <c r="A43" s="240" t="s">
        <v>526</v>
      </c>
      <c r="B43" s="171"/>
      <c r="C43" s="171"/>
      <c r="D43" s="171"/>
      <c r="E43" s="171"/>
      <c r="F43" s="171"/>
      <c r="G43" s="171"/>
      <c r="H43" s="171"/>
      <c r="I43" s="171"/>
      <c r="J43" s="171"/>
      <c r="K43" s="171"/>
      <c r="L43" s="171"/>
      <c r="M43" s="171"/>
      <c r="N43" s="171"/>
      <c r="O43" s="171"/>
    </row>
    <row r="44" spans="1:13" ht="10.5" customHeight="1">
      <c r="A44" s="456" t="s">
        <v>398</v>
      </c>
      <c r="B44" s="457"/>
      <c r="C44" s="457"/>
      <c r="D44" s="457"/>
      <c r="E44" s="457"/>
      <c r="F44" s="457"/>
      <c r="G44" s="457"/>
      <c r="H44" s="457"/>
      <c r="I44" s="457"/>
      <c r="J44" s="457"/>
      <c r="K44" s="457"/>
      <c r="L44" s="457"/>
      <c r="M44" s="457"/>
    </row>
    <row r="45" ht="16.5" customHeight="1">
      <c r="A45" s="265" t="s">
        <v>430</v>
      </c>
    </row>
  </sheetData>
  <printOptions horizontalCentered="1"/>
  <pageMargins left="0.167" right="0.167" top="0.52" bottom="0.75" header="0" footer="0.28"/>
  <pageSetup fitToHeight="1" fitToWidth="1" horizontalDpi="600" verticalDpi="600" orientation="landscape" r:id="rId1"/>
  <headerFooter alignWithMargins="0">
    <oddFooter>&amp;C&amp;"Arial,Italic"&amp;9Vegetables and Melons Outlook&amp;"Arial,Regular"/VGS-330/December 16, 2008
Economic Research Service, USDA</oddFooter>
  </headerFooter>
</worksheet>
</file>

<file path=xl/worksheets/sheet7.xml><?xml version="1.0" encoding="utf-8"?>
<worksheet xmlns="http://schemas.openxmlformats.org/spreadsheetml/2006/main" xmlns:r="http://schemas.openxmlformats.org/officeDocument/2006/relationships">
  <sheetPr transitionEvaluation="1">
    <tabColor indexed="51"/>
    <pageSetUpPr fitToPage="1"/>
  </sheetPr>
  <dimension ref="A2:O45"/>
  <sheetViews>
    <sheetView showGridLines="0" workbookViewId="0" topLeftCell="A1">
      <selection activeCell="A1" sqref="A1"/>
    </sheetView>
  </sheetViews>
  <sheetFormatPr defaultColWidth="9.7109375" defaultRowHeight="12.75"/>
  <cols>
    <col min="1" max="1" width="15.421875" style="36" customWidth="1"/>
    <col min="2" max="12" width="7.57421875" style="36" customWidth="1"/>
    <col min="13" max="13" width="1.57421875" style="36" customWidth="1"/>
    <col min="14" max="14" width="3.57421875" style="36" customWidth="1"/>
    <col min="15" max="15" width="2.57421875" style="36" customWidth="1"/>
    <col min="16" max="16384" width="9.7109375" style="36" customWidth="1"/>
  </cols>
  <sheetData>
    <row r="2" spans="1:15" ht="12">
      <c r="A2" s="185" t="s">
        <v>448</v>
      </c>
      <c r="B2" s="35"/>
      <c r="C2" s="35"/>
      <c r="D2" s="35"/>
      <c r="E2" s="35"/>
      <c r="F2" s="35"/>
      <c r="G2" s="35"/>
      <c r="H2" s="35"/>
      <c r="I2" s="35"/>
      <c r="J2" s="35"/>
      <c r="K2" s="35"/>
      <c r="L2" s="35"/>
      <c r="M2" s="35"/>
      <c r="N2" s="35"/>
      <c r="O2" s="35"/>
    </row>
    <row r="3" spans="1:15" ht="12">
      <c r="A3" s="305" t="s">
        <v>89</v>
      </c>
      <c r="B3" s="306">
        <v>1998</v>
      </c>
      <c r="C3" s="306">
        <v>1999</v>
      </c>
      <c r="D3" s="306">
        <v>2000</v>
      </c>
      <c r="E3" s="306">
        <v>2001</v>
      </c>
      <c r="F3" s="306">
        <v>2002</v>
      </c>
      <c r="G3" s="307" t="s">
        <v>291</v>
      </c>
      <c r="H3" s="307" t="s">
        <v>290</v>
      </c>
      <c r="I3" s="307" t="s">
        <v>293</v>
      </c>
      <c r="J3" s="307" t="s">
        <v>343</v>
      </c>
      <c r="K3" s="306">
        <v>2007</v>
      </c>
      <c r="L3" s="306" t="s">
        <v>525</v>
      </c>
      <c r="M3" s="307"/>
      <c r="N3" s="307" t="s">
        <v>444</v>
      </c>
      <c r="O3" s="307"/>
    </row>
    <row r="4" spans="1:14" ht="12">
      <c r="A4" s="37"/>
      <c r="B4" s="455" t="s">
        <v>385</v>
      </c>
      <c r="C4" s="39"/>
      <c r="D4" s="39"/>
      <c r="E4" s="39"/>
      <c r="F4" s="39"/>
      <c r="G4" s="39"/>
      <c r="H4" s="39"/>
      <c r="I4" s="39"/>
      <c r="J4" s="420"/>
      <c r="K4" s="420"/>
      <c r="L4" s="420"/>
      <c r="N4" s="455" t="s">
        <v>30</v>
      </c>
    </row>
    <row r="5" ht="12">
      <c r="A5" s="454" t="s">
        <v>386</v>
      </c>
    </row>
    <row r="6" spans="1:14" ht="10.5" customHeight="1">
      <c r="A6" s="40" t="s">
        <v>173</v>
      </c>
      <c r="B6" s="542">
        <f>+B24/Fresh6a!B24*1000</f>
        <v>415.0132625994695</v>
      </c>
      <c r="C6" s="542">
        <f>+C24/Fresh6a!C24*1000</f>
        <v>435</v>
      </c>
      <c r="D6" s="542">
        <f>+D24/Fresh6a!D24*1000</f>
        <v>445</v>
      </c>
      <c r="E6" s="542">
        <f>+E24/Fresh6a!E24*1000</f>
        <v>405</v>
      </c>
      <c r="F6" s="542">
        <f>+F24/Fresh6a!F24*1000</f>
        <v>410</v>
      </c>
      <c r="G6" s="542">
        <f>+G24/Fresh6a!G24*1000</f>
        <v>420</v>
      </c>
      <c r="H6" s="542">
        <f>+H24/Fresh6a!H24*1000</f>
        <v>440</v>
      </c>
      <c r="I6" s="542">
        <f>+I24/Fresh6a!I24*1000</f>
        <v>400</v>
      </c>
      <c r="J6" s="542">
        <v>425</v>
      </c>
      <c r="K6" s="542">
        <v>425</v>
      </c>
      <c r="L6" s="542">
        <v>430</v>
      </c>
      <c r="N6" s="503">
        <f>+(L6/K6-1)*100</f>
        <v>1.17647058823529</v>
      </c>
    </row>
    <row r="7" spans="1:14" ht="10.5" customHeight="1">
      <c r="A7" s="40" t="s">
        <v>160</v>
      </c>
      <c r="B7" s="542">
        <f>+B25/Fresh6a!B25*1000</f>
        <v>380</v>
      </c>
      <c r="C7" s="542">
        <f>+C25/Fresh6a!C25*1000</f>
        <v>375.03448275862064</v>
      </c>
      <c r="D7" s="542">
        <f>+D25/Fresh6a!D25*1000</f>
        <v>355.04347826086956</v>
      </c>
      <c r="E7" s="542">
        <f>+E25/Fresh6a!E25*1000</f>
        <v>345</v>
      </c>
      <c r="F7" s="542">
        <f>+F25/Fresh6a!F25*1000</f>
        <v>400</v>
      </c>
      <c r="G7" s="542">
        <f>+G25/Fresh6a!G25*1000</f>
        <v>385</v>
      </c>
      <c r="H7" s="542">
        <f>+H25/Fresh6a!H25*1000</f>
        <v>500</v>
      </c>
      <c r="I7" s="542">
        <f>+I25/Fresh6a!I25*1000</f>
        <v>440</v>
      </c>
      <c r="J7" s="542">
        <v>400</v>
      </c>
      <c r="K7" s="542">
        <v>410</v>
      </c>
      <c r="L7" s="542">
        <v>420</v>
      </c>
      <c r="N7" s="503">
        <f>+(L7/K7-1)*100</f>
        <v>2.4390243902439046</v>
      </c>
    </row>
    <row r="8" spans="1:14" ht="10.5" customHeight="1">
      <c r="A8" s="40" t="s">
        <v>161</v>
      </c>
      <c r="B8" s="542">
        <f>+B26/Fresh6a!B26*1000</f>
        <v>580</v>
      </c>
      <c r="C8" s="542">
        <f>+C26/Fresh6a!C26*1000</f>
        <v>700</v>
      </c>
      <c r="D8" s="542">
        <f>+D26/Fresh6a!D26*1000</f>
        <v>650</v>
      </c>
      <c r="E8" s="542">
        <f>+E26/Fresh6a!E26*1000</f>
        <v>640</v>
      </c>
      <c r="F8" s="542">
        <f>+F26/Fresh6a!F26*1000</f>
        <v>640</v>
      </c>
      <c r="G8" s="542">
        <f>+G26/Fresh6a!G26*1000</f>
        <v>600</v>
      </c>
      <c r="H8" s="542">
        <f>+H26/Fresh6a!H26*1000</f>
        <v>770</v>
      </c>
      <c r="I8" s="542">
        <f>+I26/Fresh6a!I26*1000</f>
        <v>640</v>
      </c>
      <c r="J8" s="542">
        <v>540</v>
      </c>
      <c r="K8" s="542">
        <v>750</v>
      </c>
      <c r="L8" s="542">
        <v>690</v>
      </c>
      <c r="N8" s="503">
        <f>+(L8/K8-1)*100</f>
        <v>-7.9999999999999964</v>
      </c>
    </row>
    <row r="9" spans="1:14" ht="10.5" customHeight="1">
      <c r="A9" s="40" t="s">
        <v>162</v>
      </c>
      <c r="B9" s="542">
        <f>+B27/Fresh6a!B27*1000</f>
        <v>260</v>
      </c>
      <c r="C9" s="542">
        <f>+C27/Fresh6a!C27*1000</f>
        <v>270</v>
      </c>
      <c r="D9" s="542">
        <f>+D27/Fresh6a!D27*1000</f>
        <v>270</v>
      </c>
      <c r="E9" s="542">
        <f>+E27/Fresh6a!E27*1000</f>
        <v>270</v>
      </c>
      <c r="F9" s="542">
        <f>+F27/Fresh6a!F27*1000</f>
        <v>230</v>
      </c>
      <c r="G9" s="542">
        <f>+G27/Fresh6a!G27*1000</f>
        <v>320</v>
      </c>
      <c r="H9" s="542">
        <f>+H27/Fresh6a!H27*1000</f>
        <v>290</v>
      </c>
      <c r="I9" s="542">
        <f>+I27/Fresh6a!I27*1000</f>
        <v>260</v>
      </c>
      <c r="J9" s="542">
        <v>250</v>
      </c>
      <c r="K9" s="542">
        <v>260</v>
      </c>
      <c r="L9" s="542">
        <v>260</v>
      </c>
      <c r="N9" s="503">
        <f>+(L9/K9-1)*100</f>
        <v>0</v>
      </c>
    </row>
    <row r="10" spans="1:14" ht="10.5" customHeight="1">
      <c r="A10" s="40" t="s">
        <v>163</v>
      </c>
      <c r="B10" s="542">
        <v>320</v>
      </c>
      <c r="C10" s="542">
        <f>+C28/Fresh6a!C28*1000</f>
        <v>280.95238095238096</v>
      </c>
      <c r="D10" s="542">
        <f>+D28/Fresh6a!D28*1000</f>
        <v>211.11111111111111</v>
      </c>
      <c r="E10" s="542">
        <f>+E28/Fresh6a!E28*1000</f>
        <v>331.81818181818187</v>
      </c>
      <c r="F10" s="542">
        <f>+F28/Fresh6a!F28*1000</f>
        <v>312</v>
      </c>
      <c r="G10" s="542">
        <f>+G28/Fresh6a!G28*1000</f>
        <v>309.5238095238095</v>
      </c>
      <c r="H10" s="544" t="s">
        <v>176</v>
      </c>
      <c r="I10" s="544" t="s">
        <v>176</v>
      </c>
      <c r="J10" s="544" t="s">
        <v>176</v>
      </c>
      <c r="K10" s="544" t="s">
        <v>176</v>
      </c>
      <c r="L10" s="544" t="s">
        <v>176</v>
      </c>
      <c r="N10" s="544" t="s">
        <v>447</v>
      </c>
    </row>
    <row r="11" spans="1:14" ht="10.5" customHeight="1">
      <c r="A11" s="40" t="s">
        <v>164</v>
      </c>
      <c r="B11" s="542">
        <f>+B29/Fresh6a!B29*1000</f>
        <v>300</v>
      </c>
      <c r="C11" s="542">
        <f>+C29/Fresh6a!C29*1000</f>
        <v>280</v>
      </c>
      <c r="D11" s="542">
        <f>+D29/Fresh6a!D29*1000</f>
        <v>380</v>
      </c>
      <c r="E11" s="542">
        <f>+E29/Fresh6a!E29*1000</f>
        <v>330</v>
      </c>
      <c r="F11" s="542">
        <f>+F29/Fresh6a!F29*1000</f>
        <v>230</v>
      </c>
      <c r="G11" s="542">
        <f>+G29/Fresh6a!G29*1000</f>
        <v>320</v>
      </c>
      <c r="H11" s="542">
        <f>+H29/Fresh6a!H29*1000</f>
        <v>400</v>
      </c>
      <c r="I11" s="542">
        <f>+I29/Fresh6a!I29*1000</f>
        <v>280</v>
      </c>
      <c r="J11" s="542">
        <v>330</v>
      </c>
      <c r="K11" s="542">
        <v>360</v>
      </c>
      <c r="L11" s="542">
        <v>350</v>
      </c>
      <c r="N11" s="503">
        <f>+(L11/K11-1)*100</f>
        <v>-2.777777777777779</v>
      </c>
    </row>
    <row r="12" spans="1:14" ht="10.5" customHeight="1">
      <c r="A12" s="40" t="s">
        <v>165</v>
      </c>
      <c r="B12" s="542">
        <f>+B30/Fresh6a!B30*1000</f>
        <v>309.61538461538464</v>
      </c>
      <c r="C12" s="542">
        <f>+C30/Fresh6a!C30*1000</f>
        <v>285.41666666666663</v>
      </c>
      <c r="D12" s="542">
        <f>+D30/Fresh6a!D30*1000</f>
        <v>350</v>
      </c>
      <c r="E12" s="542">
        <f>+E30/Fresh6a!E30*1000</f>
        <v>359.5744680851064</v>
      </c>
      <c r="F12" s="542">
        <f>+F30/Fresh6a!F30*1000</f>
        <v>259.5744680851064</v>
      </c>
      <c r="G12" s="542">
        <f>+G30/Fresh6a!G30*1000</f>
        <v>321.05263157894734</v>
      </c>
      <c r="H12" s="544" t="s">
        <v>176</v>
      </c>
      <c r="I12" s="544" t="s">
        <v>176</v>
      </c>
      <c r="J12" s="544" t="s">
        <v>176</v>
      </c>
      <c r="K12" s="544" t="s">
        <v>176</v>
      </c>
      <c r="L12" s="544" t="s">
        <v>176</v>
      </c>
      <c r="N12" s="544" t="s">
        <v>447</v>
      </c>
    </row>
    <row r="13" spans="1:14" ht="10.5" customHeight="1">
      <c r="A13" s="40" t="s">
        <v>166</v>
      </c>
      <c r="B13" s="542">
        <f>+B31/Fresh6a!B31*1000</f>
        <v>483.0769230769231</v>
      </c>
      <c r="C13" s="542">
        <f>+C31/Fresh6a!C31*1000</f>
        <v>609.1044776119403</v>
      </c>
      <c r="D13" s="542">
        <f>+D31/Fresh6a!D31*1000</f>
        <v>567.3469387755102</v>
      </c>
      <c r="E13" s="542">
        <f>+E31/Fresh6a!E31*1000</f>
        <v>579.7883597883597</v>
      </c>
      <c r="F13" s="542">
        <f>+F31/Fresh6a!F31*1000</f>
        <v>604.6113989637306</v>
      </c>
      <c r="G13" s="542">
        <f>+G31/Fresh6a!G31*1000</f>
        <v>546.6492146596859</v>
      </c>
      <c r="H13" s="542">
        <f>+H31/Fresh6a!H31*1000</f>
        <v>696</v>
      </c>
      <c r="I13" s="542">
        <f>+I31/Fresh6a!I31*1000</f>
        <v>526.839378238342</v>
      </c>
      <c r="J13" s="542">
        <f>+J31/Fresh6a!J31*1000</f>
        <v>532.5373134328358</v>
      </c>
      <c r="K13" s="550">
        <f>+K31/Fresh6a!K31*1000</f>
        <v>712.3076923076923</v>
      </c>
      <c r="L13" s="550">
        <f>+L31/Fresh6a!L31*1000</f>
        <v>669.1752577319587</v>
      </c>
      <c r="N13" s="503">
        <f>+(L13/K13-1)*100</f>
        <v>-6.055309389681818</v>
      </c>
    </row>
    <row r="14" spans="1:14" ht="10.5" customHeight="1">
      <c r="A14" s="40" t="s">
        <v>167</v>
      </c>
      <c r="B14" s="542">
        <f>+B32/Fresh6a!B32*1000</f>
        <v>510</v>
      </c>
      <c r="C14" s="542">
        <f>+C32/Fresh6a!C32*1000</f>
        <v>670</v>
      </c>
      <c r="D14" s="542">
        <f>+D32/Fresh6a!D32*1000</f>
        <v>600</v>
      </c>
      <c r="E14" s="542">
        <f>+E32/Fresh6a!E32*1000</f>
        <v>620</v>
      </c>
      <c r="F14" s="542">
        <f>+F32/Fresh6a!F32*1000</f>
        <v>650</v>
      </c>
      <c r="G14" s="542">
        <f>+G32/Fresh6a!G32*1000</f>
        <v>590</v>
      </c>
      <c r="H14" s="542">
        <f>+H32/Fresh6a!H32*1000</f>
        <v>780</v>
      </c>
      <c r="I14" s="542">
        <f>+I32/Fresh6a!I32*1000</f>
        <v>640</v>
      </c>
      <c r="J14" s="542">
        <v>520</v>
      </c>
      <c r="K14" s="542">
        <v>780</v>
      </c>
      <c r="L14" s="542">
        <v>710</v>
      </c>
      <c r="N14" s="503">
        <f>+(L14/K14-1)*100</f>
        <v>-8.974358974358976</v>
      </c>
    </row>
    <row r="15" spans="1:14" ht="10.5" customHeight="1">
      <c r="A15" s="40" t="s">
        <v>168</v>
      </c>
      <c r="B15" s="542">
        <f>+B33/Fresh6a!B33*1000</f>
        <v>440</v>
      </c>
      <c r="C15" s="542">
        <f>+C33/Fresh6a!C33*1000</f>
        <v>500</v>
      </c>
      <c r="D15" s="542">
        <f>+D33/Fresh6a!D33*1000</f>
        <v>520</v>
      </c>
      <c r="E15" s="542">
        <f>+E33/Fresh6a!E33*1000</f>
        <v>520</v>
      </c>
      <c r="F15" s="542">
        <f>+F33/Fresh6a!F33*1000</f>
        <v>530</v>
      </c>
      <c r="G15" s="542">
        <f>+G33/Fresh6a!G33*1000</f>
        <v>470</v>
      </c>
      <c r="H15" s="542">
        <f>+H33/Fresh6a!H33*1000</f>
        <v>570</v>
      </c>
      <c r="I15" s="542">
        <f>+I33/Fresh6a!I33*1000</f>
        <v>360</v>
      </c>
      <c r="J15" s="542">
        <v>550</v>
      </c>
      <c r="K15" s="542">
        <v>620</v>
      </c>
      <c r="L15" s="542">
        <v>620</v>
      </c>
      <c r="N15" s="503">
        <f>+(L15/K15-1)*100</f>
        <v>0</v>
      </c>
    </row>
    <row r="16" spans="1:14" ht="10.5" customHeight="1">
      <c r="A16" s="40" t="s">
        <v>169</v>
      </c>
      <c r="B16" s="542">
        <f>+B34/Fresh6a!B34*1000</f>
        <v>440</v>
      </c>
      <c r="C16" s="542">
        <f>+C34/Fresh6a!C34*1000</f>
        <v>465.1851851851852</v>
      </c>
      <c r="D16" s="542">
        <f>+D34/Fresh6a!D34*1000</f>
        <v>475</v>
      </c>
      <c r="E16" s="542">
        <f>+E34/Fresh6a!E34*1000</f>
        <v>455.23809523809524</v>
      </c>
      <c r="F16" s="542">
        <f>+F34/Fresh6a!F34*1000</f>
        <v>500</v>
      </c>
      <c r="G16" s="542">
        <f>+G34/Fresh6a!G34*1000</f>
        <v>460</v>
      </c>
      <c r="H16" s="542">
        <f>+H34/Fresh6a!H34*1000</f>
        <v>520</v>
      </c>
      <c r="I16" s="544" t="s">
        <v>176</v>
      </c>
      <c r="J16" s="544" t="s">
        <v>176</v>
      </c>
      <c r="K16" s="544" t="s">
        <v>176</v>
      </c>
      <c r="L16" s="544" t="s">
        <v>176</v>
      </c>
      <c r="N16" s="544" t="s">
        <v>447</v>
      </c>
    </row>
    <row r="17" spans="1:14" ht="10.5" customHeight="1">
      <c r="A17" s="40" t="s">
        <v>170</v>
      </c>
      <c r="B17" s="542">
        <f>+B35/Fresh6a!B35*1000</f>
        <v>500</v>
      </c>
      <c r="C17" s="542">
        <f>+C35/Fresh6a!C35*1000</f>
        <v>490</v>
      </c>
      <c r="D17" s="542">
        <f>+D35/Fresh6a!D35*1000</f>
        <v>550</v>
      </c>
      <c r="E17" s="542">
        <f>+E35/Fresh6a!E35*1000</f>
        <v>550</v>
      </c>
      <c r="F17" s="542">
        <f>+F35/Fresh6a!F35*1000</f>
        <v>560</v>
      </c>
      <c r="G17" s="542">
        <f>+G35/Fresh6a!G35*1000</f>
        <v>570</v>
      </c>
      <c r="H17" s="542">
        <f>+H35/Fresh6a!H35*1000</f>
        <v>580</v>
      </c>
      <c r="I17" s="542">
        <f>+I35/Fresh6a!I35*1000</f>
        <v>600</v>
      </c>
      <c r="J17" s="542">
        <v>600</v>
      </c>
      <c r="K17" s="542">
        <v>610</v>
      </c>
      <c r="L17" s="542">
        <v>600</v>
      </c>
      <c r="N17" s="503">
        <f>+(L17/K17-1)*100</f>
        <v>-1.6393442622950838</v>
      </c>
    </row>
    <row r="18" spans="1:14" ht="10.5" customHeight="1">
      <c r="A18" s="40" t="s">
        <v>171</v>
      </c>
      <c r="B18" s="542">
        <f>+B36/Fresh6a!B36*1000</f>
        <v>390</v>
      </c>
      <c r="C18" s="542">
        <f>+C36/Fresh6a!C36*1000</f>
        <v>380</v>
      </c>
      <c r="D18" s="542">
        <f>+D36/Fresh6a!D36*1000</f>
        <v>395</v>
      </c>
      <c r="E18" s="542">
        <f>+E36/Fresh6a!E36*1000</f>
        <v>300</v>
      </c>
      <c r="F18" s="542">
        <f>+F36/Fresh6a!F36*1000</f>
        <v>280</v>
      </c>
      <c r="G18" s="542">
        <f>+G36/Fresh6a!G36*1000</f>
        <v>345</v>
      </c>
      <c r="H18" s="542">
        <f>+H36/Fresh6a!H36*1000</f>
        <v>320</v>
      </c>
      <c r="I18" s="542">
        <f>+I36/Fresh6a!I36*1000</f>
        <v>330</v>
      </c>
      <c r="J18" s="542">
        <v>330</v>
      </c>
      <c r="K18" s="542">
        <v>370</v>
      </c>
      <c r="L18" s="542">
        <v>340</v>
      </c>
      <c r="N18" s="503">
        <f>+(L18/K18-1)*100</f>
        <v>-8.108108108108103</v>
      </c>
    </row>
    <row r="19" spans="1:14" ht="9.75" customHeight="1">
      <c r="A19" s="40" t="s">
        <v>278</v>
      </c>
      <c r="B19" s="545" t="s">
        <v>157</v>
      </c>
      <c r="C19" s="545" t="s">
        <v>157</v>
      </c>
      <c r="D19" s="545" t="s">
        <v>157</v>
      </c>
      <c r="E19" s="545" t="s">
        <v>157</v>
      </c>
      <c r="F19" s="545" t="s">
        <v>157</v>
      </c>
      <c r="G19" s="545" t="s">
        <v>157</v>
      </c>
      <c r="H19" s="542">
        <f>+H37/Fresh6a!H37*1000</f>
        <v>323.6363636363636</v>
      </c>
      <c r="I19" s="542">
        <f>+I37/Fresh6a!I37*1000</f>
        <v>452.60416666666663</v>
      </c>
      <c r="J19" s="542">
        <v>378</v>
      </c>
      <c r="K19" s="542">
        <v>470</v>
      </c>
      <c r="L19" s="542">
        <v>448</v>
      </c>
      <c r="N19" s="503">
        <f>+(L19/K19-1)*100</f>
        <v>-4.680851063829783</v>
      </c>
    </row>
    <row r="20" spans="2:12" ht="3" customHeight="1">
      <c r="B20" s="543"/>
      <c r="C20" s="543"/>
      <c r="D20" s="543"/>
      <c r="E20" s="543"/>
      <c r="F20" s="543"/>
      <c r="G20" s="543"/>
      <c r="H20" s="543"/>
      <c r="I20" s="543"/>
      <c r="J20" s="543"/>
      <c r="K20" s="543"/>
      <c r="L20" s="543"/>
    </row>
    <row r="21" spans="1:14" ht="12">
      <c r="A21" s="274" t="s">
        <v>172</v>
      </c>
      <c r="B21" s="546">
        <f>+B39/Fresh6a!B39*1000</f>
        <v>427.27723181104966</v>
      </c>
      <c r="C21" s="546">
        <f>+C39/Fresh6a!C39*1000</f>
        <v>463.3414239482201</v>
      </c>
      <c r="D21" s="546">
        <f>+D39/Fresh6a!D39*1000</f>
        <v>475.17441333695746</v>
      </c>
      <c r="E21" s="546">
        <f>+E39/Fresh6a!E39*1000</f>
        <v>457.3040984364881</v>
      </c>
      <c r="F21" s="546">
        <f>+F39/Fresh6a!F39*1000</f>
        <v>461.58365976496924</v>
      </c>
      <c r="G21" s="546">
        <f>+G39/Fresh6a!G39*1000</f>
        <v>463.6143280366281</v>
      </c>
      <c r="H21" s="546">
        <f>+H39/Fresh6a!H39*1000</f>
        <v>534.5668934240363</v>
      </c>
      <c r="I21" s="546">
        <f>+I39/Fresh6a!I39*1000</f>
        <v>463.69233596765304</v>
      </c>
      <c r="J21" s="546">
        <v>466</v>
      </c>
      <c r="K21" s="546">
        <v>532</v>
      </c>
      <c r="L21" s="546">
        <v>517</v>
      </c>
      <c r="N21" s="503">
        <f>+(L21/K21-1)*100</f>
        <v>-2.819548872180455</v>
      </c>
    </row>
    <row r="22" spans="2:12" ht="14.25" customHeight="1">
      <c r="B22" s="551" t="s">
        <v>174</v>
      </c>
      <c r="C22" s="552"/>
      <c r="D22" s="553"/>
      <c r="E22" s="552"/>
      <c r="F22" s="552"/>
      <c r="G22" s="552"/>
      <c r="H22" s="552"/>
      <c r="I22" s="552"/>
      <c r="J22" s="552"/>
      <c r="K22" s="552"/>
      <c r="L22" s="552"/>
    </row>
    <row r="23" spans="1:12" ht="12">
      <c r="A23" s="170" t="s">
        <v>94</v>
      </c>
      <c r="B23" s="543"/>
      <c r="C23" s="543"/>
      <c r="D23" s="543"/>
      <c r="E23" s="543"/>
      <c r="F23" s="543"/>
      <c r="G23" s="543"/>
      <c r="H23" s="543"/>
      <c r="I23" s="543"/>
      <c r="J23" s="543"/>
      <c r="K23" s="543"/>
      <c r="L23" s="543"/>
    </row>
    <row r="24" spans="1:14" ht="10.5" customHeight="1">
      <c r="A24" s="40" t="s">
        <v>173</v>
      </c>
      <c r="B24" s="542">
        <v>15646</v>
      </c>
      <c r="C24" s="542">
        <v>16965</v>
      </c>
      <c r="D24" s="542">
        <v>15130</v>
      </c>
      <c r="E24" s="542">
        <v>12069</v>
      </c>
      <c r="F24" s="542">
        <v>11562</v>
      </c>
      <c r="G24" s="542">
        <v>14700</v>
      </c>
      <c r="H24" s="542">
        <v>13200</v>
      </c>
      <c r="I24" s="542">
        <v>12240</v>
      </c>
      <c r="J24" s="542">
        <v>13515</v>
      </c>
      <c r="K24" s="542">
        <v>12975</v>
      </c>
      <c r="L24" s="542">
        <v>12900</v>
      </c>
      <c r="N24" s="503">
        <f>+(L24/K24-1)*100</f>
        <v>-0.5780346820809301</v>
      </c>
    </row>
    <row r="25" spans="1:14" ht="10.5" customHeight="1">
      <c r="A25" s="40" t="s">
        <v>160</v>
      </c>
      <c r="B25" s="542">
        <v>6080</v>
      </c>
      <c r="C25" s="542">
        <v>5438</v>
      </c>
      <c r="D25" s="542">
        <v>4083</v>
      </c>
      <c r="E25" s="542">
        <v>4140</v>
      </c>
      <c r="F25" s="542">
        <v>4400</v>
      </c>
      <c r="G25" s="542">
        <v>3696</v>
      </c>
      <c r="H25" s="542">
        <v>5500</v>
      </c>
      <c r="I25" s="542">
        <v>4180</v>
      </c>
      <c r="J25" s="542">
        <v>3800</v>
      </c>
      <c r="K25" s="542">
        <v>3157</v>
      </c>
      <c r="L25" s="542">
        <v>3024</v>
      </c>
      <c r="N25" s="503">
        <f>+(L25/K25-1)*100</f>
        <v>-4.212860310421284</v>
      </c>
    </row>
    <row r="26" spans="1:14" ht="10.5" customHeight="1">
      <c r="A26" s="40" t="s">
        <v>161</v>
      </c>
      <c r="B26" s="542">
        <v>5104</v>
      </c>
      <c r="C26" s="542">
        <v>7000</v>
      </c>
      <c r="D26" s="542">
        <v>5655</v>
      </c>
      <c r="E26" s="542">
        <v>5952</v>
      </c>
      <c r="F26" s="542">
        <v>6272</v>
      </c>
      <c r="G26" s="542">
        <v>5880</v>
      </c>
      <c r="H26" s="542">
        <v>8008</v>
      </c>
      <c r="I26" s="542">
        <v>6080</v>
      </c>
      <c r="J26" s="542">
        <v>5076</v>
      </c>
      <c r="K26" s="542">
        <v>6825</v>
      </c>
      <c r="L26" s="542">
        <v>5865</v>
      </c>
      <c r="N26" s="503">
        <f>+(L26/K26-1)*100</f>
        <v>-14.065934065934071</v>
      </c>
    </row>
    <row r="27" spans="1:14" ht="10.5" customHeight="1">
      <c r="A27" s="40" t="s">
        <v>162</v>
      </c>
      <c r="B27" s="542">
        <v>1092</v>
      </c>
      <c r="C27" s="542">
        <v>1080</v>
      </c>
      <c r="D27" s="542">
        <v>945</v>
      </c>
      <c r="E27" s="542">
        <v>999</v>
      </c>
      <c r="F27" s="542">
        <v>897</v>
      </c>
      <c r="G27" s="542">
        <v>1152</v>
      </c>
      <c r="H27" s="542">
        <v>986</v>
      </c>
      <c r="I27" s="542">
        <v>754</v>
      </c>
      <c r="J27" s="542">
        <v>650</v>
      </c>
      <c r="K27" s="542">
        <v>650</v>
      </c>
      <c r="L27" s="542">
        <v>650</v>
      </c>
      <c r="N27" s="503">
        <f>+(L27/K27-1)*100</f>
        <v>0</v>
      </c>
    </row>
    <row r="28" spans="1:14" ht="10.5" customHeight="1">
      <c r="A28" s="40" t="s">
        <v>163</v>
      </c>
      <c r="B28" s="542">
        <v>150</v>
      </c>
      <c r="C28" s="542">
        <v>118</v>
      </c>
      <c r="D28" s="542">
        <v>19</v>
      </c>
      <c r="E28" s="542">
        <v>73</v>
      </c>
      <c r="F28" s="542">
        <v>78</v>
      </c>
      <c r="G28" s="542">
        <v>65</v>
      </c>
      <c r="H28" s="545" t="s">
        <v>157</v>
      </c>
      <c r="I28" s="544" t="s">
        <v>176</v>
      </c>
      <c r="J28" s="544" t="s">
        <v>176</v>
      </c>
      <c r="K28" s="544" t="s">
        <v>176</v>
      </c>
      <c r="L28" s="544" t="s">
        <v>176</v>
      </c>
      <c r="N28" s="544" t="s">
        <v>447</v>
      </c>
    </row>
    <row r="29" spans="1:14" ht="10.5" customHeight="1">
      <c r="A29" s="40" t="s">
        <v>164</v>
      </c>
      <c r="B29" s="542">
        <v>3750</v>
      </c>
      <c r="C29" s="542">
        <v>3528</v>
      </c>
      <c r="D29" s="542">
        <v>4674</v>
      </c>
      <c r="E29" s="542">
        <v>4224</v>
      </c>
      <c r="F29" s="542">
        <v>2829</v>
      </c>
      <c r="G29" s="542">
        <v>3808</v>
      </c>
      <c r="H29" s="542">
        <v>5200</v>
      </c>
      <c r="I29" s="542">
        <v>3808</v>
      </c>
      <c r="J29" s="542">
        <v>4224</v>
      </c>
      <c r="K29" s="542">
        <v>4428</v>
      </c>
      <c r="L29" s="542">
        <v>3780</v>
      </c>
      <c r="N29" s="503">
        <f>+(L29/K29-1)*100</f>
        <v>-14.634146341463417</v>
      </c>
    </row>
    <row r="30" spans="1:14" ht="10.5" customHeight="1">
      <c r="A30" s="40" t="s">
        <v>165</v>
      </c>
      <c r="B30" s="542">
        <v>161</v>
      </c>
      <c r="C30" s="542">
        <v>137</v>
      </c>
      <c r="D30" s="542">
        <v>168</v>
      </c>
      <c r="E30" s="542">
        <v>169</v>
      </c>
      <c r="F30" s="542">
        <v>122</v>
      </c>
      <c r="G30" s="542">
        <v>122</v>
      </c>
      <c r="H30" s="545" t="s">
        <v>157</v>
      </c>
      <c r="I30" s="544" t="s">
        <v>176</v>
      </c>
      <c r="J30" s="544" t="s">
        <v>176</v>
      </c>
      <c r="K30" s="544" t="s">
        <v>176</v>
      </c>
      <c r="L30" s="544" t="s">
        <v>176</v>
      </c>
      <c r="N30" s="544" t="s">
        <v>447</v>
      </c>
    </row>
    <row r="31" spans="1:14" ht="10.5" customHeight="1">
      <c r="A31" s="40" t="s">
        <v>166</v>
      </c>
      <c r="B31" s="542">
        <f aca="true" t="shared" si="0" ref="B31:K31">+B32+B33</f>
        <v>9420</v>
      </c>
      <c r="C31" s="542">
        <f t="shared" si="0"/>
        <v>12243</v>
      </c>
      <c r="D31" s="542">
        <f t="shared" si="0"/>
        <v>11120</v>
      </c>
      <c r="E31" s="542">
        <f t="shared" si="0"/>
        <v>10958</v>
      </c>
      <c r="F31" s="542">
        <f t="shared" si="0"/>
        <v>11669</v>
      </c>
      <c r="G31" s="542">
        <f t="shared" si="0"/>
        <v>10441</v>
      </c>
      <c r="H31" s="542">
        <f t="shared" si="0"/>
        <v>12876</v>
      </c>
      <c r="I31" s="542">
        <f t="shared" si="0"/>
        <v>10168</v>
      </c>
      <c r="J31" s="542">
        <f t="shared" si="0"/>
        <v>10704</v>
      </c>
      <c r="K31" s="542">
        <f t="shared" si="0"/>
        <v>14816</v>
      </c>
      <c r="L31" s="542">
        <f>+L32+L33</f>
        <v>12982</v>
      </c>
      <c r="N31" s="503">
        <f>+(L31/K31-1)*100</f>
        <v>-12.378509719222464</v>
      </c>
    </row>
    <row r="32" spans="1:14" ht="10.5" customHeight="1">
      <c r="A32" s="40" t="s">
        <v>167</v>
      </c>
      <c r="B32" s="542">
        <v>6120</v>
      </c>
      <c r="C32" s="542">
        <v>8643</v>
      </c>
      <c r="D32" s="542">
        <v>6960</v>
      </c>
      <c r="E32" s="542">
        <v>7006</v>
      </c>
      <c r="F32" s="542">
        <v>7800</v>
      </c>
      <c r="G32" s="542">
        <v>7198</v>
      </c>
      <c r="H32" s="542">
        <v>8658</v>
      </c>
      <c r="I32" s="542">
        <v>7360</v>
      </c>
      <c r="J32" s="542">
        <v>6084</v>
      </c>
      <c r="K32" s="542">
        <v>9360</v>
      </c>
      <c r="L32" s="542">
        <v>7526</v>
      </c>
      <c r="N32" s="503">
        <f>+(L32/K32-1)*100</f>
        <v>-19.59401709401709</v>
      </c>
    </row>
    <row r="33" spans="1:14" ht="10.5" customHeight="1">
      <c r="A33" s="40" t="s">
        <v>168</v>
      </c>
      <c r="B33" s="542">
        <v>3300</v>
      </c>
      <c r="C33" s="542">
        <v>3600</v>
      </c>
      <c r="D33" s="542">
        <v>4160</v>
      </c>
      <c r="E33" s="542">
        <v>3952</v>
      </c>
      <c r="F33" s="542">
        <v>3869</v>
      </c>
      <c r="G33" s="542">
        <v>3243</v>
      </c>
      <c r="H33" s="542">
        <v>4218</v>
      </c>
      <c r="I33" s="542">
        <v>2808</v>
      </c>
      <c r="J33" s="542">
        <v>4620</v>
      </c>
      <c r="K33" s="542">
        <v>5456</v>
      </c>
      <c r="L33" s="542">
        <v>5456</v>
      </c>
      <c r="N33" s="503">
        <f>+(L33/K33-1)*100</f>
        <v>0</v>
      </c>
    </row>
    <row r="34" spans="1:14" ht="10.5" customHeight="1">
      <c r="A34" s="40" t="s">
        <v>169</v>
      </c>
      <c r="B34" s="542">
        <v>1056</v>
      </c>
      <c r="C34" s="542">
        <v>1256</v>
      </c>
      <c r="D34" s="542">
        <v>1140</v>
      </c>
      <c r="E34" s="542">
        <v>956</v>
      </c>
      <c r="F34" s="542">
        <v>1050</v>
      </c>
      <c r="G34" s="542">
        <v>828</v>
      </c>
      <c r="H34" s="542">
        <v>780</v>
      </c>
      <c r="I34" s="544" t="s">
        <v>176</v>
      </c>
      <c r="J34" s="544" t="s">
        <v>176</v>
      </c>
      <c r="K34" s="544" t="s">
        <v>176</v>
      </c>
      <c r="L34" s="544" t="s">
        <v>176</v>
      </c>
      <c r="N34" s="544" t="s">
        <v>447</v>
      </c>
    </row>
    <row r="35" spans="1:14" ht="10.5" customHeight="1">
      <c r="A35" s="40" t="s">
        <v>170</v>
      </c>
      <c r="B35" s="542">
        <v>8500</v>
      </c>
      <c r="C35" s="542">
        <v>8820</v>
      </c>
      <c r="D35" s="542">
        <v>8800</v>
      </c>
      <c r="E35" s="542">
        <v>9350</v>
      </c>
      <c r="F35" s="542">
        <v>10080</v>
      </c>
      <c r="G35" s="542">
        <v>10260</v>
      </c>
      <c r="H35" s="542">
        <v>11600</v>
      </c>
      <c r="I35" s="542">
        <v>11700</v>
      </c>
      <c r="J35" s="542">
        <v>12000</v>
      </c>
      <c r="K35" s="542">
        <v>12810</v>
      </c>
      <c r="L35" s="542">
        <v>11400</v>
      </c>
      <c r="N35" s="503">
        <f>+(L35/K35-1)*100</f>
        <v>-11.007025761124122</v>
      </c>
    </row>
    <row r="36" spans="1:14" ht="10.5" customHeight="1">
      <c r="A36" s="40" t="s">
        <v>171</v>
      </c>
      <c r="B36" s="542">
        <v>780</v>
      </c>
      <c r="C36" s="542">
        <v>684</v>
      </c>
      <c r="D36" s="542">
        <v>711</v>
      </c>
      <c r="E36" s="542">
        <v>540</v>
      </c>
      <c r="F36" s="542">
        <v>532</v>
      </c>
      <c r="G36" s="542">
        <v>690</v>
      </c>
      <c r="H36" s="542">
        <v>608</v>
      </c>
      <c r="I36" s="542">
        <v>660</v>
      </c>
      <c r="J36" s="542">
        <v>693</v>
      </c>
      <c r="K36" s="542">
        <v>666</v>
      </c>
      <c r="L36" s="542">
        <v>286</v>
      </c>
      <c r="N36" s="503">
        <f>+(L36/K36-1)*100</f>
        <v>-57.05705705705706</v>
      </c>
    </row>
    <row r="37" spans="1:14" ht="10.5" customHeight="1">
      <c r="A37" s="40" t="s">
        <v>278</v>
      </c>
      <c r="B37" s="545" t="s">
        <v>157</v>
      </c>
      <c r="C37" s="545" t="s">
        <v>157</v>
      </c>
      <c r="D37" s="545" t="s">
        <v>157</v>
      </c>
      <c r="E37" s="545" t="s">
        <v>157</v>
      </c>
      <c r="F37" s="545" t="s">
        <v>157</v>
      </c>
      <c r="G37" s="545" t="s">
        <v>157</v>
      </c>
      <c r="H37" s="542">
        <v>178</v>
      </c>
      <c r="I37" s="542">
        <v>869</v>
      </c>
      <c r="J37" s="542">
        <v>825</v>
      </c>
      <c r="K37" s="542">
        <v>978</v>
      </c>
      <c r="L37" s="542">
        <v>618</v>
      </c>
      <c r="N37" s="503">
        <f>+(L37/K37-1)*100</f>
        <v>-36.809815950920246</v>
      </c>
    </row>
    <row r="38" spans="2:12" ht="5.25" customHeight="1">
      <c r="B38" s="543"/>
      <c r="C38" s="543"/>
      <c r="D38" s="543"/>
      <c r="E38" s="543"/>
      <c r="F38" s="543"/>
      <c r="G38" s="543"/>
      <c r="H38" s="543"/>
      <c r="I38" s="543"/>
      <c r="J38" s="543"/>
      <c r="K38" s="543"/>
      <c r="L38" s="543"/>
    </row>
    <row r="39" spans="1:14" ht="12">
      <c r="A39" s="274" t="s">
        <v>172</v>
      </c>
      <c r="B39" s="546">
        <f aca="true" t="shared" si="1" ref="B39:G39">SUM(B24:B36)-B31</f>
        <v>51739</v>
      </c>
      <c r="C39" s="546">
        <f t="shared" si="1"/>
        <v>57269</v>
      </c>
      <c r="D39" s="546">
        <f t="shared" si="1"/>
        <v>52445</v>
      </c>
      <c r="E39" s="546">
        <f t="shared" si="1"/>
        <v>49430</v>
      </c>
      <c r="F39" s="546">
        <f t="shared" si="1"/>
        <v>49491</v>
      </c>
      <c r="G39" s="546">
        <f t="shared" si="1"/>
        <v>51642</v>
      </c>
      <c r="H39" s="546">
        <f>SUM(H24:H37)-H31</f>
        <v>58936</v>
      </c>
      <c r="I39" s="546">
        <f>SUM(I24:I37)-I31</f>
        <v>50459</v>
      </c>
      <c r="J39" s="546">
        <f>SUM(J24:J37)-J31</f>
        <v>51487</v>
      </c>
      <c r="K39" s="546">
        <f>SUM(K24:K37)-K31</f>
        <v>57305</v>
      </c>
      <c r="L39" s="546">
        <f>SUM(L24:L37)-L31</f>
        <v>51505</v>
      </c>
      <c r="M39" s="317"/>
      <c r="N39" s="555">
        <f>+(L39/K39-1)*100</f>
        <v>-10.121280865544014</v>
      </c>
    </row>
    <row r="40" spans="1:12" ht="5.25" customHeight="1">
      <c r="A40" s="40"/>
      <c r="B40" s="542"/>
      <c r="C40" s="542"/>
      <c r="D40" s="542"/>
      <c r="E40" s="542"/>
      <c r="F40" s="542"/>
      <c r="G40" s="542"/>
      <c r="H40" s="543"/>
      <c r="I40" s="543"/>
      <c r="J40" s="543"/>
      <c r="K40" s="543"/>
      <c r="L40" s="543"/>
    </row>
    <row r="41" spans="1:14" ht="12">
      <c r="A41" s="318" t="s">
        <v>246</v>
      </c>
      <c r="B41" s="548">
        <f aca="true" t="shared" si="2" ref="B41:K41">+B39-B24</f>
        <v>36093</v>
      </c>
      <c r="C41" s="548">
        <f t="shared" si="2"/>
        <v>40304</v>
      </c>
      <c r="D41" s="548">
        <f t="shared" si="2"/>
        <v>37315</v>
      </c>
      <c r="E41" s="548">
        <f t="shared" si="2"/>
        <v>37361</v>
      </c>
      <c r="F41" s="548">
        <f t="shared" si="2"/>
        <v>37929</v>
      </c>
      <c r="G41" s="548">
        <f t="shared" si="2"/>
        <v>36942</v>
      </c>
      <c r="H41" s="548">
        <f t="shared" si="2"/>
        <v>45736</v>
      </c>
      <c r="I41" s="548">
        <f t="shared" si="2"/>
        <v>38219</v>
      </c>
      <c r="J41" s="548">
        <f t="shared" si="2"/>
        <v>37972</v>
      </c>
      <c r="K41" s="548">
        <f t="shared" si="2"/>
        <v>44330</v>
      </c>
      <c r="L41" s="548">
        <f>+L39-L24</f>
        <v>38605</v>
      </c>
      <c r="M41" s="319"/>
      <c r="N41" s="554">
        <f>+(L41/K41-1)*100</f>
        <v>-12.914504849988717</v>
      </c>
    </row>
    <row r="42" ht="3" customHeight="1"/>
    <row r="43" spans="1:15" ht="15" customHeight="1">
      <c r="A43" s="240" t="s">
        <v>527</v>
      </c>
      <c r="B43" s="171"/>
      <c r="C43" s="171"/>
      <c r="D43" s="171"/>
      <c r="E43" s="171"/>
      <c r="F43" s="171"/>
      <c r="G43" s="171"/>
      <c r="H43" s="171"/>
      <c r="I43" s="171"/>
      <c r="J43" s="171"/>
      <c r="K43" s="171"/>
      <c r="L43" s="171"/>
      <c r="M43" s="171"/>
      <c r="N43" s="171"/>
      <c r="O43" s="171"/>
    </row>
    <row r="44" ht="10.5" customHeight="1">
      <c r="A44" s="456" t="s">
        <v>398</v>
      </c>
    </row>
    <row r="45" ht="15.75" customHeight="1">
      <c r="A45" s="265" t="s">
        <v>430</v>
      </c>
    </row>
  </sheetData>
  <printOptions horizontalCentered="1"/>
  <pageMargins left="0.167" right="0.167" top="0.52" bottom="0.75" header="0" footer="0.28"/>
  <pageSetup fitToHeight="1" fitToWidth="1" horizontalDpi="600" verticalDpi="600" orientation="landscape" r:id="rId1"/>
  <headerFooter alignWithMargins="0">
    <oddFooter>&amp;C&amp;"Arial,Italic"&amp;9Vegetables and Melons Outlook&amp;"Arial,Regular"/VGS-330/December 16, 2008
Economic Research Service, USDA</oddFooter>
  </headerFooter>
</worksheet>
</file>

<file path=xl/worksheets/sheet8.xml><?xml version="1.0" encoding="utf-8"?>
<worksheet xmlns="http://schemas.openxmlformats.org/spreadsheetml/2006/main" xmlns:r="http://schemas.openxmlformats.org/officeDocument/2006/relationships">
  <sheetPr transitionEvaluation="1" transitionEntry="1">
    <tabColor indexed="11"/>
    <pageSetUpPr fitToPage="1"/>
  </sheetPr>
  <dimension ref="A2:T357"/>
  <sheetViews>
    <sheetView showGridLines="0" workbookViewId="0" topLeftCell="A1">
      <pane xSplit="2" ySplit="6" topLeftCell="C7" activePane="bottomRight" state="frozen"/>
      <selection pane="topLeft" activeCell="A1" sqref="A1"/>
      <selection pane="topRight" activeCell="A1" sqref="A1"/>
      <selection pane="bottomLeft" activeCell="A1" sqref="A1"/>
      <selection pane="bottomRight" activeCell="C7" sqref="C7"/>
    </sheetView>
  </sheetViews>
  <sheetFormatPr defaultColWidth="9.7109375" defaultRowHeight="12.75"/>
  <cols>
    <col min="1" max="1" width="10.421875" style="85" customWidth="1"/>
    <col min="2" max="2" width="5.421875" style="85" customWidth="1"/>
    <col min="3" max="14" width="6.00390625" style="85" customWidth="1"/>
    <col min="15" max="15" width="6.7109375" style="85" customWidth="1"/>
    <col min="16" max="16" width="1.421875" style="85" customWidth="1"/>
    <col min="17" max="17" width="9.7109375" style="85" customWidth="1"/>
    <col min="18" max="18" width="0.9921875" style="85" customWidth="1"/>
    <col min="19" max="16384" width="9.7109375" style="85" customWidth="1"/>
  </cols>
  <sheetData>
    <row r="1" ht="9" customHeight="1"/>
    <row r="2" spans="1:19" s="59" customFormat="1" ht="12" customHeight="1">
      <c r="A2" s="252" t="s">
        <v>417</v>
      </c>
      <c r="B2" s="56"/>
      <c r="C2" s="56"/>
      <c r="D2" s="57"/>
      <c r="E2" s="57"/>
      <c r="F2" s="57"/>
      <c r="G2" s="57"/>
      <c r="H2" s="57"/>
      <c r="I2" s="57"/>
      <c r="J2" s="57"/>
      <c r="K2" s="57"/>
      <c r="L2" s="57"/>
      <c r="M2" s="57"/>
      <c r="N2" s="57"/>
      <c r="O2" s="57"/>
      <c r="P2" s="58"/>
      <c r="Q2" s="57"/>
      <c r="R2" s="57"/>
      <c r="S2" s="57"/>
    </row>
    <row r="3" spans="1:19" s="59" customFormat="1" ht="10.5" customHeight="1">
      <c r="A3" s="320"/>
      <c r="B3" s="320"/>
      <c r="C3" s="320"/>
      <c r="D3" s="321"/>
      <c r="E3" s="321"/>
      <c r="F3" s="321"/>
      <c r="G3" s="321"/>
      <c r="H3" s="321"/>
      <c r="I3" s="321"/>
      <c r="J3" s="321"/>
      <c r="K3" s="321"/>
      <c r="L3" s="321"/>
      <c r="M3" s="321"/>
      <c r="N3" s="321"/>
      <c r="O3" s="322" t="s">
        <v>95</v>
      </c>
      <c r="P3" s="323"/>
      <c r="Q3" s="324" t="s">
        <v>263</v>
      </c>
      <c r="R3" s="324"/>
      <c r="S3" s="324" t="s">
        <v>263</v>
      </c>
    </row>
    <row r="4" spans="1:19" s="59" customFormat="1" ht="10.5" customHeight="1">
      <c r="A4" s="325" t="s">
        <v>23</v>
      </c>
      <c r="B4" s="325" t="s">
        <v>96</v>
      </c>
      <c r="C4" s="326" t="s">
        <v>97</v>
      </c>
      <c r="D4" s="327" t="s">
        <v>98</v>
      </c>
      <c r="E4" s="327" t="s">
        <v>99</v>
      </c>
      <c r="F4" s="327" t="s">
        <v>100</v>
      </c>
      <c r="G4" s="327" t="s">
        <v>101</v>
      </c>
      <c r="H4" s="327" t="s">
        <v>102</v>
      </c>
      <c r="I4" s="327" t="s">
        <v>103</v>
      </c>
      <c r="J4" s="327" t="s">
        <v>104</v>
      </c>
      <c r="K4" s="327" t="s">
        <v>105</v>
      </c>
      <c r="L4" s="327" t="s">
        <v>106</v>
      </c>
      <c r="M4" s="327" t="s">
        <v>107</v>
      </c>
      <c r="N4" s="327" t="s">
        <v>108</v>
      </c>
      <c r="O4" s="327" t="s">
        <v>109</v>
      </c>
      <c r="P4" s="323"/>
      <c r="Q4" s="328" t="s">
        <v>573</v>
      </c>
      <c r="R4" s="327"/>
      <c r="S4" s="328" t="s">
        <v>531</v>
      </c>
    </row>
    <row r="5" spans="1:19" s="59" customFormat="1" ht="12.75" customHeight="1">
      <c r="A5" s="60"/>
      <c r="B5" s="62"/>
      <c r="C5" s="193" t="s">
        <v>110</v>
      </c>
      <c r="D5" s="64"/>
      <c r="E5" s="64"/>
      <c r="F5" s="64"/>
      <c r="G5" s="64"/>
      <c r="H5" s="65"/>
      <c r="I5" s="64"/>
      <c r="J5" s="64"/>
      <c r="K5" s="64"/>
      <c r="L5" s="64"/>
      <c r="M5" s="64"/>
      <c r="N5" s="64"/>
      <c r="O5" s="64"/>
      <c r="P5" s="58"/>
      <c r="Q5" s="193" t="s">
        <v>30</v>
      </c>
      <c r="R5" s="63"/>
      <c r="S5" s="193" t="s">
        <v>30</v>
      </c>
    </row>
    <row r="6" spans="1:15" s="59" customFormat="1" ht="3.75" customHeight="1">
      <c r="A6" s="66" t="s">
        <v>21</v>
      </c>
      <c r="B6" s="60"/>
      <c r="C6" s="60"/>
      <c r="D6" s="61"/>
      <c r="E6" s="61"/>
      <c r="F6" s="61"/>
      <c r="G6" s="61"/>
      <c r="H6" s="61"/>
      <c r="I6" s="61"/>
      <c r="J6" s="61"/>
      <c r="K6" s="67" t="s">
        <v>21</v>
      </c>
      <c r="L6" s="61"/>
      <c r="M6" s="61"/>
      <c r="N6" s="61"/>
      <c r="O6" s="61"/>
    </row>
    <row r="7" spans="1:19" s="59" customFormat="1" ht="10.5" customHeight="1">
      <c r="A7" s="253" t="s">
        <v>111</v>
      </c>
      <c r="B7" s="69">
        <v>2004</v>
      </c>
      <c r="C7" s="71" t="s">
        <v>249</v>
      </c>
      <c r="D7" s="71">
        <v>171</v>
      </c>
      <c r="E7" s="70">
        <v>76.5</v>
      </c>
      <c r="F7" s="70">
        <v>81.7</v>
      </c>
      <c r="G7" s="70">
        <v>74.3</v>
      </c>
      <c r="H7" s="70">
        <v>64.6</v>
      </c>
      <c r="I7" s="70">
        <v>146</v>
      </c>
      <c r="J7" s="70">
        <v>138</v>
      </c>
      <c r="K7" s="71">
        <v>129</v>
      </c>
      <c r="L7" s="71">
        <v>127</v>
      </c>
      <c r="M7" s="71" t="s">
        <v>249</v>
      </c>
      <c r="N7" s="71" t="s">
        <v>249</v>
      </c>
      <c r="O7" s="70">
        <v>81.3</v>
      </c>
      <c r="Q7" s="436" t="s">
        <v>408</v>
      </c>
      <c r="R7" s="168"/>
      <c r="S7" s="443" t="s">
        <v>352</v>
      </c>
    </row>
    <row r="8" spans="1:19" s="59" customFormat="1" ht="10.5" customHeight="1">
      <c r="A8" s="72"/>
      <c r="B8" s="69">
        <v>2005</v>
      </c>
      <c r="C8" s="71" t="s">
        <v>249</v>
      </c>
      <c r="D8" s="71" t="s">
        <v>249</v>
      </c>
      <c r="E8" s="70">
        <v>88.6</v>
      </c>
      <c r="F8" s="70">
        <v>103</v>
      </c>
      <c r="G8" s="70">
        <v>68.7</v>
      </c>
      <c r="H8" s="70">
        <v>73.5</v>
      </c>
      <c r="I8" s="70">
        <v>143</v>
      </c>
      <c r="J8" s="70">
        <v>150</v>
      </c>
      <c r="K8" s="71">
        <v>162</v>
      </c>
      <c r="L8" s="71">
        <v>162</v>
      </c>
      <c r="M8" s="71" t="s">
        <v>249</v>
      </c>
      <c r="N8" s="71" t="s">
        <v>249</v>
      </c>
      <c r="O8" s="70">
        <v>87.4</v>
      </c>
      <c r="P8" s="87"/>
      <c r="Q8" s="436" t="s">
        <v>408</v>
      </c>
      <c r="R8" s="168"/>
      <c r="S8" s="445">
        <f>+((AVERAGE(I8:K8)/AVERAGE(I7:K7))-1)*100</f>
        <v>10.169491525423723</v>
      </c>
    </row>
    <row r="9" spans="1:19" s="444" customFormat="1" ht="10.5" customHeight="1">
      <c r="A9" s="439"/>
      <c r="B9" s="440">
        <v>2006</v>
      </c>
      <c r="C9" s="436" t="s">
        <v>249</v>
      </c>
      <c r="D9" s="436">
        <v>122</v>
      </c>
      <c r="E9" s="435">
        <v>133</v>
      </c>
      <c r="F9" s="435">
        <v>110</v>
      </c>
      <c r="G9" s="435">
        <v>72.7</v>
      </c>
      <c r="H9" s="435">
        <v>94.1</v>
      </c>
      <c r="I9" s="436">
        <v>105</v>
      </c>
      <c r="J9" s="436">
        <v>162</v>
      </c>
      <c r="K9" s="436">
        <v>122</v>
      </c>
      <c r="L9" s="436">
        <v>127</v>
      </c>
      <c r="M9" s="436" t="s">
        <v>249</v>
      </c>
      <c r="N9" s="436" t="s">
        <v>249</v>
      </c>
      <c r="O9" s="435">
        <v>88.9</v>
      </c>
      <c r="P9" s="441"/>
      <c r="Q9" s="436" t="s">
        <v>408</v>
      </c>
      <c r="R9" s="442"/>
      <c r="S9" s="445">
        <f>+((AVERAGE(I9:K9)/AVERAGE(I8:K8))-1)*100</f>
        <v>-14.505494505494509</v>
      </c>
    </row>
    <row r="10" spans="1:19" s="59" customFormat="1" ht="10.5" customHeight="1">
      <c r="A10" s="72"/>
      <c r="B10" s="329">
        <v>2007</v>
      </c>
      <c r="C10" s="330" t="s">
        <v>249</v>
      </c>
      <c r="D10" s="330" t="s">
        <v>249</v>
      </c>
      <c r="E10" s="331">
        <v>107</v>
      </c>
      <c r="F10" s="331">
        <v>106</v>
      </c>
      <c r="G10" s="331">
        <v>91.9</v>
      </c>
      <c r="H10" s="331">
        <v>87.7</v>
      </c>
      <c r="I10" s="330" t="s">
        <v>249</v>
      </c>
      <c r="J10" s="330" t="s">
        <v>249</v>
      </c>
      <c r="K10" s="330" t="s">
        <v>249</v>
      </c>
      <c r="L10" s="330" t="s">
        <v>249</v>
      </c>
      <c r="M10" s="330" t="s">
        <v>249</v>
      </c>
      <c r="N10" s="330" t="s">
        <v>249</v>
      </c>
      <c r="O10" s="331">
        <v>99.1</v>
      </c>
      <c r="P10" s="332"/>
      <c r="Q10" s="436" t="s">
        <v>408</v>
      </c>
      <c r="R10" s="442"/>
      <c r="S10" s="443" t="s">
        <v>352</v>
      </c>
    </row>
    <row r="11" spans="1:19" s="59" customFormat="1" ht="9.75" customHeight="1">
      <c r="A11" s="72"/>
      <c r="B11" s="329">
        <v>2008</v>
      </c>
      <c r="C11" s="330" t="s">
        <v>249</v>
      </c>
      <c r="D11" s="330" t="s">
        <v>249</v>
      </c>
      <c r="E11" s="331">
        <v>84.8</v>
      </c>
      <c r="F11" s="331">
        <v>97.6</v>
      </c>
      <c r="G11" s="331">
        <v>94.7</v>
      </c>
      <c r="H11" s="331">
        <v>83.1</v>
      </c>
      <c r="I11" s="331">
        <v>106</v>
      </c>
      <c r="J11" s="330" t="s">
        <v>249</v>
      </c>
      <c r="K11" s="330" t="s">
        <v>249</v>
      </c>
      <c r="L11" s="330" t="s">
        <v>249</v>
      </c>
      <c r="M11" s="330" t="s">
        <v>249</v>
      </c>
      <c r="N11" s="330" t="s">
        <v>249</v>
      </c>
      <c r="O11" s="518"/>
      <c r="P11" s="332"/>
      <c r="Q11" s="436" t="s">
        <v>408</v>
      </c>
      <c r="R11" s="442"/>
      <c r="S11" s="443" t="s">
        <v>352</v>
      </c>
    </row>
    <row r="12" spans="1:19" s="59" customFormat="1" ht="3" customHeight="1">
      <c r="A12" s="72"/>
      <c r="B12" s="73"/>
      <c r="C12" s="70"/>
      <c r="D12" s="72"/>
      <c r="E12" s="72"/>
      <c r="F12" s="72"/>
      <c r="G12" s="72"/>
      <c r="H12" s="72"/>
      <c r="I12" s="72"/>
      <c r="J12" s="72"/>
      <c r="K12" s="74"/>
      <c r="L12" s="72"/>
      <c r="M12" s="72"/>
      <c r="N12" s="72"/>
      <c r="O12" s="72"/>
      <c r="P12" s="87"/>
      <c r="Q12" s="436"/>
      <c r="R12" s="444"/>
      <c r="S12" s="444"/>
    </row>
    <row r="13" spans="1:19" s="59" customFormat="1" ht="10.5" customHeight="1">
      <c r="A13" s="253" t="s">
        <v>146</v>
      </c>
      <c r="B13" s="69">
        <v>2004</v>
      </c>
      <c r="C13" s="70">
        <v>33.6</v>
      </c>
      <c r="D13" s="70">
        <v>28.5</v>
      </c>
      <c r="E13" s="70">
        <v>21.6</v>
      </c>
      <c r="F13" s="70">
        <v>24</v>
      </c>
      <c r="G13" s="70">
        <v>27.2</v>
      </c>
      <c r="H13" s="70">
        <v>28.7</v>
      </c>
      <c r="I13" s="70">
        <v>24.2</v>
      </c>
      <c r="J13" s="70">
        <v>29.7</v>
      </c>
      <c r="K13" s="70">
        <v>57</v>
      </c>
      <c r="L13" s="70">
        <v>43.9</v>
      </c>
      <c r="M13" s="70">
        <v>43.7</v>
      </c>
      <c r="N13" s="70">
        <v>38.5</v>
      </c>
      <c r="O13" s="70">
        <v>33.2</v>
      </c>
      <c r="Q13" s="436" t="s">
        <v>408</v>
      </c>
      <c r="R13" s="168"/>
      <c r="S13" s="443" t="s">
        <v>352</v>
      </c>
    </row>
    <row r="14" spans="1:19" s="59" customFormat="1" ht="10.5" customHeight="1">
      <c r="A14" s="72"/>
      <c r="B14" s="69">
        <v>2005</v>
      </c>
      <c r="C14" s="70">
        <v>22.6</v>
      </c>
      <c r="D14" s="70">
        <v>33.3</v>
      </c>
      <c r="E14" s="70">
        <v>42.6</v>
      </c>
      <c r="F14" s="70">
        <v>39.8</v>
      </c>
      <c r="G14" s="70">
        <v>22.4</v>
      </c>
      <c r="H14" s="70">
        <v>39.7</v>
      </c>
      <c r="I14" s="70">
        <v>22.4</v>
      </c>
      <c r="J14" s="70">
        <v>30.5</v>
      </c>
      <c r="K14" s="70">
        <v>27.7</v>
      </c>
      <c r="L14" s="70">
        <v>22.4</v>
      </c>
      <c r="M14" s="70">
        <v>20.4</v>
      </c>
      <c r="N14" s="70">
        <v>34.1</v>
      </c>
      <c r="O14" s="70">
        <v>28.5</v>
      </c>
      <c r="P14" s="87"/>
      <c r="Q14" s="168">
        <f>((+M14/M13)-1)*100</f>
        <v>-53.318077803203664</v>
      </c>
      <c r="R14" s="168"/>
      <c r="S14" s="445">
        <f>+((AVERAGE(I14:K14)/AVERAGE(I13:K13))-1)*100</f>
        <v>-27.321911632101003</v>
      </c>
    </row>
    <row r="15" spans="1:19" s="444" customFormat="1" ht="10.5" customHeight="1">
      <c r="A15" s="439"/>
      <c r="B15" s="440">
        <v>2006</v>
      </c>
      <c r="C15" s="435">
        <v>32.5</v>
      </c>
      <c r="D15" s="435">
        <v>23.8</v>
      </c>
      <c r="E15" s="435">
        <v>27.6</v>
      </c>
      <c r="F15" s="435">
        <v>32.4</v>
      </c>
      <c r="G15" s="435">
        <v>29</v>
      </c>
      <c r="H15" s="435">
        <v>51.1</v>
      </c>
      <c r="I15" s="435">
        <v>26.2</v>
      </c>
      <c r="J15" s="435">
        <v>56.9</v>
      </c>
      <c r="K15" s="435">
        <v>39.4</v>
      </c>
      <c r="L15" s="435">
        <v>24.6</v>
      </c>
      <c r="M15" s="435">
        <v>27.4</v>
      </c>
      <c r="N15" s="435">
        <v>52.8</v>
      </c>
      <c r="O15" s="435">
        <v>33.7</v>
      </c>
      <c r="P15" s="441"/>
      <c r="Q15" s="168">
        <f>((+M15/M14)-1)*100</f>
        <v>34.31372549019609</v>
      </c>
      <c r="R15" s="168"/>
      <c r="S15" s="445">
        <f>+((AVERAGE(I15:K15)/AVERAGE(I14:K14))-1)*100</f>
        <v>51.98511166253104</v>
      </c>
    </row>
    <row r="16" spans="1:19" s="59" customFormat="1" ht="10.5" customHeight="1">
      <c r="A16" s="72"/>
      <c r="B16" s="329">
        <v>2007</v>
      </c>
      <c r="C16" s="334">
        <v>69.8</v>
      </c>
      <c r="D16" s="331">
        <v>25.4</v>
      </c>
      <c r="E16" s="331">
        <v>27.6</v>
      </c>
      <c r="F16" s="331">
        <v>36.9</v>
      </c>
      <c r="G16" s="331">
        <v>26.7</v>
      </c>
      <c r="H16" s="331">
        <v>24.8</v>
      </c>
      <c r="I16" s="331">
        <v>28.8</v>
      </c>
      <c r="J16" s="331">
        <v>38.2</v>
      </c>
      <c r="K16" s="331">
        <v>41.8</v>
      </c>
      <c r="L16" s="331">
        <v>61</v>
      </c>
      <c r="M16" s="331">
        <v>38.1</v>
      </c>
      <c r="N16" s="331">
        <v>40.7</v>
      </c>
      <c r="O16" s="331">
        <v>36.7</v>
      </c>
      <c r="P16" s="332"/>
      <c r="Q16" s="168">
        <f>((+M16/M15)-1)*100</f>
        <v>39.05109489051095</v>
      </c>
      <c r="R16" s="442"/>
      <c r="S16" s="445">
        <f>+((AVERAGE(I16:K16)/AVERAGE(I15:K15))-1)*100</f>
        <v>-11.183673469387767</v>
      </c>
    </row>
    <row r="17" spans="1:19" s="59" customFormat="1" ht="10.5" customHeight="1">
      <c r="A17" s="72"/>
      <c r="B17" s="329">
        <v>2008</v>
      </c>
      <c r="C17" s="334">
        <v>47.3</v>
      </c>
      <c r="D17" s="331">
        <v>22.9</v>
      </c>
      <c r="E17" s="331">
        <v>30.6</v>
      </c>
      <c r="F17" s="331">
        <v>52.2</v>
      </c>
      <c r="G17" s="331">
        <v>26.7</v>
      </c>
      <c r="H17" s="331">
        <v>29.6</v>
      </c>
      <c r="I17" s="331">
        <v>26.7</v>
      </c>
      <c r="J17" s="331">
        <v>26.6</v>
      </c>
      <c r="K17" s="331">
        <v>41.1</v>
      </c>
      <c r="L17" s="331">
        <v>57.5</v>
      </c>
      <c r="M17" s="331">
        <v>40.8</v>
      </c>
      <c r="N17" s="331"/>
      <c r="O17" s="331"/>
      <c r="P17" s="332"/>
      <c r="Q17" s="168">
        <f>((+M17/M16)-1)*100</f>
        <v>7.086614173228334</v>
      </c>
      <c r="R17" s="442"/>
      <c r="S17" s="445">
        <f>+((AVERAGE(I17:K17)/AVERAGE(I16:K16))-1)*100</f>
        <v>-13.235294117647056</v>
      </c>
    </row>
    <row r="18" spans="1:19" s="59" customFormat="1" ht="3" customHeight="1">
      <c r="A18" s="72"/>
      <c r="B18" s="69"/>
      <c r="C18" s="70"/>
      <c r="D18" s="70"/>
      <c r="E18" s="70"/>
      <c r="F18" s="70"/>
      <c r="G18" s="70"/>
      <c r="H18" s="70"/>
      <c r="I18" s="70"/>
      <c r="J18" s="70"/>
      <c r="K18" s="70"/>
      <c r="L18" s="70"/>
      <c r="M18" s="70"/>
      <c r="N18" s="68"/>
      <c r="O18" s="68"/>
      <c r="P18" s="87"/>
      <c r="Q18" s="444"/>
      <c r="R18" s="442"/>
      <c r="S18" s="444"/>
    </row>
    <row r="19" spans="1:19" s="59" customFormat="1" ht="10.5" customHeight="1">
      <c r="A19" s="254" t="s">
        <v>113</v>
      </c>
      <c r="B19" s="69">
        <v>2004</v>
      </c>
      <c r="C19" s="71" t="s">
        <v>112</v>
      </c>
      <c r="D19" s="71" t="s">
        <v>112</v>
      </c>
      <c r="E19" s="71" t="s">
        <v>112</v>
      </c>
      <c r="F19" s="71" t="s">
        <v>112</v>
      </c>
      <c r="G19" s="75">
        <v>15.3</v>
      </c>
      <c r="H19" s="75">
        <v>12.1</v>
      </c>
      <c r="I19" s="75">
        <v>11</v>
      </c>
      <c r="J19" s="75">
        <v>14.3</v>
      </c>
      <c r="K19" s="75">
        <v>15.5</v>
      </c>
      <c r="L19" s="75">
        <v>14.8</v>
      </c>
      <c r="M19" s="75">
        <v>18.3</v>
      </c>
      <c r="N19" s="75">
        <v>33.8</v>
      </c>
      <c r="O19" s="76">
        <v>14.7</v>
      </c>
      <c r="Q19" s="436" t="s">
        <v>408</v>
      </c>
      <c r="R19" s="168"/>
      <c r="S19" s="443" t="s">
        <v>352</v>
      </c>
    </row>
    <row r="20" spans="1:19" s="59" customFormat="1" ht="10.5" customHeight="1">
      <c r="A20" s="72"/>
      <c r="B20" s="69">
        <v>2005</v>
      </c>
      <c r="C20" s="71" t="s">
        <v>112</v>
      </c>
      <c r="D20" s="71" t="s">
        <v>112</v>
      </c>
      <c r="E20" s="71" t="s">
        <v>112</v>
      </c>
      <c r="F20" s="71" t="s">
        <v>112</v>
      </c>
      <c r="G20" s="75">
        <v>22.6</v>
      </c>
      <c r="H20" s="75">
        <v>18.1</v>
      </c>
      <c r="I20" s="75">
        <v>13.8</v>
      </c>
      <c r="J20" s="75">
        <v>10.7</v>
      </c>
      <c r="K20" s="75">
        <v>14.9</v>
      </c>
      <c r="L20" s="75">
        <v>14.4</v>
      </c>
      <c r="M20" s="75">
        <v>15.6</v>
      </c>
      <c r="N20" s="71" t="s">
        <v>249</v>
      </c>
      <c r="O20" s="76">
        <v>15.9</v>
      </c>
      <c r="Q20" s="168">
        <f>((+M20/M19)-1)*100</f>
        <v>-14.754098360655743</v>
      </c>
      <c r="R20" s="168"/>
      <c r="S20" s="445">
        <f>+((AVERAGE(I20:K20)/AVERAGE(I19:K19))-1)*100</f>
        <v>-3.4313725490196068</v>
      </c>
    </row>
    <row r="21" spans="1:19" s="444" customFormat="1" ht="10.5" customHeight="1">
      <c r="A21" s="439"/>
      <c r="B21" s="440">
        <v>2006</v>
      </c>
      <c r="C21" s="436" t="s">
        <v>112</v>
      </c>
      <c r="D21" s="436" t="s">
        <v>112</v>
      </c>
      <c r="E21" s="436" t="s">
        <v>112</v>
      </c>
      <c r="F21" s="436" t="s">
        <v>112</v>
      </c>
      <c r="G21" s="437">
        <v>29.2</v>
      </c>
      <c r="H21" s="437">
        <v>18.4</v>
      </c>
      <c r="I21" s="437">
        <v>16</v>
      </c>
      <c r="J21" s="437">
        <v>20.7</v>
      </c>
      <c r="K21" s="437">
        <v>10.4</v>
      </c>
      <c r="L21" s="437">
        <v>16.1</v>
      </c>
      <c r="M21" s="437">
        <v>28.2</v>
      </c>
      <c r="N21" s="436" t="s">
        <v>249</v>
      </c>
      <c r="O21" s="446">
        <v>17.2</v>
      </c>
      <c r="Q21" s="168">
        <f>((+M21/M20)-1)*100</f>
        <v>80.76923076923077</v>
      </c>
      <c r="R21" s="168"/>
      <c r="S21" s="445">
        <f>+((AVERAGE(I21:K21)/AVERAGE(I20:K20))-1)*100</f>
        <v>19.543147208121848</v>
      </c>
    </row>
    <row r="22" spans="1:19" s="59" customFormat="1" ht="10.5" customHeight="1">
      <c r="A22" s="72"/>
      <c r="B22" s="329">
        <v>2007</v>
      </c>
      <c r="C22" s="330" t="s">
        <v>112</v>
      </c>
      <c r="D22" s="330" t="s">
        <v>112</v>
      </c>
      <c r="E22" s="330" t="s">
        <v>112</v>
      </c>
      <c r="F22" s="330" t="s">
        <v>112</v>
      </c>
      <c r="G22" s="334">
        <v>28.2</v>
      </c>
      <c r="H22" s="334">
        <v>12.6</v>
      </c>
      <c r="I22" s="334">
        <v>12</v>
      </c>
      <c r="J22" s="334">
        <v>13.3</v>
      </c>
      <c r="K22" s="334">
        <v>13.1</v>
      </c>
      <c r="L22" s="334">
        <v>30.5</v>
      </c>
      <c r="M22" s="334">
        <v>38.5</v>
      </c>
      <c r="N22" s="517" t="s">
        <v>249</v>
      </c>
      <c r="O22" s="335">
        <v>14.8</v>
      </c>
      <c r="P22" s="336"/>
      <c r="Q22" s="168">
        <f>((+M22/M21)-1)*100</f>
        <v>36.524822695035475</v>
      </c>
      <c r="R22" s="442"/>
      <c r="S22" s="445">
        <f>+((AVERAGE(I22:K22)/AVERAGE(I21:K21))-1)*100</f>
        <v>-18.471337579617842</v>
      </c>
    </row>
    <row r="23" spans="1:19" s="59" customFormat="1" ht="10.5" customHeight="1">
      <c r="A23" s="72"/>
      <c r="B23" s="329">
        <v>2008</v>
      </c>
      <c r="C23" s="330" t="s">
        <v>112</v>
      </c>
      <c r="D23" s="330" t="s">
        <v>112</v>
      </c>
      <c r="E23" s="330" t="s">
        <v>112</v>
      </c>
      <c r="F23" s="330" t="s">
        <v>112</v>
      </c>
      <c r="G23" s="334">
        <v>25.9</v>
      </c>
      <c r="H23" s="334">
        <v>17.9</v>
      </c>
      <c r="I23" s="334">
        <v>17</v>
      </c>
      <c r="J23" s="334">
        <v>9.12</v>
      </c>
      <c r="K23" s="334">
        <v>17.7</v>
      </c>
      <c r="L23" s="334">
        <v>22.4</v>
      </c>
      <c r="M23" s="334">
        <v>29.6</v>
      </c>
      <c r="N23" s="334"/>
      <c r="O23" s="335"/>
      <c r="P23" s="336"/>
      <c r="Q23" s="168">
        <f>((+M23/M22)-1)*100</f>
        <v>-23.116883116883113</v>
      </c>
      <c r="R23" s="442"/>
      <c r="S23" s="445">
        <f>+((AVERAGE(I23:K23)/AVERAGE(I22:K22))-1)*100</f>
        <v>14.11458333333333</v>
      </c>
    </row>
    <row r="24" spans="1:19" s="59" customFormat="1" ht="3" customHeight="1">
      <c r="A24" s="72"/>
      <c r="B24" s="69"/>
      <c r="C24" s="77"/>
      <c r="D24" s="77"/>
      <c r="E24" s="77"/>
      <c r="F24" s="77"/>
      <c r="G24" s="77"/>
      <c r="H24" s="77"/>
      <c r="I24" s="77"/>
      <c r="J24" s="77"/>
      <c r="K24" s="77"/>
      <c r="L24" s="77"/>
      <c r="M24" s="77"/>
      <c r="N24" s="77"/>
      <c r="O24" s="76"/>
      <c r="Q24" s="444"/>
      <c r="R24" s="442"/>
      <c r="S24" s="444"/>
    </row>
    <row r="25" spans="1:19" s="59" customFormat="1" ht="10.5" customHeight="1">
      <c r="A25" s="253" t="s">
        <v>114</v>
      </c>
      <c r="B25" s="69">
        <v>2004</v>
      </c>
      <c r="C25" s="70">
        <v>24.5</v>
      </c>
      <c r="D25" s="70">
        <v>24.9</v>
      </c>
      <c r="E25" s="70">
        <v>24.6</v>
      </c>
      <c r="F25" s="70">
        <v>24.2</v>
      </c>
      <c r="G25" s="70">
        <v>24.9</v>
      </c>
      <c r="H25" s="70">
        <v>22.5</v>
      </c>
      <c r="I25" s="70">
        <v>20.2</v>
      </c>
      <c r="J25" s="70">
        <v>18</v>
      </c>
      <c r="K25" s="70">
        <v>16.7</v>
      </c>
      <c r="L25" s="70">
        <v>16.2</v>
      </c>
      <c r="M25" s="70">
        <v>17.3</v>
      </c>
      <c r="N25" s="70">
        <v>17</v>
      </c>
      <c r="O25" s="70">
        <v>20.2</v>
      </c>
      <c r="Q25" s="436" t="s">
        <v>408</v>
      </c>
      <c r="R25" s="168"/>
      <c r="S25" s="443" t="s">
        <v>352</v>
      </c>
    </row>
    <row r="26" spans="1:19" s="59" customFormat="1" ht="10.5" customHeight="1">
      <c r="A26" s="72"/>
      <c r="B26" s="69">
        <v>2005</v>
      </c>
      <c r="C26" s="70">
        <v>20.3</v>
      </c>
      <c r="D26" s="70">
        <v>21</v>
      </c>
      <c r="E26" s="70">
        <v>21</v>
      </c>
      <c r="F26" s="70">
        <v>21.1</v>
      </c>
      <c r="G26" s="70">
        <v>21.2</v>
      </c>
      <c r="H26" s="70">
        <v>21.3</v>
      </c>
      <c r="I26" s="70">
        <v>21.8</v>
      </c>
      <c r="J26" s="70">
        <v>21.2</v>
      </c>
      <c r="K26" s="70">
        <v>21</v>
      </c>
      <c r="L26" s="70">
        <v>21.1</v>
      </c>
      <c r="M26" s="70">
        <v>23.1</v>
      </c>
      <c r="N26" s="70">
        <v>22</v>
      </c>
      <c r="O26" s="70">
        <v>20.9</v>
      </c>
      <c r="P26" s="87"/>
      <c r="Q26" s="168">
        <f>((+M26/M25)-1)*100</f>
        <v>33.52601156069363</v>
      </c>
      <c r="R26" s="168"/>
      <c r="S26" s="445">
        <f>+((AVERAGE(I26:K26)/AVERAGE(I25:K25))-1)*100</f>
        <v>16.57559198542804</v>
      </c>
    </row>
    <row r="27" spans="1:19" s="444" customFormat="1" ht="10.5" customHeight="1">
      <c r="A27" s="439"/>
      <c r="B27" s="440">
        <v>2006</v>
      </c>
      <c r="C27" s="435">
        <v>21.7</v>
      </c>
      <c r="D27" s="435">
        <v>21.5</v>
      </c>
      <c r="E27" s="435">
        <v>21.5</v>
      </c>
      <c r="F27" s="435">
        <v>21.5</v>
      </c>
      <c r="G27" s="435">
        <v>20.8</v>
      </c>
      <c r="H27" s="435">
        <v>21.4</v>
      </c>
      <c r="I27" s="435">
        <v>21.5</v>
      </c>
      <c r="J27" s="435">
        <v>22.4</v>
      </c>
      <c r="K27" s="435">
        <v>19.3</v>
      </c>
      <c r="L27" s="435">
        <v>19.8</v>
      </c>
      <c r="M27" s="435">
        <v>20.2</v>
      </c>
      <c r="N27" s="435">
        <v>19.1</v>
      </c>
      <c r="O27" s="435">
        <v>20.6</v>
      </c>
      <c r="P27" s="441"/>
      <c r="Q27" s="168">
        <f>((+M27/M26)-1)*100</f>
        <v>-12.554112554112562</v>
      </c>
      <c r="R27" s="168"/>
      <c r="S27" s="445">
        <f>+((AVERAGE(I27:K27)/AVERAGE(I26:K26))-1)*100</f>
        <v>-1.2499999999999956</v>
      </c>
    </row>
    <row r="28" spans="1:19" s="59" customFormat="1" ht="10.5" customHeight="1">
      <c r="A28" s="72"/>
      <c r="B28" s="329">
        <v>2007</v>
      </c>
      <c r="C28" s="334">
        <v>21</v>
      </c>
      <c r="D28" s="331">
        <v>28.1</v>
      </c>
      <c r="E28" s="331">
        <v>28.3</v>
      </c>
      <c r="F28" s="331">
        <v>29.6</v>
      </c>
      <c r="G28" s="331">
        <v>32</v>
      </c>
      <c r="H28" s="331">
        <v>25.9</v>
      </c>
      <c r="I28" s="331">
        <v>19.7</v>
      </c>
      <c r="J28" s="331">
        <v>17.1</v>
      </c>
      <c r="K28" s="331">
        <v>16.1</v>
      </c>
      <c r="L28" s="331">
        <v>15.8</v>
      </c>
      <c r="M28" s="331">
        <v>15.8</v>
      </c>
      <c r="N28" s="331">
        <v>16.2</v>
      </c>
      <c r="O28" s="331">
        <v>22.6</v>
      </c>
      <c r="P28" s="332"/>
      <c r="Q28" s="168">
        <f>((+M28/M27)-1)*100</f>
        <v>-21.78217821782178</v>
      </c>
      <c r="R28" s="442"/>
      <c r="S28" s="445">
        <f>+((AVERAGE(I28:K28)/AVERAGE(I27:K27))-1)*100</f>
        <v>-16.29746835443038</v>
      </c>
    </row>
    <row r="29" spans="1:19" s="59" customFormat="1" ht="10.5" customHeight="1">
      <c r="A29" s="72"/>
      <c r="B29" s="329">
        <v>2008</v>
      </c>
      <c r="C29" s="334">
        <v>16.2</v>
      </c>
      <c r="D29" s="331">
        <v>25.9</v>
      </c>
      <c r="E29" s="331">
        <v>25.9</v>
      </c>
      <c r="F29" s="331">
        <v>25.5</v>
      </c>
      <c r="G29" s="331">
        <v>32</v>
      </c>
      <c r="H29" s="331">
        <v>25.6</v>
      </c>
      <c r="I29" s="331">
        <v>25.6</v>
      </c>
      <c r="J29" s="331">
        <v>25.5</v>
      </c>
      <c r="K29" s="331">
        <v>24.2</v>
      </c>
      <c r="L29" s="331">
        <v>23.5</v>
      </c>
      <c r="M29" s="331">
        <v>24.6</v>
      </c>
      <c r="N29" s="331"/>
      <c r="O29" s="331"/>
      <c r="P29" s="332"/>
      <c r="Q29" s="168">
        <f>((+M29/M28)-1)*100</f>
        <v>55.696202531645575</v>
      </c>
      <c r="R29" s="442"/>
      <c r="S29" s="445">
        <f>+((AVERAGE(I29:K29)/AVERAGE(I28:K28))-1)*100</f>
        <v>42.34404536862002</v>
      </c>
    </row>
    <row r="30" spans="1:19" s="59" customFormat="1" ht="3" customHeight="1">
      <c r="A30" s="72"/>
      <c r="B30" s="69"/>
      <c r="C30" s="70"/>
      <c r="D30" s="70"/>
      <c r="E30" s="70"/>
      <c r="F30" s="70"/>
      <c r="G30" s="70"/>
      <c r="H30" s="70"/>
      <c r="I30" s="70"/>
      <c r="J30" s="70"/>
      <c r="K30" s="70"/>
      <c r="L30" s="70"/>
      <c r="M30" s="70"/>
      <c r="N30" s="70"/>
      <c r="O30" s="70"/>
      <c r="P30" s="87"/>
      <c r="Q30" s="444"/>
      <c r="R30" s="442"/>
      <c r="S30" s="444"/>
    </row>
    <row r="31" spans="1:19" s="59" customFormat="1" ht="10.5" customHeight="1">
      <c r="A31" s="255" t="s">
        <v>247</v>
      </c>
      <c r="B31" s="69">
        <v>2004</v>
      </c>
      <c r="C31" s="70">
        <v>27.2</v>
      </c>
      <c r="D31" s="70">
        <v>42.2</v>
      </c>
      <c r="E31" s="70">
        <v>24.2</v>
      </c>
      <c r="F31" s="70">
        <v>23.5</v>
      </c>
      <c r="G31" s="70">
        <v>28.8</v>
      </c>
      <c r="H31" s="70">
        <v>46.2</v>
      </c>
      <c r="I31" s="70">
        <v>27.5</v>
      </c>
      <c r="J31" s="70">
        <v>26</v>
      </c>
      <c r="K31" s="70">
        <v>31</v>
      </c>
      <c r="L31" s="70">
        <v>32.2</v>
      </c>
      <c r="M31" s="70">
        <v>27.1</v>
      </c>
      <c r="N31" s="70">
        <v>40.9</v>
      </c>
      <c r="O31" s="70">
        <v>30.8</v>
      </c>
      <c r="Q31" s="436" t="s">
        <v>408</v>
      </c>
      <c r="R31" s="168"/>
      <c r="S31" s="443" t="s">
        <v>352</v>
      </c>
    </row>
    <row r="32" spans="1:19" s="59" customFormat="1" ht="10.5" customHeight="1">
      <c r="A32" s="72"/>
      <c r="B32" s="69">
        <v>2005</v>
      </c>
      <c r="C32" s="70">
        <v>27.6</v>
      </c>
      <c r="D32" s="70">
        <v>38</v>
      </c>
      <c r="E32" s="70">
        <v>50.6</v>
      </c>
      <c r="F32" s="70">
        <v>36.7</v>
      </c>
      <c r="G32" s="70">
        <v>29.7</v>
      </c>
      <c r="H32" s="70">
        <v>38.1</v>
      </c>
      <c r="I32" s="70">
        <v>25.6</v>
      </c>
      <c r="J32" s="70">
        <v>31.5</v>
      </c>
      <c r="K32" s="70">
        <v>28.5</v>
      </c>
      <c r="L32" s="70">
        <v>19.7</v>
      </c>
      <c r="M32" s="70">
        <v>23.6</v>
      </c>
      <c r="N32" s="70">
        <v>44.3</v>
      </c>
      <c r="O32" s="70">
        <v>30.3</v>
      </c>
      <c r="P32" s="87"/>
      <c r="Q32" s="168">
        <f>((+M32/M31)-1)*100</f>
        <v>-12.915129151291517</v>
      </c>
      <c r="R32" s="168"/>
      <c r="S32" s="445">
        <f>+((AVERAGE(I32:K32)/AVERAGE(I31:K31))-1)*100</f>
        <v>1.301775147928974</v>
      </c>
    </row>
    <row r="33" spans="1:19" s="444" customFormat="1" ht="10.5" customHeight="1">
      <c r="A33" s="439"/>
      <c r="B33" s="440">
        <v>2006</v>
      </c>
      <c r="C33" s="435">
        <v>33.1</v>
      </c>
      <c r="D33" s="435">
        <v>24.9</v>
      </c>
      <c r="E33" s="435">
        <v>35.6</v>
      </c>
      <c r="F33" s="435">
        <v>44.4</v>
      </c>
      <c r="G33" s="435">
        <v>27.1</v>
      </c>
      <c r="H33" s="435">
        <v>27.9</v>
      </c>
      <c r="I33" s="435">
        <v>24</v>
      </c>
      <c r="J33" s="435">
        <v>28.4</v>
      </c>
      <c r="K33" s="435">
        <v>47.1</v>
      </c>
      <c r="L33" s="435">
        <v>20.9</v>
      </c>
      <c r="M33" s="435">
        <v>34.5</v>
      </c>
      <c r="N33" s="435">
        <v>41.7</v>
      </c>
      <c r="O33" s="435">
        <v>32.3</v>
      </c>
      <c r="P33" s="441"/>
      <c r="Q33" s="168">
        <f>((+M33/M32)-1)*100</f>
        <v>46.18644067796609</v>
      </c>
      <c r="R33" s="168"/>
      <c r="S33" s="445">
        <f>+((AVERAGE(I33:K33)/AVERAGE(I32:K32))-1)*100</f>
        <v>16.238317757009348</v>
      </c>
    </row>
    <row r="34" spans="1:19" s="59" customFormat="1" ht="10.5" customHeight="1">
      <c r="A34" s="72"/>
      <c r="B34" s="329">
        <v>2007</v>
      </c>
      <c r="C34" s="334">
        <v>45.7</v>
      </c>
      <c r="D34" s="331">
        <v>29.4</v>
      </c>
      <c r="E34" s="331">
        <v>51.4</v>
      </c>
      <c r="F34" s="331">
        <v>51.6</v>
      </c>
      <c r="G34" s="331">
        <v>24.9</v>
      </c>
      <c r="H34" s="331">
        <v>30</v>
      </c>
      <c r="I34" s="331">
        <v>22.3</v>
      </c>
      <c r="J34" s="331">
        <v>27.9</v>
      </c>
      <c r="K34" s="331">
        <v>27.2</v>
      </c>
      <c r="L34" s="331">
        <v>46.2</v>
      </c>
      <c r="M34" s="331">
        <v>26.6</v>
      </c>
      <c r="N34" s="331">
        <v>52.4</v>
      </c>
      <c r="O34" s="331">
        <v>34.3</v>
      </c>
      <c r="P34" s="332"/>
      <c r="Q34" s="168">
        <f>((+M34/M33)-1)*100</f>
        <v>-22.89855072463768</v>
      </c>
      <c r="R34" s="442"/>
      <c r="S34" s="445">
        <f>+((AVERAGE(I34:K34)/AVERAGE(I33:K33))-1)*100</f>
        <v>-22.2110552763819</v>
      </c>
    </row>
    <row r="35" spans="1:19" s="59" customFormat="1" ht="10.5" customHeight="1">
      <c r="A35" s="72"/>
      <c r="B35" s="329">
        <v>2008</v>
      </c>
      <c r="C35" s="334">
        <v>53.4</v>
      </c>
      <c r="D35" s="331">
        <v>30.2</v>
      </c>
      <c r="E35" s="331">
        <v>41.7</v>
      </c>
      <c r="F35" s="331">
        <v>63.6</v>
      </c>
      <c r="G35" s="331">
        <v>24.9</v>
      </c>
      <c r="H35" s="331">
        <v>53.9</v>
      </c>
      <c r="I35" s="331">
        <v>38.2</v>
      </c>
      <c r="J35" s="331">
        <v>43.2</v>
      </c>
      <c r="K35" s="331">
        <v>29.5</v>
      </c>
      <c r="L35" s="331">
        <v>48.5</v>
      </c>
      <c r="M35" s="331">
        <v>27.3</v>
      </c>
      <c r="N35" s="331"/>
      <c r="O35" s="331"/>
      <c r="P35" s="332"/>
      <c r="Q35" s="168">
        <f>((+M35/M34)-1)*100</f>
        <v>2.6315789473684292</v>
      </c>
      <c r="R35" s="442"/>
      <c r="S35" s="445">
        <f>+((AVERAGE(I35:K35)/AVERAGE(I34:K34))-1)*100</f>
        <v>43.28165374677002</v>
      </c>
    </row>
    <row r="36" spans="1:19" s="59" customFormat="1" ht="3" customHeight="1">
      <c r="A36" s="72"/>
      <c r="B36" s="69"/>
      <c r="C36" s="70"/>
      <c r="D36" s="70"/>
      <c r="E36" s="70"/>
      <c r="F36" s="70"/>
      <c r="G36" s="70"/>
      <c r="H36" s="70"/>
      <c r="I36" s="70"/>
      <c r="J36" s="70"/>
      <c r="K36" s="70"/>
      <c r="L36" s="70"/>
      <c r="M36" s="70"/>
      <c r="N36" s="70"/>
      <c r="O36" s="70"/>
      <c r="P36" s="87"/>
      <c r="Q36" s="442"/>
      <c r="R36" s="442"/>
      <c r="S36" s="444"/>
    </row>
    <row r="37" spans="1:19" s="59" customFormat="1" ht="10.5" customHeight="1">
      <c r="A37" s="256" t="s">
        <v>115</v>
      </c>
      <c r="B37" s="69">
        <v>2004</v>
      </c>
      <c r="C37" s="70">
        <v>20.8</v>
      </c>
      <c r="D37" s="70">
        <v>24.4</v>
      </c>
      <c r="E37" s="70">
        <v>13.9</v>
      </c>
      <c r="F37" s="70">
        <v>15.6</v>
      </c>
      <c r="G37" s="70">
        <v>15</v>
      </c>
      <c r="H37" s="70">
        <v>13.8</v>
      </c>
      <c r="I37" s="70">
        <v>11.6</v>
      </c>
      <c r="J37" s="70">
        <v>9.25</v>
      </c>
      <c r="K37" s="70">
        <v>11.2</v>
      </c>
      <c r="L37" s="70">
        <v>14.6</v>
      </c>
      <c r="M37" s="70">
        <v>18.1</v>
      </c>
      <c r="N37" s="70">
        <v>13.4</v>
      </c>
      <c r="O37" s="70">
        <v>14.8</v>
      </c>
      <c r="Q37" s="436" t="s">
        <v>408</v>
      </c>
      <c r="R37" s="168"/>
      <c r="S37" s="443" t="s">
        <v>352</v>
      </c>
    </row>
    <row r="38" spans="1:19" s="59" customFormat="1" ht="10.5" customHeight="1">
      <c r="A38" s="72"/>
      <c r="B38" s="69">
        <v>2005</v>
      </c>
      <c r="C38" s="70">
        <v>12.9</v>
      </c>
      <c r="D38" s="70">
        <v>22.9</v>
      </c>
      <c r="E38" s="70">
        <v>28.4</v>
      </c>
      <c r="F38" s="70">
        <v>20.8</v>
      </c>
      <c r="G38" s="70">
        <v>15.5</v>
      </c>
      <c r="H38" s="70">
        <v>9.62</v>
      </c>
      <c r="I38" s="70">
        <v>9.69</v>
      </c>
      <c r="J38" s="70">
        <v>9.82</v>
      </c>
      <c r="K38" s="70">
        <v>12</v>
      </c>
      <c r="L38" s="70">
        <v>11.7</v>
      </c>
      <c r="M38" s="70">
        <v>13.1</v>
      </c>
      <c r="N38" s="70">
        <v>10.7</v>
      </c>
      <c r="O38" s="70">
        <v>13.9</v>
      </c>
      <c r="P38" s="87"/>
      <c r="Q38" s="168">
        <f>((+M38/M37)-1)*100</f>
        <v>-27.6243093922652</v>
      </c>
      <c r="R38" s="168"/>
      <c r="S38" s="445">
        <f>+((AVERAGE(I38:K38)/AVERAGE(I37:K37))-1)*100</f>
        <v>-1.6848673946957882</v>
      </c>
    </row>
    <row r="39" spans="1:19" s="444" customFormat="1" ht="10.5" customHeight="1">
      <c r="A39" s="439"/>
      <c r="B39" s="440">
        <v>2006</v>
      </c>
      <c r="C39" s="435">
        <v>9.64</v>
      </c>
      <c r="D39" s="435">
        <v>10.8</v>
      </c>
      <c r="E39" s="435">
        <v>14.9</v>
      </c>
      <c r="F39" s="435">
        <v>16.6</v>
      </c>
      <c r="G39" s="435">
        <v>12.7</v>
      </c>
      <c r="H39" s="435">
        <v>17.8</v>
      </c>
      <c r="I39" s="435">
        <v>21</v>
      </c>
      <c r="J39" s="435">
        <v>23.2</v>
      </c>
      <c r="K39" s="435">
        <v>27.7</v>
      </c>
      <c r="L39" s="435">
        <v>27</v>
      </c>
      <c r="M39" s="435">
        <v>22</v>
      </c>
      <c r="N39" s="435">
        <v>20.2</v>
      </c>
      <c r="O39" s="435">
        <v>18.2</v>
      </c>
      <c r="P39" s="441"/>
      <c r="Q39" s="168">
        <f>((+M39/M38)-1)*100</f>
        <v>67.93893129770994</v>
      </c>
      <c r="R39" s="168"/>
      <c r="S39" s="445">
        <f>+((AVERAGE(I39:K39)/AVERAGE(I38:K38))-1)*100</f>
        <v>128.18152967311968</v>
      </c>
    </row>
    <row r="40" spans="1:19" s="59" customFormat="1" ht="10.5" customHeight="1">
      <c r="A40" s="72"/>
      <c r="B40" s="329">
        <v>2007</v>
      </c>
      <c r="C40" s="334">
        <v>33.9</v>
      </c>
      <c r="D40" s="331">
        <v>58.9</v>
      </c>
      <c r="E40" s="331">
        <v>31.9</v>
      </c>
      <c r="F40" s="331">
        <v>18.8</v>
      </c>
      <c r="G40" s="331">
        <v>18.3</v>
      </c>
      <c r="H40" s="331">
        <v>11.6</v>
      </c>
      <c r="I40" s="331">
        <v>11.6</v>
      </c>
      <c r="J40" s="331">
        <v>9.64</v>
      </c>
      <c r="K40" s="331">
        <v>13.8</v>
      </c>
      <c r="L40" s="331">
        <v>13.3</v>
      </c>
      <c r="M40" s="331">
        <v>18.6</v>
      </c>
      <c r="N40" s="331">
        <v>13.5</v>
      </c>
      <c r="O40" s="331">
        <v>20.4</v>
      </c>
      <c r="P40" s="332"/>
      <c r="Q40" s="168">
        <f>((+M40/M39)-1)*100</f>
        <v>-15.454545454545443</v>
      </c>
      <c r="R40" s="442"/>
      <c r="S40" s="445">
        <f>+((AVERAGE(I40:K40)/AVERAGE(I39:K39))-1)*100</f>
        <v>-51.26564673157162</v>
      </c>
    </row>
    <row r="41" spans="1:19" s="59" customFormat="1" ht="10.5" customHeight="1">
      <c r="A41" s="72"/>
      <c r="B41" s="329">
        <v>2008</v>
      </c>
      <c r="C41" s="334">
        <v>16.2</v>
      </c>
      <c r="D41" s="331">
        <v>13.2</v>
      </c>
      <c r="E41" s="331">
        <v>13.4</v>
      </c>
      <c r="F41" s="331">
        <v>14</v>
      </c>
      <c r="G41" s="331">
        <v>18.3</v>
      </c>
      <c r="H41" s="331">
        <v>30.1</v>
      </c>
      <c r="I41" s="331">
        <v>22.4</v>
      </c>
      <c r="J41" s="331">
        <v>12.9</v>
      </c>
      <c r="K41" s="331">
        <v>12.5</v>
      </c>
      <c r="L41" s="331">
        <v>17.2</v>
      </c>
      <c r="M41" s="331">
        <v>17.7</v>
      </c>
      <c r="N41" s="331"/>
      <c r="O41" s="331"/>
      <c r="P41" s="332"/>
      <c r="Q41" s="168">
        <f>((+M41/M40)-1)*100</f>
        <v>-4.838709677419361</v>
      </c>
      <c r="R41" s="442"/>
      <c r="S41" s="445">
        <f>+((AVERAGE(I41:K41)/AVERAGE(I40:K40))-1)*100</f>
        <v>36.41552511415522</v>
      </c>
    </row>
    <row r="42" spans="1:19" s="59" customFormat="1" ht="3" customHeight="1">
      <c r="A42" s="72"/>
      <c r="B42" s="69"/>
      <c r="C42" s="70"/>
      <c r="D42" s="70"/>
      <c r="E42" s="70"/>
      <c r="F42" s="70"/>
      <c r="G42" s="70"/>
      <c r="H42" s="70"/>
      <c r="I42" s="70"/>
      <c r="J42" s="70"/>
      <c r="K42" s="70"/>
      <c r="L42" s="70"/>
      <c r="M42" s="70"/>
      <c r="N42" s="70"/>
      <c r="O42" s="70"/>
      <c r="P42" s="87"/>
      <c r="Q42" s="444"/>
      <c r="R42" s="442"/>
      <c r="S42" s="444"/>
    </row>
    <row r="43" spans="1:19" s="59" customFormat="1" ht="10.5" customHeight="1">
      <c r="A43" s="256" t="s">
        <v>116</v>
      </c>
      <c r="B43" s="69">
        <v>2004</v>
      </c>
      <c r="C43" s="70">
        <v>30.3</v>
      </c>
      <c r="D43" s="70">
        <v>20.9</v>
      </c>
      <c r="E43" s="70">
        <v>20.3</v>
      </c>
      <c r="F43" s="70">
        <v>17.2</v>
      </c>
      <c r="G43" s="70">
        <v>15.6</v>
      </c>
      <c r="H43" s="70">
        <v>12.5</v>
      </c>
      <c r="I43" s="70">
        <v>16.6</v>
      </c>
      <c r="J43" s="70">
        <v>20.9</v>
      </c>
      <c r="K43" s="70">
        <v>21.3</v>
      </c>
      <c r="L43" s="70">
        <v>27.5</v>
      </c>
      <c r="M43" s="70">
        <v>29.3</v>
      </c>
      <c r="N43" s="70">
        <v>18.1</v>
      </c>
      <c r="O43" s="70">
        <v>19.3</v>
      </c>
      <c r="Q43" s="436" t="s">
        <v>408</v>
      </c>
      <c r="R43" s="168"/>
      <c r="S43" s="443" t="s">
        <v>352</v>
      </c>
    </row>
    <row r="44" spans="1:19" s="59" customFormat="1" ht="10.5" customHeight="1">
      <c r="A44" s="72"/>
      <c r="B44" s="69">
        <v>2005</v>
      </c>
      <c r="C44" s="70">
        <v>21.3</v>
      </c>
      <c r="D44" s="70">
        <v>28.6</v>
      </c>
      <c r="E44" s="70">
        <v>26.1</v>
      </c>
      <c r="F44" s="70">
        <v>21.5</v>
      </c>
      <c r="G44" s="70">
        <v>18</v>
      </c>
      <c r="H44" s="70">
        <v>22.5</v>
      </c>
      <c r="I44" s="70">
        <v>22.3</v>
      </c>
      <c r="J44" s="70">
        <v>20.4</v>
      </c>
      <c r="K44" s="70">
        <v>24.7</v>
      </c>
      <c r="L44" s="70">
        <v>25.5</v>
      </c>
      <c r="M44" s="70">
        <v>25.7</v>
      </c>
      <c r="N44" s="70">
        <v>22.4</v>
      </c>
      <c r="O44" s="70">
        <v>22.1</v>
      </c>
      <c r="P44" s="87"/>
      <c r="Q44" s="168">
        <f>((+M44/M43)-1)*100</f>
        <v>-12.286689419795227</v>
      </c>
      <c r="R44" s="168"/>
      <c r="S44" s="445">
        <f>+((AVERAGE(I44:K44)/AVERAGE(I43:K43))-1)*100</f>
        <v>14.625850340136083</v>
      </c>
    </row>
    <row r="45" spans="1:19" s="444" customFormat="1" ht="10.5" customHeight="1">
      <c r="A45" s="439"/>
      <c r="B45" s="440">
        <v>2006</v>
      </c>
      <c r="C45" s="435">
        <v>35</v>
      </c>
      <c r="D45" s="435">
        <v>35</v>
      </c>
      <c r="E45" s="435">
        <v>34</v>
      </c>
      <c r="F45" s="435">
        <v>27.1</v>
      </c>
      <c r="G45" s="435">
        <v>15.4</v>
      </c>
      <c r="H45" s="435">
        <v>21.5</v>
      </c>
      <c r="I45" s="435">
        <v>21</v>
      </c>
      <c r="J45" s="435">
        <v>21.7</v>
      </c>
      <c r="K45" s="435">
        <v>25.1</v>
      </c>
      <c r="L45" s="435">
        <v>21.1</v>
      </c>
      <c r="M45" s="435">
        <v>20.7</v>
      </c>
      <c r="N45" s="435">
        <v>20.8</v>
      </c>
      <c r="O45" s="435">
        <v>22.9</v>
      </c>
      <c r="P45" s="441"/>
      <c r="Q45" s="168">
        <f>((+M45/M44)-1)*100</f>
        <v>-19.455252918287936</v>
      </c>
      <c r="R45" s="168"/>
      <c r="S45" s="445">
        <f>+((AVERAGE(I45:K45)/AVERAGE(I44:K44))-1)*100</f>
        <v>0.5934718100890413</v>
      </c>
    </row>
    <row r="46" spans="1:19" s="59" customFormat="1" ht="10.5" customHeight="1">
      <c r="A46" s="72"/>
      <c r="B46" s="329">
        <v>2007</v>
      </c>
      <c r="C46" s="334">
        <v>27.4</v>
      </c>
      <c r="D46" s="331">
        <v>23.7</v>
      </c>
      <c r="E46" s="331">
        <v>30.2</v>
      </c>
      <c r="F46" s="331">
        <v>25.6</v>
      </c>
      <c r="G46" s="331">
        <v>21.4</v>
      </c>
      <c r="H46" s="331">
        <v>17.3</v>
      </c>
      <c r="I46" s="331">
        <v>22.2</v>
      </c>
      <c r="J46" s="331">
        <v>22.8</v>
      </c>
      <c r="K46" s="331">
        <v>23.2</v>
      </c>
      <c r="L46" s="331">
        <v>21.4</v>
      </c>
      <c r="M46" s="331">
        <v>20.6</v>
      </c>
      <c r="N46" s="331">
        <v>34.1</v>
      </c>
      <c r="O46" s="331">
        <v>22.2</v>
      </c>
      <c r="P46" s="332"/>
      <c r="Q46" s="168">
        <f>((+M46/M45)-1)*100</f>
        <v>-0.48309178743960457</v>
      </c>
      <c r="R46" s="442"/>
      <c r="S46" s="445">
        <f>+((AVERAGE(I46:K46)/AVERAGE(I45:K45))-1)*100</f>
        <v>0.5899705014749124</v>
      </c>
    </row>
    <row r="47" spans="1:19" s="59" customFormat="1" ht="10.5" customHeight="1">
      <c r="A47" s="72"/>
      <c r="B47" s="329">
        <v>2008</v>
      </c>
      <c r="C47" s="334">
        <v>30.8</v>
      </c>
      <c r="D47" s="331">
        <v>23</v>
      </c>
      <c r="E47" s="331">
        <v>28.6</v>
      </c>
      <c r="F47" s="331">
        <v>21</v>
      </c>
      <c r="G47" s="331">
        <v>22.6</v>
      </c>
      <c r="H47" s="331">
        <v>19.2</v>
      </c>
      <c r="I47" s="331">
        <v>28.1</v>
      </c>
      <c r="J47" s="331">
        <v>25.6</v>
      </c>
      <c r="K47" s="331">
        <v>24.2</v>
      </c>
      <c r="L47" s="331">
        <v>32.7</v>
      </c>
      <c r="M47" s="331">
        <v>32.7</v>
      </c>
      <c r="N47" s="331"/>
      <c r="O47" s="331"/>
      <c r="P47" s="332"/>
      <c r="Q47" s="168">
        <f>((+M47/M46)-1)*100</f>
        <v>58.7378640776699</v>
      </c>
      <c r="R47" s="442"/>
      <c r="S47" s="445">
        <f>+((AVERAGE(I47:K47)/AVERAGE(I46:K46))-1)*100</f>
        <v>14.222873900293266</v>
      </c>
    </row>
    <row r="48" spans="1:19" s="59" customFormat="1" ht="3" customHeight="1">
      <c r="A48" s="72"/>
      <c r="B48" s="69"/>
      <c r="C48" s="70"/>
      <c r="D48" s="70"/>
      <c r="E48" s="70"/>
      <c r="F48" s="70"/>
      <c r="G48" s="70"/>
      <c r="H48" s="70"/>
      <c r="I48" s="70"/>
      <c r="J48" s="70"/>
      <c r="K48" s="70"/>
      <c r="L48" s="70"/>
      <c r="M48" s="70"/>
      <c r="N48" s="68"/>
      <c r="O48" s="68"/>
      <c r="P48" s="87"/>
      <c r="Q48" s="168"/>
      <c r="R48" s="442"/>
      <c r="S48" s="444"/>
    </row>
    <row r="49" spans="1:19" s="59" customFormat="1" ht="10.5" customHeight="1">
      <c r="A49" s="254" t="s">
        <v>70</v>
      </c>
      <c r="B49" s="69">
        <v>2004</v>
      </c>
      <c r="C49" s="75">
        <v>28.1</v>
      </c>
      <c r="D49" s="75">
        <v>22.2</v>
      </c>
      <c r="E49" s="75">
        <v>30.3</v>
      </c>
      <c r="F49" s="75">
        <v>23.3</v>
      </c>
      <c r="G49" s="75">
        <v>13.6</v>
      </c>
      <c r="H49" s="75">
        <v>15.5</v>
      </c>
      <c r="I49" s="75">
        <v>18.2</v>
      </c>
      <c r="J49" s="75">
        <v>23.6</v>
      </c>
      <c r="K49" s="75">
        <v>25</v>
      </c>
      <c r="L49" s="75">
        <v>23.7</v>
      </c>
      <c r="M49" s="75">
        <v>18.7</v>
      </c>
      <c r="N49" s="71" t="s">
        <v>112</v>
      </c>
      <c r="O49" s="70">
        <v>20.2</v>
      </c>
      <c r="Q49" s="436" t="s">
        <v>408</v>
      </c>
      <c r="R49" s="168"/>
      <c r="S49" s="443" t="s">
        <v>352</v>
      </c>
    </row>
    <row r="50" spans="1:19" s="59" customFormat="1" ht="10.5" customHeight="1">
      <c r="A50" s="72"/>
      <c r="B50" s="69">
        <v>2005</v>
      </c>
      <c r="C50" s="75">
        <v>20.2</v>
      </c>
      <c r="D50" s="75">
        <v>17.2</v>
      </c>
      <c r="E50" s="75">
        <v>32.6</v>
      </c>
      <c r="F50" s="75">
        <v>29.3</v>
      </c>
      <c r="G50" s="75">
        <v>30.7</v>
      </c>
      <c r="H50" s="75">
        <v>28.7</v>
      </c>
      <c r="I50" s="75">
        <v>15.7</v>
      </c>
      <c r="J50" s="75">
        <v>21.1</v>
      </c>
      <c r="K50" s="75">
        <v>20.1</v>
      </c>
      <c r="L50" s="75">
        <v>23.1</v>
      </c>
      <c r="M50" s="75">
        <v>32.6</v>
      </c>
      <c r="N50" s="75">
        <v>53.1</v>
      </c>
      <c r="O50" s="70">
        <v>23</v>
      </c>
      <c r="P50" s="87"/>
      <c r="Q50" s="168">
        <f>((+M50/M49)-1)*100</f>
        <v>74.33155080213905</v>
      </c>
      <c r="R50" s="168"/>
      <c r="S50" s="445">
        <f>+((AVERAGE(I50:K50)/AVERAGE(I49:K49))-1)*100</f>
        <v>-14.820359281437135</v>
      </c>
    </row>
    <row r="51" spans="1:19" s="444" customFormat="1" ht="10.5" customHeight="1">
      <c r="A51" s="439"/>
      <c r="B51" s="440">
        <v>2006</v>
      </c>
      <c r="C51" s="437">
        <v>23.9</v>
      </c>
      <c r="D51" s="437">
        <v>27.7</v>
      </c>
      <c r="E51" s="437">
        <v>40.7</v>
      </c>
      <c r="F51" s="437">
        <v>29.4</v>
      </c>
      <c r="G51" s="437">
        <v>21.3</v>
      </c>
      <c r="H51" s="437">
        <v>24.3</v>
      </c>
      <c r="I51" s="437">
        <v>26.8</v>
      </c>
      <c r="J51" s="437">
        <v>27.2</v>
      </c>
      <c r="K51" s="437">
        <v>22.5</v>
      </c>
      <c r="L51" s="437">
        <v>18.5</v>
      </c>
      <c r="M51" s="437">
        <v>29.6</v>
      </c>
      <c r="N51" s="437">
        <v>27</v>
      </c>
      <c r="O51" s="435">
        <v>25.3</v>
      </c>
      <c r="P51" s="441"/>
      <c r="Q51" s="168">
        <f>((+M51/M50)-1)*100</f>
        <v>-9.202453987730063</v>
      </c>
      <c r="R51" s="168"/>
      <c r="S51" s="445">
        <f>+((AVERAGE(I51:K51)/AVERAGE(I50:K50))-1)*100</f>
        <v>34.446397188049225</v>
      </c>
    </row>
    <row r="52" spans="1:19" s="59" customFormat="1" ht="10.5" customHeight="1">
      <c r="A52" s="72"/>
      <c r="B52" s="329">
        <v>2007</v>
      </c>
      <c r="C52" s="334">
        <v>30.8</v>
      </c>
      <c r="D52" s="334">
        <v>35.3</v>
      </c>
      <c r="E52" s="334">
        <v>33.6</v>
      </c>
      <c r="F52" s="334">
        <v>21.4</v>
      </c>
      <c r="G52" s="334">
        <v>28.5</v>
      </c>
      <c r="H52" s="334">
        <v>23.2</v>
      </c>
      <c r="I52" s="334">
        <v>18.9</v>
      </c>
      <c r="J52" s="334">
        <v>24.6</v>
      </c>
      <c r="K52" s="334">
        <v>29.1</v>
      </c>
      <c r="L52" s="334">
        <v>25</v>
      </c>
      <c r="M52" s="334">
        <v>22</v>
      </c>
      <c r="N52" s="334">
        <v>18.5</v>
      </c>
      <c r="O52" s="331">
        <v>24.4</v>
      </c>
      <c r="P52" s="332"/>
      <c r="Q52" s="168">
        <f>((+M52/M51)-1)*100</f>
        <v>-25.67567567567568</v>
      </c>
      <c r="R52" s="442"/>
      <c r="S52" s="445">
        <f>+((AVERAGE(I52:K52)/AVERAGE(I51:K51))-1)*100</f>
        <v>-5.098039215686279</v>
      </c>
    </row>
    <row r="53" spans="1:19" s="59" customFormat="1" ht="10.5" customHeight="1">
      <c r="A53" s="72"/>
      <c r="B53" s="329">
        <v>2008</v>
      </c>
      <c r="C53" s="334">
        <v>38.4</v>
      </c>
      <c r="D53" s="330" t="s">
        <v>249</v>
      </c>
      <c r="E53" s="334">
        <v>20.5</v>
      </c>
      <c r="F53" s="334">
        <v>24.4</v>
      </c>
      <c r="G53" s="334">
        <v>21.9</v>
      </c>
      <c r="H53" s="334">
        <v>36.2</v>
      </c>
      <c r="I53" s="334">
        <v>23.1</v>
      </c>
      <c r="J53" s="334">
        <v>24.4</v>
      </c>
      <c r="K53" s="334">
        <v>30.7</v>
      </c>
      <c r="L53" s="334">
        <v>29.2</v>
      </c>
      <c r="M53" s="334">
        <v>49</v>
      </c>
      <c r="N53" s="334"/>
      <c r="O53" s="331"/>
      <c r="P53" s="332"/>
      <c r="Q53" s="168">
        <f>((+M53/M52)-1)*100</f>
        <v>122.7272727272727</v>
      </c>
      <c r="R53" s="442"/>
      <c r="S53" s="445">
        <f>+((AVERAGE(I53:K53)/AVERAGE(I52:K52))-1)*100</f>
        <v>7.713498622589543</v>
      </c>
    </row>
    <row r="54" spans="1:19" s="59" customFormat="1" ht="3" customHeight="1">
      <c r="A54" s="72"/>
      <c r="B54" s="69"/>
      <c r="C54" s="70"/>
      <c r="D54" s="70"/>
      <c r="E54" s="70"/>
      <c r="F54" s="70"/>
      <c r="G54" s="70"/>
      <c r="H54" s="70"/>
      <c r="I54" s="70"/>
      <c r="J54" s="70"/>
      <c r="K54" s="70"/>
      <c r="L54" s="70"/>
      <c r="M54" s="70"/>
      <c r="N54" s="70"/>
      <c r="O54" s="70"/>
      <c r="P54" s="87"/>
      <c r="Q54" s="444"/>
      <c r="R54" s="442"/>
      <c r="S54" s="444"/>
    </row>
    <row r="55" spans="1:19" s="59" customFormat="1" ht="10.5" customHeight="1">
      <c r="A55" s="256" t="s">
        <v>117</v>
      </c>
      <c r="B55" s="69">
        <v>2004</v>
      </c>
      <c r="C55" s="70">
        <v>16</v>
      </c>
      <c r="D55" s="70">
        <v>19.7</v>
      </c>
      <c r="E55" s="70">
        <v>10.5</v>
      </c>
      <c r="F55" s="70">
        <v>14.8</v>
      </c>
      <c r="G55" s="70">
        <v>10.5</v>
      </c>
      <c r="H55" s="70">
        <v>13.3</v>
      </c>
      <c r="I55" s="70">
        <v>10.7</v>
      </c>
      <c r="J55" s="70">
        <v>17.1</v>
      </c>
      <c r="K55" s="70">
        <v>15.2</v>
      </c>
      <c r="L55" s="70">
        <v>24.1</v>
      </c>
      <c r="M55" s="70">
        <v>14.1</v>
      </c>
      <c r="N55" s="70">
        <v>13.6</v>
      </c>
      <c r="O55" s="70">
        <v>16.9</v>
      </c>
      <c r="Q55" s="436" t="s">
        <v>408</v>
      </c>
      <c r="R55" s="168"/>
      <c r="S55" s="443" t="s">
        <v>352</v>
      </c>
    </row>
    <row r="56" spans="1:19" s="59" customFormat="1" ht="10.5" customHeight="1">
      <c r="A56" s="72"/>
      <c r="B56" s="69">
        <v>2005</v>
      </c>
      <c r="C56" s="70">
        <v>11.5</v>
      </c>
      <c r="D56" s="70">
        <v>11.7</v>
      </c>
      <c r="E56" s="70">
        <v>27.8</v>
      </c>
      <c r="F56" s="70">
        <v>30.1</v>
      </c>
      <c r="G56" s="70">
        <v>13.9</v>
      </c>
      <c r="H56" s="70">
        <v>17.3</v>
      </c>
      <c r="I56" s="70">
        <v>11</v>
      </c>
      <c r="J56" s="70">
        <v>13.5</v>
      </c>
      <c r="K56" s="70">
        <v>12.7</v>
      </c>
      <c r="L56" s="70">
        <v>12.4</v>
      </c>
      <c r="M56" s="70">
        <v>9.81</v>
      </c>
      <c r="N56" s="70">
        <v>16.1</v>
      </c>
      <c r="O56" s="70">
        <v>15.5</v>
      </c>
      <c r="P56" s="87"/>
      <c r="Q56" s="168">
        <f>((+M56/M55)-1)*100</f>
        <v>-30.42553191489361</v>
      </c>
      <c r="R56" s="168"/>
      <c r="S56" s="445">
        <f>+((AVERAGE(I56:K56)/AVERAGE(I55:K55))-1)*100</f>
        <v>-13.48837209302326</v>
      </c>
    </row>
    <row r="57" spans="1:19" s="444" customFormat="1" ht="10.5" customHeight="1">
      <c r="A57" s="439"/>
      <c r="B57" s="440">
        <v>2006</v>
      </c>
      <c r="C57" s="435">
        <v>10.6</v>
      </c>
      <c r="D57" s="435">
        <v>12.1</v>
      </c>
      <c r="E57" s="435">
        <v>19.1</v>
      </c>
      <c r="F57" s="435">
        <v>22.4</v>
      </c>
      <c r="G57" s="435">
        <v>33.7</v>
      </c>
      <c r="H57" s="435">
        <v>11.8</v>
      </c>
      <c r="I57" s="435">
        <v>12.2</v>
      </c>
      <c r="J57" s="435">
        <v>20.7</v>
      </c>
      <c r="K57" s="435">
        <v>16.3</v>
      </c>
      <c r="L57" s="435">
        <v>11.8</v>
      </c>
      <c r="M57" s="435">
        <v>12.5</v>
      </c>
      <c r="N57" s="435">
        <v>22.2</v>
      </c>
      <c r="O57" s="435">
        <v>16.9</v>
      </c>
      <c r="P57" s="441"/>
      <c r="Q57" s="168">
        <f>((+M57/M56)-1)*100</f>
        <v>27.420998980631992</v>
      </c>
      <c r="R57" s="168"/>
      <c r="S57" s="445">
        <f>+((AVERAGE(I57:K57)/AVERAGE(I56:K56))-1)*100</f>
        <v>32.258064516129046</v>
      </c>
    </row>
    <row r="58" spans="1:19" s="59" customFormat="1" ht="10.5" customHeight="1">
      <c r="A58" s="72"/>
      <c r="B58" s="329">
        <v>2007</v>
      </c>
      <c r="C58" s="334">
        <v>20.8</v>
      </c>
      <c r="D58" s="331">
        <v>15.5</v>
      </c>
      <c r="E58" s="331">
        <v>29.7</v>
      </c>
      <c r="F58" s="331">
        <v>17.8</v>
      </c>
      <c r="G58" s="331">
        <v>13.6</v>
      </c>
      <c r="H58" s="331">
        <v>17.8</v>
      </c>
      <c r="I58" s="331">
        <v>17.3</v>
      </c>
      <c r="J58" s="331">
        <v>23.1</v>
      </c>
      <c r="K58" s="331">
        <v>29.2</v>
      </c>
      <c r="L58" s="331">
        <v>44.4</v>
      </c>
      <c r="M58" s="331">
        <v>17.4</v>
      </c>
      <c r="N58" s="331">
        <v>16</v>
      </c>
      <c r="O58" s="331">
        <v>22</v>
      </c>
      <c r="P58" s="332"/>
      <c r="Q58" s="168">
        <f>((+M58/M57)-1)*100</f>
        <v>39.19999999999999</v>
      </c>
      <c r="R58" s="442"/>
      <c r="S58" s="445">
        <f>+((AVERAGE(I58:K58)/AVERAGE(I57:K57))-1)*100</f>
        <v>41.46341463414633</v>
      </c>
    </row>
    <row r="59" spans="1:19" s="59" customFormat="1" ht="10.5" customHeight="1">
      <c r="A59" s="72"/>
      <c r="B59" s="329">
        <v>2008</v>
      </c>
      <c r="C59" s="334">
        <v>17.5</v>
      </c>
      <c r="D59" s="331">
        <v>13.3</v>
      </c>
      <c r="E59" s="331">
        <v>14.8</v>
      </c>
      <c r="F59" s="331">
        <v>21.7</v>
      </c>
      <c r="G59" s="331">
        <v>13.6</v>
      </c>
      <c r="H59" s="331">
        <v>17.7</v>
      </c>
      <c r="I59" s="331">
        <v>17.3</v>
      </c>
      <c r="J59" s="331">
        <v>17.2</v>
      </c>
      <c r="K59" s="331">
        <v>31.9</v>
      </c>
      <c r="L59" s="331">
        <v>32.9</v>
      </c>
      <c r="M59" s="331">
        <v>18.2</v>
      </c>
      <c r="N59" s="331"/>
      <c r="O59" s="331"/>
      <c r="P59" s="332"/>
      <c r="Q59" s="168">
        <f>((+M59/M58)-1)*100</f>
        <v>4.597701149425282</v>
      </c>
      <c r="R59" s="442"/>
      <c r="S59" s="445">
        <f>+((AVERAGE(I59:K59)/AVERAGE(I58:K58))-1)*100</f>
        <v>-4.597701149425282</v>
      </c>
    </row>
    <row r="60" spans="1:19" s="59" customFormat="1" ht="3" customHeight="1">
      <c r="A60" s="72"/>
      <c r="B60" s="69"/>
      <c r="C60" s="70"/>
      <c r="D60" s="70"/>
      <c r="E60" s="70"/>
      <c r="F60" s="70"/>
      <c r="G60" s="70"/>
      <c r="H60" s="70"/>
      <c r="I60" s="70"/>
      <c r="J60" s="70"/>
      <c r="K60" s="70"/>
      <c r="L60" s="70"/>
      <c r="M60" s="70"/>
      <c r="N60" s="70"/>
      <c r="O60" s="70"/>
      <c r="P60" s="87"/>
      <c r="Q60" s="442"/>
      <c r="R60" s="442"/>
      <c r="S60" s="445"/>
    </row>
    <row r="61" spans="1:20" s="59" customFormat="1" ht="10.5" customHeight="1">
      <c r="A61" s="257" t="s">
        <v>351</v>
      </c>
      <c r="B61" s="69">
        <v>2004</v>
      </c>
      <c r="C61" s="78">
        <v>13.1</v>
      </c>
      <c r="D61" s="70">
        <v>12.2</v>
      </c>
      <c r="E61" s="70">
        <v>11.6</v>
      </c>
      <c r="F61" s="70">
        <v>19.4</v>
      </c>
      <c r="G61" s="70">
        <v>17.6</v>
      </c>
      <c r="H61" s="70">
        <v>16.1</v>
      </c>
      <c r="I61" s="70">
        <v>13</v>
      </c>
      <c r="J61" s="70">
        <v>9.92</v>
      </c>
      <c r="K61" s="70">
        <v>8.44</v>
      </c>
      <c r="L61" s="70">
        <v>6.27</v>
      </c>
      <c r="M61" s="70">
        <v>6.28</v>
      </c>
      <c r="N61" s="70">
        <v>5.76</v>
      </c>
      <c r="O61" s="70">
        <v>9.06</v>
      </c>
      <c r="Q61" s="436" t="s">
        <v>408</v>
      </c>
      <c r="R61" s="168"/>
      <c r="S61" s="443" t="s">
        <v>352</v>
      </c>
      <c r="T61" s="435"/>
    </row>
    <row r="62" spans="1:20" s="59" customFormat="1" ht="10.5" customHeight="1">
      <c r="A62" s="257" t="s">
        <v>350</v>
      </c>
      <c r="B62" s="69">
        <v>2005</v>
      </c>
      <c r="C62" s="78">
        <v>5.1</v>
      </c>
      <c r="D62" s="70">
        <v>4.23</v>
      </c>
      <c r="E62" s="70">
        <v>4.44</v>
      </c>
      <c r="F62" s="70">
        <v>17.7</v>
      </c>
      <c r="G62" s="70">
        <v>19.5</v>
      </c>
      <c r="H62" s="70">
        <v>17.8</v>
      </c>
      <c r="I62" s="70">
        <v>16.8</v>
      </c>
      <c r="J62" s="70">
        <v>11.2</v>
      </c>
      <c r="K62" s="70">
        <v>10.5</v>
      </c>
      <c r="L62" s="70">
        <v>12.8</v>
      </c>
      <c r="M62" s="70">
        <v>11.6</v>
      </c>
      <c r="N62" s="70">
        <v>9.45</v>
      </c>
      <c r="O62" s="70">
        <v>12.4</v>
      </c>
      <c r="P62" s="87"/>
      <c r="Q62" s="168">
        <f>((+M62/M61)-1)*100</f>
        <v>84.71337579617833</v>
      </c>
      <c r="R62" s="168"/>
      <c r="S62" s="445">
        <f>+((AVERAGE(I62:K62)/AVERAGE(I61:K61))-1)*100</f>
        <v>22.76785714285714</v>
      </c>
      <c r="T62" s="435"/>
    </row>
    <row r="63" spans="1:20" s="444" customFormat="1" ht="10.5" customHeight="1">
      <c r="A63" s="439"/>
      <c r="B63" s="440">
        <v>2006</v>
      </c>
      <c r="C63" s="495">
        <v>8.53</v>
      </c>
      <c r="D63" s="435">
        <v>8.19</v>
      </c>
      <c r="E63" s="435">
        <v>7.6</v>
      </c>
      <c r="F63" s="435">
        <v>15.2</v>
      </c>
      <c r="G63" s="435">
        <v>16.3</v>
      </c>
      <c r="H63" s="435">
        <v>17.8</v>
      </c>
      <c r="I63" s="435">
        <v>14.9</v>
      </c>
      <c r="J63" s="435">
        <v>13.3</v>
      </c>
      <c r="K63" s="435">
        <v>12.4</v>
      </c>
      <c r="L63" s="435">
        <v>10.4</v>
      </c>
      <c r="M63" s="435">
        <v>11.4</v>
      </c>
      <c r="N63" s="435">
        <v>16.6</v>
      </c>
      <c r="O63" s="435">
        <v>15.7</v>
      </c>
      <c r="P63" s="441"/>
      <c r="Q63" s="168">
        <f>((+M63/M62)-1)*100</f>
        <v>-1.724137931034475</v>
      </c>
      <c r="R63" s="168"/>
      <c r="S63" s="445">
        <f>+((AVERAGE(I63:K63)/AVERAGE(I62:K62))-1)*100</f>
        <v>5.454545454545445</v>
      </c>
      <c r="T63" s="435"/>
    </row>
    <row r="64" spans="1:20" s="59" customFormat="1" ht="10.5" customHeight="1">
      <c r="A64" s="72"/>
      <c r="B64" s="329">
        <v>2007</v>
      </c>
      <c r="C64" s="334">
        <v>22.1</v>
      </c>
      <c r="D64" s="331">
        <v>26.2</v>
      </c>
      <c r="E64" s="331">
        <v>35</v>
      </c>
      <c r="F64" s="331">
        <v>55.2</v>
      </c>
      <c r="G64" s="331">
        <v>24.2</v>
      </c>
      <c r="H64" s="331">
        <v>24.6</v>
      </c>
      <c r="I64" s="331">
        <v>15.4</v>
      </c>
      <c r="J64" s="331">
        <v>10.8</v>
      </c>
      <c r="K64" s="331">
        <v>5.57</v>
      </c>
      <c r="L64" s="331">
        <v>4.47</v>
      </c>
      <c r="M64" s="331">
        <v>4.7</v>
      </c>
      <c r="N64" s="331">
        <v>4.39</v>
      </c>
      <c r="O64" s="331">
        <v>11.5</v>
      </c>
      <c r="P64" s="332"/>
      <c r="Q64" s="168">
        <f>((+M64/M63)-1)*100</f>
        <v>-58.77192982456141</v>
      </c>
      <c r="R64" s="442"/>
      <c r="S64" s="445">
        <f>+((AVERAGE(I64:K64)/AVERAGE(I63:K63))-1)*100</f>
        <v>-21.748768472906388</v>
      </c>
      <c r="T64" s="435"/>
    </row>
    <row r="65" spans="1:20" s="59" customFormat="1" ht="10.5" customHeight="1">
      <c r="A65" s="72"/>
      <c r="B65" s="329">
        <v>2008</v>
      </c>
      <c r="C65" s="334">
        <v>4.54</v>
      </c>
      <c r="D65" s="331">
        <v>3.55</v>
      </c>
      <c r="E65" s="331">
        <v>2.71</v>
      </c>
      <c r="F65" s="331">
        <v>17.4</v>
      </c>
      <c r="G65" s="331">
        <v>23.3</v>
      </c>
      <c r="H65" s="331">
        <v>17.6</v>
      </c>
      <c r="I65" s="331">
        <v>15.1</v>
      </c>
      <c r="J65" s="331">
        <v>12</v>
      </c>
      <c r="K65" s="331">
        <v>13.3</v>
      </c>
      <c r="L65" s="331">
        <v>14</v>
      </c>
      <c r="M65" s="331">
        <v>11</v>
      </c>
      <c r="N65" s="331"/>
      <c r="O65" s="331"/>
      <c r="P65" s="332"/>
      <c r="Q65" s="168">
        <f>((+M65/M64)-1)*100</f>
        <v>134.04255319148936</v>
      </c>
      <c r="R65" s="442"/>
      <c r="S65" s="445">
        <f>+((AVERAGE(I65:K65)/AVERAGE(I64:K64))-1)*100</f>
        <v>27.16399118665407</v>
      </c>
      <c r="T65" s="435"/>
    </row>
    <row r="66" spans="1:19" s="59" customFormat="1" ht="3" customHeight="1">
      <c r="A66" s="72"/>
      <c r="B66" s="69"/>
      <c r="C66" s="70"/>
      <c r="D66" s="70"/>
      <c r="E66" s="70"/>
      <c r="F66" s="70"/>
      <c r="G66" s="70"/>
      <c r="H66" s="70"/>
      <c r="I66" s="70"/>
      <c r="J66" s="70"/>
      <c r="K66" s="70"/>
      <c r="L66" s="70"/>
      <c r="M66" s="70"/>
      <c r="N66" s="70"/>
      <c r="O66" s="70"/>
      <c r="P66" s="87"/>
      <c r="Q66" s="444"/>
      <c r="R66" s="442"/>
      <c r="S66" s="436"/>
    </row>
    <row r="67" spans="1:19" s="59" customFormat="1" ht="10.5" customHeight="1">
      <c r="A67" s="254" t="s">
        <v>60</v>
      </c>
      <c r="B67" s="69">
        <v>2004</v>
      </c>
      <c r="C67" s="75">
        <v>76.2</v>
      </c>
      <c r="D67" s="75">
        <v>43.5</v>
      </c>
      <c r="E67" s="75">
        <v>42.5</v>
      </c>
      <c r="F67" s="75">
        <v>48.6</v>
      </c>
      <c r="G67" s="75">
        <v>22.5</v>
      </c>
      <c r="H67" s="75">
        <v>27.9</v>
      </c>
      <c r="I67" s="75">
        <v>50.7</v>
      </c>
      <c r="J67" s="75">
        <v>67.6</v>
      </c>
      <c r="K67" s="75">
        <v>68.3</v>
      </c>
      <c r="L67" s="75">
        <v>82.9</v>
      </c>
      <c r="M67" s="75">
        <v>53.9</v>
      </c>
      <c r="N67" s="75">
        <v>47.5</v>
      </c>
      <c r="O67" s="70">
        <v>45.2</v>
      </c>
      <c r="Q67" s="436" t="s">
        <v>408</v>
      </c>
      <c r="R67" s="168"/>
      <c r="S67" s="443" t="s">
        <v>352</v>
      </c>
    </row>
    <row r="68" spans="1:19" s="59" customFormat="1" ht="10.5" customHeight="1">
      <c r="A68" s="72"/>
      <c r="B68" s="69">
        <v>2005</v>
      </c>
      <c r="C68" s="75">
        <v>71.4</v>
      </c>
      <c r="D68" s="75">
        <v>77.8</v>
      </c>
      <c r="E68" s="75">
        <v>85.3</v>
      </c>
      <c r="F68" s="75">
        <v>60.7</v>
      </c>
      <c r="G68" s="75">
        <v>55.2</v>
      </c>
      <c r="H68" s="75">
        <v>38.4</v>
      </c>
      <c r="I68" s="75">
        <v>58.9</v>
      </c>
      <c r="J68" s="75">
        <v>72.7</v>
      </c>
      <c r="K68" s="75">
        <v>65.3</v>
      </c>
      <c r="L68" s="75">
        <v>40.8</v>
      </c>
      <c r="M68" s="75">
        <v>89.1</v>
      </c>
      <c r="N68" s="75">
        <v>82</v>
      </c>
      <c r="O68" s="70">
        <v>54.2</v>
      </c>
      <c r="P68" s="87"/>
      <c r="Q68" s="168">
        <f>((+M68/M67)-1)*100</f>
        <v>65.30612244897958</v>
      </c>
      <c r="R68" s="168"/>
      <c r="S68" s="445">
        <f>+((AVERAGE(I68:K68)/AVERAGE(I67:K67))-1)*100</f>
        <v>5.519828510182201</v>
      </c>
    </row>
    <row r="69" spans="1:19" s="444" customFormat="1" ht="10.5" customHeight="1">
      <c r="A69" s="439"/>
      <c r="B69" s="440">
        <v>2006</v>
      </c>
      <c r="C69" s="437">
        <v>44</v>
      </c>
      <c r="D69" s="437">
        <v>56</v>
      </c>
      <c r="E69" s="437">
        <v>44.9</v>
      </c>
      <c r="F69" s="437">
        <v>44.3</v>
      </c>
      <c r="G69" s="437">
        <v>34.5</v>
      </c>
      <c r="H69" s="437">
        <v>33.4</v>
      </c>
      <c r="I69" s="437">
        <v>61.1</v>
      </c>
      <c r="J69" s="437">
        <v>77</v>
      </c>
      <c r="K69" s="437">
        <v>74.6</v>
      </c>
      <c r="L69" s="437">
        <v>58.6</v>
      </c>
      <c r="M69" s="437">
        <v>48.3</v>
      </c>
      <c r="N69" s="437">
        <v>65.5</v>
      </c>
      <c r="O69" s="435">
        <v>50.5</v>
      </c>
      <c r="P69" s="441"/>
      <c r="Q69" s="168">
        <f>((+M69/M68)-1)*100</f>
        <v>-45.79124579124579</v>
      </c>
      <c r="R69" s="168"/>
      <c r="S69" s="445">
        <f>+((AVERAGE(I69:K69)/AVERAGE(I68:K68))-1)*100</f>
        <v>8.024377856780095</v>
      </c>
    </row>
    <row r="70" spans="1:19" s="59" customFormat="1" ht="10.5" customHeight="1">
      <c r="A70" s="72"/>
      <c r="B70" s="329">
        <v>2007</v>
      </c>
      <c r="C70" s="334">
        <v>64.9</v>
      </c>
      <c r="D70" s="334">
        <v>82.3</v>
      </c>
      <c r="E70" s="334">
        <v>102</v>
      </c>
      <c r="F70" s="334">
        <v>63.5</v>
      </c>
      <c r="G70" s="334">
        <v>38.8</v>
      </c>
      <c r="H70" s="334">
        <v>35.1</v>
      </c>
      <c r="I70" s="334">
        <v>65.1</v>
      </c>
      <c r="J70" s="334">
        <v>81.1</v>
      </c>
      <c r="K70" s="334">
        <v>78.9</v>
      </c>
      <c r="L70" s="334">
        <v>67.4</v>
      </c>
      <c r="M70" s="334">
        <v>89.3</v>
      </c>
      <c r="N70" s="334">
        <v>43</v>
      </c>
      <c r="O70" s="331">
        <v>60.5</v>
      </c>
      <c r="P70" s="332"/>
      <c r="Q70" s="168">
        <f>((+M70/M69)-1)*100</f>
        <v>84.88612836438925</v>
      </c>
      <c r="R70" s="442"/>
      <c r="S70" s="445">
        <f>+((AVERAGE(I70:K70)/AVERAGE(I69:K69))-1)*100</f>
        <v>5.829807240244489</v>
      </c>
    </row>
    <row r="71" spans="1:19" s="59" customFormat="1" ht="10.5" customHeight="1">
      <c r="A71" s="72"/>
      <c r="B71" s="329">
        <v>2008</v>
      </c>
      <c r="C71" s="334">
        <v>68.8</v>
      </c>
      <c r="D71" s="334">
        <v>98.3</v>
      </c>
      <c r="E71" s="334">
        <v>37.7</v>
      </c>
      <c r="F71" s="334">
        <v>57</v>
      </c>
      <c r="G71" s="334">
        <v>38.9</v>
      </c>
      <c r="H71" s="334">
        <v>51.3</v>
      </c>
      <c r="I71" s="334">
        <v>95.4</v>
      </c>
      <c r="J71" s="334">
        <v>78.5</v>
      </c>
      <c r="K71" s="334">
        <v>89.1</v>
      </c>
      <c r="L71" s="334">
        <v>46</v>
      </c>
      <c r="M71" s="334">
        <v>45.1</v>
      </c>
      <c r="N71" s="334"/>
      <c r="O71" s="331"/>
      <c r="P71" s="332"/>
      <c r="Q71" s="168">
        <f>((+M71/M70)-1)*100</f>
        <v>-49.49608062709966</v>
      </c>
      <c r="R71" s="442"/>
      <c r="S71" s="445">
        <f>+((AVERAGE(I71:K71)/AVERAGE(I70:K70))-1)*100</f>
        <v>16.836961350510894</v>
      </c>
    </row>
    <row r="72" spans="1:19" s="59" customFormat="1" ht="3" customHeight="1">
      <c r="A72" s="72"/>
      <c r="B72" s="69"/>
      <c r="C72" s="70"/>
      <c r="D72" s="70"/>
      <c r="E72" s="70"/>
      <c r="F72" s="70"/>
      <c r="G72" s="70"/>
      <c r="H72" s="70"/>
      <c r="I72" s="70"/>
      <c r="J72" s="70"/>
      <c r="K72" s="70"/>
      <c r="L72" s="70"/>
      <c r="M72" s="70"/>
      <c r="N72" s="70"/>
      <c r="O72" s="70"/>
      <c r="P72" s="87"/>
      <c r="Q72" s="444"/>
      <c r="R72" s="442"/>
      <c r="S72" s="445"/>
    </row>
    <row r="73" spans="1:19" s="59" customFormat="1" ht="10.5" customHeight="1">
      <c r="A73" s="256" t="s">
        <v>78</v>
      </c>
      <c r="B73" s="79">
        <v>2004</v>
      </c>
      <c r="C73" s="60">
        <v>24.7</v>
      </c>
      <c r="D73" s="60">
        <v>32.3</v>
      </c>
      <c r="E73" s="60">
        <v>41</v>
      </c>
      <c r="F73" s="60">
        <v>44.2</v>
      </c>
      <c r="G73" s="60">
        <v>32.2</v>
      </c>
      <c r="H73" s="60">
        <v>21.1</v>
      </c>
      <c r="I73" s="60">
        <v>22.5</v>
      </c>
      <c r="J73" s="60">
        <v>35.8</v>
      </c>
      <c r="K73" s="60">
        <v>37.3</v>
      </c>
      <c r="L73" s="60">
        <v>70.8</v>
      </c>
      <c r="M73" s="60">
        <v>119</v>
      </c>
      <c r="N73" s="209" t="s">
        <v>258</v>
      </c>
      <c r="O73" s="60">
        <v>37.6</v>
      </c>
      <c r="Q73" s="436" t="s">
        <v>408</v>
      </c>
      <c r="R73" s="168"/>
      <c r="S73" s="443" t="s">
        <v>352</v>
      </c>
    </row>
    <row r="74" spans="1:19" s="59" customFormat="1" ht="10.5" customHeight="1">
      <c r="A74" s="61"/>
      <c r="B74" s="79">
        <v>2005</v>
      </c>
      <c r="C74" s="60">
        <v>15.4</v>
      </c>
      <c r="D74" s="60">
        <v>40.9</v>
      </c>
      <c r="E74" s="60">
        <v>40.7</v>
      </c>
      <c r="F74" s="60">
        <v>65.1</v>
      </c>
      <c r="G74" s="60">
        <v>49.4</v>
      </c>
      <c r="H74" s="60">
        <v>40.2</v>
      </c>
      <c r="I74" s="60">
        <v>28.2</v>
      </c>
      <c r="J74" s="60">
        <v>26.2</v>
      </c>
      <c r="K74" s="60">
        <v>46.4</v>
      </c>
      <c r="L74" s="60">
        <v>36.4</v>
      </c>
      <c r="M74" s="60">
        <v>32.8</v>
      </c>
      <c r="N74" s="209">
        <v>76.8</v>
      </c>
      <c r="O74" s="60">
        <v>41.8</v>
      </c>
      <c r="P74" s="87"/>
      <c r="Q74" s="168">
        <f>((+M74/M73)-1)*100</f>
        <v>-72.43697478991598</v>
      </c>
      <c r="R74" s="168"/>
      <c r="S74" s="445">
        <f>+((AVERAGE(I74:K74)/AVERAGE(I73:K73))-1)*100</f>
        <v>5.439330543933063</v>
      </c>
    </row>
    <row r="75" spans="1:19" s="444" customFormat="1" ht="10.5" customHeight="1">
      <c r="A75" s="493"/>
      <c r="B75" s="494">
        <v>2006</v>
      </c>
      <c r="C75" s="437">
        <v>82.7</v>
      </c>
      <c r="D75" s="438">
        <v>46.5</v>
      </c>
      <c r="E75" s="438">
        <v>24.8</v>
      </c>
      <c r="F75" s="438">
        <v>34.4</v>
      </c>
      <c r="G75" s="438">
        <v>23.3</v>
      </c>
      <c r="H75" s="438">
        <v>30.9</v>
      </c>
      <c r="I75" s="438">
        <v>28.2</v>
      </c>
      <c r="J75" s="438">
        <v>34.7</v>
      </c>
      <c r="K75" s="438">
        <v>82.1</v>
      </c>
      <c r="L75" s="438">
        <v>55.3</v>
      </c>
      <c r="M75" s="438">
        <v>28</v>
      </c>
      <c r="N75" s="438">
        <v>21.2</v>
      </c>
      <c r="O75" s="438">
        <v>44</v>
      </c>
      <c r="P75" s="441"/>
      <c r="Q75" s="168">
        <f>((+M75/M74)-1)*100</f>
        <v>-14.634146341463406</v>
      </c>
      <c r="R75" s="168"/>
      <c r="S75" s="445">
        <f>+((AVERAGE(I75:K75)/AVERAGE(I74:K74))-1)*100</f>
        <v>43.84920634920635</v>
      </c>
    </row>
    <row r="76" spans="1:19" s="59" customFormat="1" ht="10.5" customHeight="1">
      <c r="A76" s="61"/>
      <c r="B76" s="337">
        <v>2007</v>
      </c>
      <c r="C76" s="334">
        <v>35.6</v>
      </c>
      <c r="D76" s="338">
        <v>31.2</v>
      </c>
      <c r="E76" s="338">
        <v>26.3</v>
      </c>
      <c r="F76" s="338">
        <v>52.6</v>
      </c>
      <c r="G76" s="338">
        <v>35.6</v>
      </c>
      <c r="H76" s="338">
        <v>29.6</v>
      </c>
      <c r="I76" s="338">
        <v>26.7</v>
      </c>
      <c r="J76" s="338">
        <v>28.6</v>
      </c>
      <c r="K76" s="338">
        <v>33.1</v>
      </c>
      <c r="L76" s="338">
        <v>41.6</v>
      </c>
      <c r="M76" s="338">
        <v>58.7</v>
      </c>
      <c r="N76" s="338">
        <v>81.2</v>
      </c>
      <c r="O76" s="338">
        <v>34.5</v>
      </c>
      <c r="P76" s="332"/>
      <c r="Q76" s="168">
        <f>((+M76/M75)-1)*100</f>
        <v>109.64285714285715</v>
      </c>
      <c r="R76" s="442"/>
      <c r="S76" s="445">
        <f>+((AVERAGE(I76:K76)/AVERAGE(I75:K75))-1)*100</f>
        <v>-39.03448275862069</v>
      </c>
    </row>
    <row r="77" spans="1:19" s="59" customFormat="1" ht="10.5" customHeight="1">
      <c r="A77" s="61"/>
      <c r="B77" s="337">
        <v>2008</v>
      </c>
      <c r="C77" s="334">
        <v>58.2</v>
      </c>
      <c r="D77" s="338">
        <v>45.5</v>
      </c>
      <c r="E77" s="338">
        <v>66.1</v>
      </c>
      <c r="F77" s="338">
        <v>47.4</v>
      </c>
      <c r="G77" s="338">
        <v>48.2</v>
      </c>
      <c r="H77" s="338">
        <v>58</v>
      </c>
      <c r="I77" s="338">
        <v>38.6</v>
      </c>
      <c r="J77" s="338">
        <v>30</v>
      </c>
      <c r="K77" s="338">
        <v>26</v>
      </c>
      <c r="L77" s="338">
        <v>33.8</v>
      </c>
      <c r="M77" s="338">
        <v>66.7</v>
      </c>
      <c r="N77" s="338"/>
      <c r="O77" s="338"/>
      <c r="P77" s="332"/>
      <c r="Q77" s="168">
        <f>((+M77/M76)-1)*100</f>
        <v>13.62862010221464</v>
      </c>
      <c r="R77" s="442"/>
      <c r="S77" s="445">
        <f>+((AVERAGE(I77:K77)/AVERAGE(I76:K76))-1)*100</f>
        <v>7.0135746606334815</v>
      </c>
    </row>
    <row r="78" spans="1:19" s="59" customFormat="1" ht="12.75" customHeight="1">
      <c r="A78" s="80" t="s">
        <v>416</v>
      </c>
      <c r="B78" s="81"/>
      <c r="C78" s="82"/>
      <c r="D78" s="82"/>
      <c r="E78" s="82"/>
      <c r="F78" s="82"/>
      <c r="G78" s="82"/>
      <c r="H78" s="82"/>
      <c r="I78" s="82"/>
      <c r="J78" s="82"/>
      <c r="K78" s="82"/>
      <c r="L78" s="82"/>
      <c r="M78" s="82"/>
      <c r="N78" s="82"/>
      <c r="O78" s="82"/>
      <c r="P78" s="87"/>
      <c r="Q78" s="82"/>
      <c r="R78" s="82"/>
      <c r="S78" s="82"/>
    </row>
    <row r="79" spans="1:19" s="59" customFormat="1" ht="9.75" customHeight="1">
      <c r="A79" s="430" t="s">
        <v>382</v>
      </c>
      <c r="B79" s="431"/>
      <c r="C79" s="70"/>
      <c r="D79" s="70"/>
      <c r="E79" s="70"/>
      <c r="F79" s="70"/>
      <c r="G79" s="70"/>
      <c r="H79" s="70"/>
      <c r="I79" s="70"/>
      <c r="J79" s="70"/>
      <c r="K79" s="70"/>
      <c r="L79" s="70"/>
      <c r="M79" s="70"/>
      <c r="N79" s="70"/>
      <c r="O79" s="70"/>
      <c r="P79" s="87"/>
      <c r="Q79" s="70"/>
      <c r="R79" s="70"/>
      <c r="S79" s="70"/>
    </row>
    <row r="80" spans="1:16" s="59" customFormat="1" ht="14.25" customHeight="1">
      <c r="A80" s="414" t="s">
        <v>353</v>
      </c>
      <c r="B80" s="83"/>
      <c r="C80" s="60"/>
      <c r="D80" s="60"/>
      <c r="E80" s="60"/>
      <c r="F80" s="60"/>
      <c r="G80" s="60"/>
      <c r="H80" s="60"/>
      <c r="I80" s="60"/>
      <c r="J80" s="60"/>
      <c r="K80" s="60"/>
      <c r="L80" s="60"/>
      <c r="M80" s="60"/>
      <c r="N80" s="60"/>
      <c r="O80" s="60"/>
      <c r="P80" s="87"/>
    </row>
    <row r="81" s="59" customFormat="1" ht="11.25">
      <c r="F81" s="84"/>
    </row>
    <row r="82" s="59" customFormat="1" ht="11.25">
      <c r="F82" s="84"/>
    </row>
    <row r="83" s="59" customFormat="1" ht="11.25">
      <c r="F83" s="84"/>
    </row>
    <row r="84" s="59" customFormat="1" ht="11.25">
      <c r="F84" s="84"/>
    </row>
    <row r="85" s="59" customFormat="1" ht="11.25">
      <c r="F85" s="84"/>
    </row>
    <row r="86" s="59" customFormat="1" ht="11.25">
      <c r="F86" s="84"/>
    </row>
    <row r="87" s="59" customFormat="1" ht="11.25">
      <c r="F87" s="84"/>
    </row>
    <row r="88" s="59" customFormat="1" ht="11.25">
      <c r="F88" s="84"/>
    </row>
    <row r="89" s="59" customFormat="1" ht="11.25">
      <c r="F89" s="84"/>
    </row>
    <row r="90" s="59" customFormat="1" ht="11.25">
      <c r="F90" s="84"/>
    </row>
    <row r="91" s="59" customFormat="1" ht="11.25">
      <c r="F91" s="84"/>
    </row>
    <row r="92" s="59" customFormat="1" ht="11.25">
      <c r="F92" s="84"/>
    </row>
    <row r="93" s="59" customFormat="1" ht="11.25">
      <c r="F93" s="84"/>
    </row>
    <row r="94" s="59" customFormat="1" ht="11.25">
      <c r="F94" s="84"/>
    </row>
    <row r="95" s="59" customFormat="1" ht="11.25">
      <c r="F95" s="84"/>
    </row>
    <row r="96" s="59" customFormat="1" ht="11.25">
      <c r="F96" s="84"/>
    </row>
    <row r="97" s="59" customFormat="1" ht="11.25">
      <c r="F97" s="84"/>
    </row>
    <row r="98" s="59" customFormat="1" ht="11.25">
      <c r="F98" s="84"/>
    </row>
    <row r="99" s="59" customFormat="1" ht="11.25">
      <c r="F99" s="84"/>
    </row>
    <row r="100" s="59" customFormat="1" ht="11.25">
      <c r="F100" s="84"/>
    </row>
    <row r="101" s="59" customFormat="1" ht="11.25">
      <c r="F101" s="84"/>
    </row>
    <row r="102" s="59" customFormat="1" ht="11.25">
      <c r="F102" s="84"/>
    </row>
    <row r="103" s="59" customFormat="1" ht="11.25">
      <c r="F103" s="84"/>
    </row>
    <row r="104" s="59" customFormat="1" ht="11.25">
      <c r="F104" s="84"/>
    </row>
    <row r="105" s="59" customFormat="1" ht="11.25">
      <c r="F105" s="84"/>
    </row>
    <row r="106" s="59" customFormat="1" ht="11.25">
      <c r="F106" s="84"/>
    </row>
    <row r="107" s="59" customFormat="1" ht="11.25">
      <c r="F107" s="84"/>
    </row>
    <row r="108" s="59" customFormat="1" ht="11.25">
      <c r="F108" s="84"/>
    </row>
    <row r="109" s="59" customFormat="1" ht="11.25">
      <c r="F109" s="84"/>
    </row>
    <row r="110" s="59" customFormat="1" ht="11.25">
      <c r="F110" s="84"/>
    </row>
    <row r="111" s="59" customFormat="1" ht="11.25">
      <c r="F111" s="84"/>
    </row>
    <row r="112" s="59" customFormat="1" ht="11.25">
      <c r="F112" s="84"/>
    </row>
    <row r="113" s="59" customFormat="1" ht="11.25">
      <c r="F113" s="84"/>
    </row>
    <row r="114" s="59" customFormat="1" ht="11.25">
      <c r="F114" s="84"/>
    </row>
    <row r="115" s="59" customFormat="1" ht="11.25">
      <c r="F115" s="84"/>
    </row>
    <row r="116" s="59" customFormat="1" ht="11.25">
      <c r="F116" s="84"/>
    </row>
    <row r="117" s="59" customFormat="1" ht="11.25">
      <c r="F117" s="84"/>
    </row>
    <row r="118" s="59" customFormat="1" ht="11.25">
      <c r="F118" s="84"/>
    </row>
    <row r="119" s="59" customFormat="1" ht="11.25">
      <c r="F119" s="84"/>
    </row>
    <row r="120" s="59" customFormat="1" ht="11.25">
      <c r="F120" s="84"/>
    </row>
    <row r="121" s="59" customFormat="1" ht="11.25">
      <c r="F121" s="84"/>
    </row>
    <row r="122" s="59" customFormat="1" ht="11.25">
      <c r="F122" s="84"/>
    </row>
    <row r="123" s="59" customFormat="1" ht="11.25">
      <c r="F123" s="84"/>
    </row>
    <row r="124" s="59" customFormat="1" ht="11.25">
      <c r="F124" s="84"/>
    </row>
    <row r="125" s="59" customFormat="1" ht="11.25">
      <c r="F125" s="84"/>
    </row>
    <row r="126" s="59" customFormat="1" ht="11.25">
      <c r="F126" s="84"/>
    </row>
    <row r="127" s="59" customFormat="1" ht="11.25">
      <c r="F127" s="84"/>
    </row>
    <row r="128" s="59" customFormat="1" ht="11.25">
      <c r="F128" s="84"/>
    </row>
    <row r="129" s="59" customFormat="1" ht="11.25">
      <c r="F129" s="84"/>
    </row>
    <row r="130" s="59" customFormat="1" ht="11.25">
      <c r="F130" s="84"/>
    </row>
    <row r="131" s="59" customFormat="1" ht="11.25">
      <c r="F131" s="84"/>
    </row>
    <row r="132" s="59" customFormat="1" ht="11.25">
      <c r="F132" s="84"/>
    </row>
    <row r="133" s="59" customFormat="1" ht="11.25">
      <c r="F133" s="84"/>
    </row>
    <row r="134" s="59" customFormat="1" ht="11.25">
      <c r="F134" s="84"/>
    </row>
    <row r="135" s="59" customFormat="1" ht="11.25">
      <c r="F135" s="84"/>
    </row>
    <row r="136" s="59" customFormat="1" ht="11.25">
      <c r="F136" s="84"/>
    </row>
    <row r="137" s="59" customFormat="1" ht="11.25">
      <c r="F137" s="84"/>
    </row>
    <row r="138" s="59" customFormat="1" ht="11.25">
      <c r="F138" s="84"/>
    </row>
    <row r="139" s="59" customFormat="1" ht="11.25">
      <c r="F139" s="84"/>
    </row>
    <row r="140" s="59" customFormat="1" ht="11.25">
      <c r="F140" s="84"/>
    </row>
    <row r="141" s="59" customFormat="1" ht="11.25">
      <c r="F141" s="84"/>
    </row>
    <row r="142" s="59" customFormat="1" ht="11.25">
      <c r="F142" s="84"/>
    </row>
    <row r="143" s="59" customFormat="1" ht="11.25">
      <c r="F143" s="84"/>
    </row>
    <row r="144" s="59" customFormat="1" ht="11.25">
      <c r="F144" s="84"/>
    </row>
    <row r="145" s="59" customFormat="1" ht="11.25">
      <c r="F145" s="84"/>
    </row>
    <row r="146" s="59" customFormat="1" ht="11.25">
      <c r="F146" s="84"/>
    </row>
    <row r="147" s="59" customFormat="1" ht="11.25">
      <c r="F147" s="84"/>
    </row>
    <row r="148" s="59" customFormat="1" ht="11.25">
      <c r="F148" s="84"/>
    </row>
    <row r="149" s="59" customFormat="1" ht="11.25">
      <c r="F149" s="84"/>
    </row>
    <row r="150" s="59" customFormat="1" ht="11.25">
      <c r="F150" s="84"/>
    </row>
    <row r="151" s="59" customFormat="1" ht="11.25">
      <c r="F151" s="84"/>
    </row>
    <row r="152" s="59" customFormat="1" ht="11.25">
      <c r="F152" s="84"/>
    </row>
    <row r="153" s="59" customFormat="1" ht="11.25">
      <c r="F153" s="84"/>
    </row>
    <row r="154" s="59" customFormat="1" ht="11.25">
      <c r="F154" s="84"/>
    </row>
    <row r="155" s="59" customFormat="1" ht="11.25">
      <c r="F155" s="84"/>
    </row>
    <row r="156" s="59" customFormat="1" ht="11.25">
      <c r="F156" s="84"/>
    </row>
    <row r="157" s="59" customFormat="1" ht="11.25">
      <c r="F157" s="84"/>
    </row>
    <row r="158" s="59" customFormat="1" ht="11.25">
      <c r="F158" s="84"/>
    </row>
    <row r="159" s="59" customFormat="1" ht="11.25">
      <c r="F159" s="84"/>
    </row>
    <row r="160" s="59" customFormat="1" ht="11.25">
      <c r="F160" s="84"/>
    </row>
    <row r="161" s="59" customFormat="1" ht="11.25">
      <c r="F161" s="84"/>
    </row>
    <row r="162" s="59" customFormat="1" ht="11.25">
      <c r="F162" s="84"/>
    </row>
    <row r="163" s="59" customFormat="1" ht="11.25">
      <c r="F163" s="84"/>
    </row>
    <row r="164" s="59" customFormat="1" ht="11.25">
      <c r="F164" s="84"/>
    </row>
    <row r="165" s="59" customFormat="1" ht="11.25">
      <c r="F165" s="84"/>
    </row>
    <row r="166" s="59" customFormat="1" ht="11.25">
      <c r="F166" s="84"/>
    </row>
    <row r="167" s="59" customFormat="1" ht="11.25">
      <c r="F167" s="84"/>
    </row>
    <row r="168" s="59" customFormat="1" ht="11.25">
      <c r="F168" s="84"/>
    </row>
    <row r="169" s="59" customFormat="1" ht="11.25">
      <c r="F169" s="84"/>
    </row>
    <row r="170" s="59" customFormat="1" ht="11.25">
      <c r="F170" s="84"/>
    </row>
    <row r="171" s="59" customFormat="1" ht="11.25">
      <c r="F171" s="84"/>
    </row>
    <row r="172" s="59" customFormat="1" ht="11.25">
      <c r="F172" s="84"/>
    </row>
    <row r="173" s="59" customFormat="1" ht="11.25">
      <c r="F173" s="84"/>
    </row>
    <row r="174" s="59" customFormat="1" ht="11.25">
      <c r="F174" s="84"/>
    </row>
    <row r="175" s="59" customFormat="1" ht="11.25">
      <c r="F175" s="84"/>
    </row>
    <row r="176" s="59" customFormat="1" ht="11.25">
      <c r="F176" s="84"/>
    </row>
    <row r="177" s="59" customFormat="1" ht="11.25">
      <c r="F177" s="84"/>
    </row>
    <row r="178" s="59" customFormat="1" ht="11.25">
      <c r="F178" s="84"/>
    </row>
    <row r="179" s="59" customFormat="1" ht="11.25">
      <c r="F179" s="84"/>
    </row>
    <row r="180" s="59" customFormat="1" ht="11.25">
      <c r="F180" s="84"/>
    </row>
    <row r="181" s="59" customFormat="1" ht="11.25">
      <c r="F181" s="84"/>
    </row>
    <row r="182" s="59" customFormat="1" ht="11.25">
      <c r="F182" s="84"/>
    </row>
    <row r="183" s="59" customFormat="1" ht="11.25">
      <c r="F183" s="84"/>
    </row>
    <row r="184" s="59" customFormat="1" ht="11.25">
      <c r="F184" s="84"/>
    </row>
    <row r="185" s="59" customFormat="1" ht="11.25">
      <c r="F185" s="84"/>
    </row>
    <row r="186" s="59" customFormat="1" ht="11.25">
      <c r="F186" s="84"/>
    </row>
    <row r="187" s="59" customFormat="1" ht="11.25">
      <c r="F187" s="84"/>
    </row>
    <row r="188" s="59" customFormat="1" ht="11.25">
      <c r="F188" s="84"/>
    </row>
    <row r="189" s="59" customFormat="1" ht="11.25">
      <c r="F189" s="84"/>
    </row>
    <row r="190" s="59" customFormat="1" ht="11.25">
      <c r="F190" s="84"/>
    </row>
    <row r="191" s="59" customFormat="1" ht="11.25">
      <c r="F191" s="84"/>
    </row>
    <row r="192" s="59" customFormat="1" ht="11.25">
      <c r="F192" s="84"/>
    </row>
    <row r="193" s="59" customFormat="1" ht="11.25">
      <c r="F193" s="84"/>
    </row>
    <row r="194" s="59" customFormat="1" ht="11.25">
      <c r="F194" s="84"/>
    </row>
    <row r="195" s="59" customFormat="1" ht="11.25">
      <c r="F195" s="84"/>
    </row>
    <row r="196" s="59" customFormat="1" ht="11.25">
      <c r="F196" s="84"/>
    </row>
    <row r="197" s="59" customFormat="1" ht="11.25">
      <c r="F197" s="84"/>
    </row>
    <row r="198" s="59" customFormat="1" ht="11.25">
      <c r="F198" s="84"/>
    </row>
    <row r="199" s="59" customFormat="1" ht="11.25">
      <c r="F199" s="84"/>
    </row>
    <row r="200" s="59" customFormat="1" ht="11.25">
      <c r="F200" s="84"/>
    </row>
    <row r="201" s="59" customFormat="1" ht="11.25">
      <c r="F201" s="84"/>
    </row>
    <row r="202" s="59" customFormat="1" ht="11.25">
      <c r="F202" s="84"/>
    </row>
    <row r="203" s="59" customFormat="1" ht="11.25">
      <c r="F203" s="84"/>
    </row>
    <row r="204" s="59" customFormat="1" ht="11.25">
      <c r="F204" s="84"/>
    </row>
    <row r="205" s="59" customFormat="1" ht="11.25">
      <c r="F205" s="84"/>
    </row>
    <row r="206" s="59" customFormat="1" ht="11.25">
      <c r="F206" s="84"/>
    </row>
    <row r="207" s="59" customFormat="1" ht="11.25">
      <c r="F207" s="84"/>
    </row>
    <row r="208" s="59" customFormat="1" ht="11.25">
      <c r="F208" s="84"/>
    </row>
    <row r="209" s="59" customFormat="1" ht="11.25">
      <c r="F209" s="84"/>
    </row>
    <row r="210" s="59" customFormat="1" ht="11.25">
      <c r="F210" s="84"/>
    </row>
    <row r="211" s="59" customFormat="1" ht="11.25">
      <c r="F211" s="84"/>
    </row>
    <row r="212" s="59" customFormat="1" ht="11.25">
      <c r="F212" s="84"/>
    </row>
    <row r="213" s="59" customFormat="1" ht="11.25">
      <c r="F213" s="84"/>
    </row>
    <row r="214" s="59" customFormat="1" ht="11.25">
      <c r="F214" s="84"/>
    </row>
    <row r="215" s="59" customFormat="1" ht="11.25">
      <c r="F215" s="84"/>
    </row>
    <row r="216" s="59" customFormat="1" ht="11.25">
      <c r="F216" s="84"/>
    </row>
    <row r="217" s="59" customFormat="1" ht="11.25">
      <c r="F217" s="84"/>
    </row>
    <row r="218" s="59" customFormat="1" ht="11.25">
      <c r="F218" s="84"/>
    </row>
    <row r="219" s="59" customFormat="1" ht="11.25">
      <c r="F219" s="84"/>
    </row>
    <row r="220" s="59" customFormat="1" ht="11.25">
      <c r="F220" s="84"/>
    </row>
    <row r="221" s="59" customFormat="1" ht="11.25">
      <c r="F221" s="84"/>
    </row>
    <row r="222" s="59" customFormat="1" ht="11.25">
      <c r="F222" s="84"/>
    </row>
    <row r="223" s="59" customFormat="1" ht="11.25">
      <c r="F223" s="84"/>
    </row>
    <row r="224" s="59" customFormat="1" ht="11.25">
      <c r="F224" s="84"/>
    </row>
    <row r="225" s="59" customFormat="1" ht="11.25">
      <c r="F225" s="84"/>
    </row>
    <row r="226" s="59" customFormat="1" ht="11.25">
      <c r="F226" s="84"/>
    </row>
    <row r="227" s="59" customFormat="1" ht="11.25">
      <c r="F227" s="84"/>
    </row>
    <row r="228" s="59" customFormat="1" ht="11.25">
      <c r="F228" s="84"/>
    </row>
    <row r="229" s="59" customFormat="1" ht="11.25">
      <c r="F229" s="84"/>
    </row>
    <row r="230" s="59" customFormat="1" ht="11.25">
      <c r="F230" s="84"/>
    </row>
    <row r="231" s="59" customFormat="1" ht="11.25">
      <c r="F231" s="84"/>
    </row>
    <row r="232" s="59" customFormat="1" ht="11.25">
      <c r="F232" s="84"/>
    </row>
    <row r="233" s="59" customFormat="1" ht="11.25">
      <c r="F233" s="84"/>
    </row>
    <row r="234" s="59" customFormat="1" ht="11.25">
      <c r="F234" s="84"/>
    </row>
    <row r="235" s="59" customFormat="1" ht="11.25">
      <c r="F235" s="84"/>
    </row>
    <row r="236" s="59" customFormat="1" ht="11.25">
      <c r="F236" s="84"/>
    </row>
    <row r="237" s="59" customFormat="1" ht="11.25">
      <c r="F237" s="84"/>
    </row>
    <row r="238" s="59" customFormat="1" ht="11.25">
      <c r="F238" s="84"/>
    </row>
    <row r="239" s="59" customFormat="1" ht="11.25">
      <c r="F239" s="84"/>
    </row>
    <row r="240" s="59" customFormat="1" ht="11.25">
      <c r="F240" s="84"/>
    </row>
    <row r="241" s="59" customFormat="1" ht="11.25">
      <c r="F241" s="84"/>
    </row>
    <row r="242" s="59" customFormat="1" ht="11.25">
      <c r="F242" s="84"/>
    </row>
    <row r="243" s="59" customFormat="1" ht="11.25">
      <c r="F243" s="84"/>
    </row>
    <row r="244" s="59" customFormat="1" ht="11.25">
      <c r="F244" s="84"/>
    </row>
    <row r="245" s="59" customFormat="1" ht="11.25">
      <c r="F245" s="84"/>
    </row>
    <row r="246" s="59" customFormat="1" ht="11.25">
      <c r="F246" s="84"/>
    </row>
    <row r="247" s="59" customFormat="1" ht="11.25">
      <c r="F247" s="84"/>
    </row>
    <row r="248" s="59" customFormat="1" ht="11.25">
      <c r="F248" s="84"/>
    </row>
    <row r="249" s="59" customFormat="1" ht="11.25">
      <c r="F249" s="84"/>
    </row>
    <row r="250" s="59" customFormat="1" ht="11.25">
      <c r="F250" s="84"/>
    </row>
    <row r="251" s="59" customFormat="1" ht="11.25">
      <c r="F251" s="84"/>
    </row>
    <row r="252" s="59" customFormat="1" ht="11.25">
      <c r="F252" s="84"/>
    </row>
    <row r="253" s="59" customFormat="1" ht="11.25">
      <c r="F253" s="84"/>
    </row>
    <row r="254" s="59" customFormat="1" ht="11.25">
      <c r="F254" s="84"/>
    </row>
    <row r="255" s="59" customFormat="1" ht="11.25">
      <c r="F255" s="84"/>
    </row>
    <row r="256" s="59" customFormat="1" ht="11.25">
      <c r="F256" s="84"/>
    </row>
    <row r="257" s="59" customFormat="1" ht="11.25">
      <c r="F257" s="84"/>
    </row>
    <row r="258" s="59" customFormat="1" ht="11.25">
      <c r="F258" s="84"/>
    </row>
    <row r="259" s="59" customFormat="1" ht="11.25">
      <c r="F259" s="84"/>
    </row>
    <row r="260" s="59" customFormat="1" ht="11.25">
      <c r="F260" s="84"/>
    </row>
    <row r="261" s="59" customFormat="1" ht="11.25">
      <c r="F261" s="84"/>
    </row>
    <row r="262" s="59" customFormat="1" ht="11.25">
      <c r="F262" s="84"/>
    </row>
    <row r="263" s="59" customFormat="1" ht="11.25">
      <c r="F263" s="84"/>
    </row>
    <row r="264" s="59" customFormat="1" ht="11.25">
      <c r="F264" s="84"/>
    </row>
    <row r="265" s="59" customFormat="1" ht="11.25">
      <c r="F265" s="84"/>
    </row>
    <row r="266" s="59" customFormat="1" ht="11.25">
      <c r="F266" s="84"/>
    </row>
    <row r="267" s="59" customFormat="1" ht="11.25">
      <c r="F267" s="84"/>
    </row>
    <row r="268" s="59" customFormat="1" ht="11.25">
      <c r="F268" s="84"/>
    </row>
    <row r="269" s="59" customFormat="1" ht="11.25">
      <c r="F269" s="84"/>
    </row>
    <row r="270" s="59" customFormat="1" ht="11.25">
      <c r="F270" s="84"/>
    </row>
    <row r="271" s="59" customFormat="1" ht="11.25">
      <c r="F271" s="84"/>
    </row>
    <row r="272" s="59" customFormat="1" ht="11.25">
      <c r="F272" s="84"/>
    </row>
    <row r="273" s="59" customFormat="1" ht="11.25">
      <c r="F273" s="84"/>
    </row>
    <row r="274" s="59" customFormat="1" ht="11.25">
      <c r="F274" s="84"/>
    </row>
    <row r="275" s="59" customFormat="1" ht="11.25">
      <c r="F275" s="84"/>
    </row>
    <row r="276" s="59" customFormat="1" ht="11.25">
      <c r="F276" s="84"/>
    </row>
    <row r="277" s="59" customFormat="1" ht="11.25">
      <c r="F277" s="84"/>
    </row>
    <row r="278" s="59" customFormat="1" ht="11.25">
      <c r="F278" s="84"/>
    </row>
    <row r="279" s="59" customFormat="1" ht="11.25">
      <c r="F279" s="84"/>
    </row>
    <row r="280" s="59" customFormat="1" ht="11.25">
      <c r="F280" s="84"/>
    </row>
    <row r="281" s="59" customFormat="1" ht="11.25">
      <c r="F281" s="84"/>
    </row>
    <row r="282" s="59" customFormat="1" ht="11.25">
      <c r="F282" s="84"/>
    </row>
    <row r="283" s="59" customFormat="1" ht="11.25">
      <c r="F283" s="84"/>
    </row>
    <row r="284" s="59" customFormat="1" ht="11.25">
      <c r="F284" s="84"/>
    </row>
    <row r="285" s="59" customFormat="1" ht="11.25">
      <c r="F285" s="84"/>
    </row>
    <row r="286" s="59" customFormat="1" ht="11.25">
      <c r="F286" s="84"/>
    </row>
    <row r="287" s="59" customFormat="1" ht="11.25">
      <c r="F287" s="84"/>
    </row>
    <row r="288" s="59" customFormat="1" ht="11.25">
      <c r="F288" s="84"/>
    </row>
    <row r="289" s="59" customFormat="1" ht="11.25">
      <c r="F289" s="84"/>
    </row>
    <row r="290" s="59" customFormat="1" ht="11.25">
      <c r="F290" s="84"/>
    </row>
    <row r="291" s="59" customFormat="1" ht="11.25">
      <c r="F291" s="84"/>
    </row>
    <row r="292" s="59" customFormat="1" ht="11.25">
      <c r="F292" s="84"/>
    </row>
    <row r="293" s="59" customFormat="1" ht="11.25">
      <c r="F293" s="84"/>
    </row>
    <row r="294" s="59" customFormat="1" ht="11.25">
      <c r="F294" s="84"/>
    </row>
    <row r="295" s="59" customFormat="1" ht="11.25">
      <c r="F295" s="84"/>
    </row>
    <row r="296" s="59" customFormat="1" ht="11.25">
      <c r="F296" s="84"/>
    </row>
    <row r="297" s="59" customFormat="1" ht="11.25">
      <c r="F297" s="84"/>
    </row>
    <row r="298" s="59" customFormat="1" ht="11.25">
      <c r="F298" s="84"/>
    </row>
    <row r="299" s="59" customFormat="1" ht="11.25">
      <c r="F299" s="84"/>
    </row>
    <row r="300" s="59" customFormat="1" ht="11.25">
      <c r="F300" s="84"/>
    </row>
    <row r="301" s="59" customFormat="1" ht="11.25">
      <c r="F301" s="84"/>
    </row>
    <row r="302" s="59" customFormat="1" ht="11.25">
      <c r="F302" s="84"/>
    </row>
    <row r="303" s="59" customFormat="1" ht="11.25">
      <c r="F303" s="84"/>
    </row>
    <row r="304" s="59" customFormat="1" ht="11.25">
      <c r="F304" s="84"/>
    </row>
    <row r="305" s="59" customFormat="1" ht="11.25">
      <c r="F305" s="84"/>
    </row>
    <row r="306" s="59" customFormat="1" ht="11.25">
      <c r="F306" s="84"/>
    </row>
    <row r="307" s="59" customFormat="1" ht="11.25">
      <c r="F307" s="84"/>
    </row>
    <row r="308" s="59" customFormat="1" ht="11.25">
      <c r="F308" s="84"/>
    </row>
    <row r="309" s="59" customFormat="1" ht="11.25">
      <c r="F309" s="84"/>
    </row>
    <row r="310" s="59" customFormat="1" ht="11.25">
      <c r="F310" s="84"/>
    </row>
    <row r="311" s="59" customFormat="1" ht="11.25">
      <c r="F311" s="84"/>
    </row>
    <row r="312" s="59" customFormat="1" ht="11.25">
      <c r="F312" s="84"/>
    </row>
    <row r="313" s="59" customFormat="1" ht="11.25">
      <c r="F313" s="84"/>
    </row>
    <row r="314" s="59" customFormat="1" ht="11.25">
      <c r="F314" s="84"/>
    </row>
    <row r="315" s="59" customFormat="1" ht="11.25">
      <c r="F315" s="84"/>
    </row>
    <row r="316" s="59" customFormat="1" ht="11.25">
      <c r="F316" s="84"/>
    </row>
    <row r="317" s="59" customFormat="1" ht="11.25">
      <c r="F317" s="84"/>
    </row>
    <row r="318" s="59" customFormat="1" ht="11.25">
      <c r="F318" s="84"/>
    </row>
    <row r="319" s="59" customFormat="1" ht="11.25">
      <c r="F319" s="84"/>
    </row>
    <row r="320" s="59" customFormat="1" ht="11.25">
      <c r="F320" s="84"/>
    </row>
    <row r="321" s="59" customFormat="1" ht="11.25">
      <c r="F321" s="84"/>
    </row>
    <row r="322" s="59" customFormat="1" ht="11.25">
      <c r="F322" s="84"/>
    </row>
    <row r="323" s="59" customFormat="1" ht="11.25">
      <c r="F323" s="84"/>
    </row>
    <row r="324" s="59" customFormat="1" ht="11.25">
      <c r="F324" s="84"/>
    </row>
    <row r="325" s="59" customFormat="1" ht="11.25">
      <c r="F325" s="84"/>
    </row>
    <row r="326" s="59" customFormat="1" ht="11.25">
      <c r="F326" s="84"/>
    </row>
    <row r="327" s="59" customFormat="1" ht="11.25">
      <c r="F327" s="84"/>
    </row>
    <row r="328" s="59" customFormat="1" ht="11.25">
      <c r="F328" s="84"/>
    </row>
    <row r="329" s="59" customFormat="1" ht="11.25">
      <c r="F329" s="84"/>
    </row>
    <row r="330" s="59" customFormat="1" ht="11.25">
      <c r="F330" s="84"/>
    </row>
    <row r="331" s="59" customFormat="1" ht="11.25">
      <c r="F331" s="84"/>
    </row>
    <row r="332" s="59" customFormat="1" ht="11.25">
      <c r="F332" s="84"/>
    </row>
    <row r="333" s="59" customFormat="1" ht="11.25">
      <c r="F333" s="84"/>
    </row>
    <row r="334" s="59" customFormat="1" ht="11.25">
      <c r="F334" s="84"/>
    </row>
    <row r="335" s="59" customFormat="1" ht="11.25">
      <c r="F335" s="84"/>
    </row>
    <row r="336" s="59" customFormat="1" ht="11.25">
      <c r="F336" s="84"/>
    </row>
    <row r="337" s="59" customFormat="1" ht="11.25">
      <c r="F337" s="84"/>
    </row>
    <row r="338" s="59" customFormat="1" ht="11.25">
      <c r="F338" s="84"/>
    </row>
    <row r="339" s="59" customFormat="1" ht="11.25">
      <c r="F339" s="84"/>
    </row>
    <row r="340" s="59" customFormat="1" ht="11.25">
      <c r="F340" s="84"/>
    </row>
    <row r="341" s="59" customFormat="1" ht="11.25">
      <c r="F341" s="84"/>
    </row>
    <row r="342" s="59" customFormat="1" ht="11.25">
      <c r="F342" s="84"/>
    </row>
    <row r="343" s="59" customFormat="1" ht="11.25">
      <c r="F343" s="84"/>
    </row>
    <row r="344" s="59" customFormat="1" ht="11.25">
      <c r="F344" s="84"/>
    </row>
    <row r="345" s="59" customFormat="1" ht="11.25">
      <c r="F345" s="84"/>
    </row>
    <row r="346" s="59" customFormat="1" ht="11.25">
      <c r="F346" s="84"/>
    </row>
    <row r="347" s="59" customFormat="1" ht="11.25">
      <c r="F347" s="84"/>
    </row>
    <row r="348" s="59" customFormat="1" ht="11.25">
      <c r="F348" s="84"/>
    </row>
    <row r="349" s="59" customFormat="1" ht="11.25">
      <c r="F349" s="84"/>
    </row>
    <row r="350" s="59" customFormat="1" ht="11.25">
      <c r="F350" s="84"/>
    </row>
    <row r="351" s="59" customFormat="1" ht="11.25">
      <c r="F351" s="84"/>
    </row>
    <row r="352" s="59" customFormat="1" ht="11.25">
      <c r="F352" s="84"/>
    </row>
    <row r="353" s="59" customFormat="1" ht="11.25">
      <c r="F353" s="84"/>
    </row>
    <row r="354" s="59" customFormat="1" ht="11.25">
      <c r="F354" s="84"/>
    </row>
    <row r="355" s="59" customFormat="1" ht="11.25">
      <c r="F355" s="84"/>
    </row>
    <row r="356" s="59" customFormat="1" ht="11.25">
      <c r="F356" s="84"/>
    </row>
    <row r="357" s="59" customFormat="1" ht="11.25">
      <c r="F357" s="84"/>
    </row>
    <row r="358" s="59" customFormat="1" ht="11.25"/>
    <row r="359" s="59" customFormat="1" ht="11.25"/>
    <row r="360" s="59" customFormat="1" ht="11.25"/>
    <row r="361" s="59" customFormat="1" ht="11.25"/>
    <row r="362" s="59" customFormat="1" ht="11.25"/>
    <row r="363" s="59" customFormat="1" ht="11.25"/>
    <row r="364" s="59" customFormat="1" ht="11.25"/>
    <row r="365" s="59" customFormat="1" ht="11.25"/>
    <row r="366" s="59" customFormat="1" ht="11.25"/>
    <row r="367" s="59" customFormat="1" ht="11.25"/>
    <row r="368" s="59" customFormat="1" ht="11.25"/>
    <row r="369" s="59" customFormat="1" ht="11.25"/>
    <row r="370" s="59" customFormat="1" ht="11.25"/>
    <row r="371" s="59" customFormat="1" ht="11.25"/>
    <row r="372" s="59" customFormat="1" ht="11.25"/>
    <row r="373" s="59" customFormat="1" ht="11.25"/>
    <row r="374" s="59" customFormat="1" ht="11.25"/>
    <row r="375" s="59" customFormat="1" ht="11.25"/>
    <row r="376" s="59" customFormat="1" ht="11.25"/>
    <row r="377" s="59" customFormat="1" ht="11.25"/>
    <row r="378" s="59" customFormat="1" ht="11.25"/>
    <row r="379" s="59" customFormat="1" ht="11.25"/>
    <row r="380" s="59" customFormat="1" ht="11.25"/>
    <row r="381" s="59" customFormat="1" ht="11.25"/>
    <row r="382" s="59" customFormat="1" ht="11.25"/>
    <row r="383" s="59" customFormat="1" ht="11.25"/>
    <row r="384" s="59" customFormat="1" ht="11.25"/>
    <row r="385" s="59" customFormat="1" ht="11.25"/>
    <row r="386" s="59" customFormat="1" ht="11.25"/>
    <row r="387" s="59" customFormat="1" ht="11.25"/>
    <row r="388" s="59" customFormat="1" ht="11.25"/>
    <row r="389" s="59" customFormat="1" ht="11.25"/>
    <row r="390" s="59" customFormat="1" ht="11.25"/>
    <row r="391" s="59" customFormat="1" ht="11.25"/>
    <row r="392" s="59" customFormat="1" ht="11.25"/>
    <row r="393" s="59" customFormat="1" ht="11.25"/>
    <row r="394" s="59" customFormat="1" ht="11.25"/>
    <row r="395" s="59" customFormat="1" ht="11.25"/>
    <row r="396" s="59" customFormat="1" ht="11.25"/>
    <row r="397" s="59" customFormat="1" ht="11.25"/>
    <row r="398" s="59" customFormat="1" ht="11.25"/>
    <row r="399" s="59" customFormat="1" ht="11.25"/>
    <row r="400" s="59" customFormat="1" ht="11.25"/>
    <row r="401" s="59" customFormat="1" ht="11.25"/>
    <row r="402" s="59" customFormat="1" ht="11.25"/>
    <row r="403" s="59" customFormat="1" ht="11.25"/>
    <row r="404" s="59" customFormat="1" ht="11.25"/>
    <row r="405" s="59" customFormat="1" ht="11.25"/>
    <row r="406" s="59" customFormat="1" ht="11.25"/>
    <row r="407" s="59" customFormat="1" ht="11.25"/>
    <row r="408" s="59" customFormat="1" ht="11.25"/>
    <row r="409" s="59" customFormat="1" ht="11.25"/>
    <row r="410" s="59" customFormat="1" ht="11.25"/>
    <row r="411" s="59" customFormat="1" ht="11.25"/>
    <row r="412" s="59" customFormat="1" ht="11.25"/>
    <row r="413" s="59" customFormat="1" ht="11.25"/>
    <row r="414" s="59" customFormat="1" ht="11.25"/>
    <row r="415" s="59" customFormat="1" ht="11.25"/>
    <row r="416" s="59" customFormat="1" ht="11.25"/>
    <row r="417" s="59" customFormat="1" ht="11.25"/>
    <row r="418" s="59" customFormat="1" ht="11.25"/>
    <row r="419" s="59" customFormat="1" ht="11.25"/>
    <row r="420" s="59" customFormat="1" ht="11.25"/>
    <row r="421" s="59" customFormat="1" ht="11.25"/>
    <row r="422" s="59" customFormat="1" ht="11.25"/>
    <row r="423" s="59" customFormat="1" ht="11.25"/>
    <row r="424" s="59" customFormat="1" ht="11.25"/>
    <row r="425" s="59" customFormat="1" ht="11.25"/>
    <row r="426" s="59" customFormat="1" ht="11.25"/>
    <row r="427" s="59" customFormat="1" ht="11.25"/>
    <row r="428" s="59" customFormat="1" ht="11.25"/>
    <row r="429" s="59" customFormat="1" ht="11.25"/>
    <row r="430" s="59" customFormat="1" ht="11.25"/>
    <row r="431" s="59" customFormat="1" ht="11.25"/>
    <row r="432" s="59" customFormat="1" ht="11.25"/>
    <row r="433" s="59" customFormat="1" ht="11.25"/>
    <row r="434" s="59" customFormat="1" ht="11.25"/>
    <row r="435" s="59" customFormat="1" ht="11.25"/>
    <row r="436" s="59" customFormat="1" ht="11.25"/>
    <row r="437" s="59" customFormat="1" ht="11.25"/>
    <row r="438" s="59" customFormat="1" ht="11.25"/>
    <row r="439" s="59" customFormat="1" ht="11.25"/>
    <row r="440" s="59" customFormat="1" ht="11.25"/>
    <row r="441" s="59" customFormat="1" ht="11.25"/>
    <row r="442" s="59" customFormat="1" ht="11.25"/>
    <row r="443" s="59" customFormat="1" ht="11.25"/>
    <row r="444" s="59" customFormat="1" ht="11.25"/>
    <row r="445" s="59" customFormat="1" ht="11.25"/>
    <row r="446" s="59" customFormat="1" ht="11.25"/>
    <row r="447" s="59" customFormat="1" ht="11.25"/>
    <row r="448" s="59" customFormat="1" ht="11.25"/>
    <row r="449" s="59" customFormat="1" ht="11.25"/>
    <row r="450" s="59" customFormat="1" ht="11.25"/>
    <row r="451" s="59" customFormat="1" ht="11.25"/>
    <row r="452" s="59" customFormat="1" ht="11.25"/>
    <row r="453" s="59" customFormat="1" ht="11.25"/>
    <row r="454" s="59" customFormat="1" ht="11.25"/>
    <row r="455" s="59" customFormat="1" ht="11.25"/>
    <row r="456" s="59" customFormat="1" ht="11.25"/>
    <row r="457" s="59" customFormat="1" ht="11.25"/>
    <row r="458" s="59" customFormat="1" ht="11.25"/>
    <row r="459" s="59" customFormat="1" ht="11.25"/>
    <row r="460" s="59" customFormat="1" ht="11.25"/>
    <row r="461" s="59" customFormat="1" ht="11.25"/>
    <row r="462" s="59" customFormat="1" ht="11.25"/>
    <row r="463" s="59" customFormat="1" ht="11.25"/>
    <row r="464" s="59" customFormat="1" ht="11.25"/>
    <row r="465" s="59" customFormat="1" ht="11.25"/>
    <row r="466" s="59" customFormat="1" ht="11.25"/>
    <row r="467" s="59" customFormat="1" ht="11.25"/>
    <row r="468" s="59" customFormat="1" ht="11.25"/>
    <row r="469" s="59" customFormat="1" ht="11.25"/>
    <row r="470" s="59" customFormat="1" ht="11.25"/>
    <row r="471" s="59" customFormat="1" ht="11.25"/>
    <row r="472" s="59" customFormat="1" ht="11.25"/>
    <row r="473" s="59" customFormat="1" ht="11.25"/>
    <row r="474" s="59" customFormat="1" ht="11.25"/>
    <row r="475" s="59" customFormat="1" ht="11.25"/>
    <row r="476" s="59" customFormat="1" ht="11.25"/>
    <row r="477" s="59" customFormat="1" ht="11.25"/>
    <row r="478" s="59" customFormat="1" ht="11.25"/>
    <row r="479" s="59" customFormat="1" ht="11.25"/>
    <row r="480" s="59" customFormat="1" ht="11.25"/>
    <row r="481" s="59" customFormat="1" ht="11.25"/>
    <row r="482" s="59" customFormat="1" ht="11.25"/>
    <row r="483" s="59" customFormat="1" ht="11.25"/>
    <row r="484" s="59" customFormat="1" ht="11.25"/>
    <row r="485" s="59" customFormat="1" ht="11.25"/>
    <row r="486" s="59" customFormat="1" ht="11.25"/>
    <row r="487" s="59" customFormat="1" ht="11.25"/>
    <row r="488" s="59" customFormat="1" ht="11.25"/>
    <row r="489" s="59" customFormat="1" ht="11.25"/>
    <row r="490" s="59" customFormat="1" ht="11.25"/>
    <row r="491" s="59" customFormat="1" ht="11.25"/>
    <row r="492" s="59" customFormat="1" ht="11.25"/>
    <row r="493" s="59" customFormat="1" ht="11.25"/>
    <row r="494" s="59" customFormat="1" ht="11.25"/>
    <row r="495" s="59" customFormat="1" ht="11.25"/>
    <row r="496" s="59" customFormat="1" ht="11.25"/>
    <row r="497" s="59" customFormat="1" ht="11.25"/>
    <row r="498" s="59" customFormat="1" ht="11.25"/>
    <row r="499" s="59" customFormat="1" ht="11.25"/>
    <row r="500" s="59" customFormat="1" ht="11.25"/>
    <row r="501" s="59" customFormat="1" ht="11.25"/>
    <row r="502" s="59" customFormat="1" ht="11.25"/>
    <row r="503" s="59" customFormat="1" ht="11.25"/>
    <row r="504" s="59" customFormat="1" ht="11.25"/>
    <row r="505" s="59" customFormat="1" ht="11.25"/>
    <row r="506" s="59" customFormat="1" ht="11.25"/>
    <row r="507" s="59" customFormat="1" ht="11.25"/>
    <row r="508" s="59" customFormat="1" ht="11.25"/>
    <row r="509" s="59" customFormat="1" ht="11.25"/>
    <row r="510" s="59" customFormat="1" ht="11.25"/>
    <row r="511" s="59" customFormat="1" ht="11.25"/>
    <row r="512" s="59" customFormat="1" ht="11.25"/>
    <row r="513" s="59" customFormat="1" ht="11.25"/>
    <row r="514" s="59" customFormat="1" ht="11.25"/>
    <row r="515" s="59" customFormat="1" ht="11.25"/>
    <row r="516" s="59" customFormat="1" ht="11.25"/>
    <row r="517" s="59" customFormat="1" ht="11.25"/>
    <row r="518" s="59" customFormat="1" ht="11.25"/>
    <row r="519" s="59" customFormat="1" ht="11.25"/>
    <row r="520" s="59" customFormat="1" ht="11.25"/>
    <row r="521" s="59" customFormat="1" ht="11.25"/>
    <row r="522" s="59" customFormat="1" ht="11.25"/>
    <row r="523" s="59" customFormat="1" ht="11.25"/>
    <row r="524" s="59" customFormat="1" ht="11.25"/>
    <row r="525" s="59" customFormat="1" ht="11.25"/>
    <row r="526" s="59" customFormat="1" ht="11.25"/>
    <row r="527" s="59" customFormat="1" ht="11.25"/>
    <row r="528" s="59" customFormat="1" ht="11.25"/>
    <row r="529" s="59" customFormat="1" ht="11.25"/>
    <row r="530" s="59" customFormat="1" ht="11.25"/>
    <row r="531" s="59" customFormat="1" ht="11.25"/>
    <row r="532" s="59" customFormat="1" ht="11.25"/>
    <row r="533" s="59" customFormat="1" ht="11.25"/>
    <row r="534" s="59" customFormat="1" ht="11.25"/>
    <row r="535" s="59" customFormat="1" ht="11.25"/>
    <row r="536" s="59" customFormat="1" ht="11.25"/>
    <row r="537" s="59" customFormat="1" ht="11.25"/>
    <row r="538" s="59" customFormat="1" ht="11.25"/>
    <row r="539" s="59" customFormat="1" ht="11.25"/>
    <row r="540" s="59" customFormat="1" ht="11.25"/>
    <row r="541" s="59" customFormat="1" ht="11.25"/>
    <row r="542" s="59" customFormat="1" ht="11.25"/>
    <row r="543" s="59" customFormat="1" ht="11.25"/>
    <row r="544" s="59" customFormat="1" ht="11.25"/>
    <row r="545" s="59" customFormat="1" ht="11.25"/>
    <row r="546" s="59" customFormat="1" ht="11.25"/>
    <row r="547" s="59" customFormat="1" ht="11.25"/>
    <row r="548" s="59" customFormat="1" ht="11.25"/>
    <row r="549" s="59" customFormat="1" ht="11.25"/>
    <row r="550" s="59" customFormat="1" ht="11.25"/>
    <row r="551" s="59" customFormat="1" ht="11.25"/>
    <row r="552" s="59" customFormat="1" ht="11.25"/>
    <row r="553" s="59" customFormat="1" ht="11.25"/>
    <row r="554" s="59" customFormat="1" ht="11.25"/>
    <row r="555" s="59" customFormat="1" ht="11.25"/>
    <row r="556" s="59" customFormat="1" ht="11.25"/>
    <row r="557" s="59" customFormat="1" ht="11.25"/>
    <row r="558" s="59" customFormat="1" ht="11.25"/>
    <row r="559" s="59" customFormat="1" ht="11.25"/>
    <row r="560" s="59" customFormat="1" ht="11.25"/>
    <row r="561" s="59" customFormat="1" ht="11.25"/>
    <row r="562" s="59" customFormat="1" ht="11.25"/>
    <row r="563" s="59" customFormat="1" ht="11.25"/>
    <row r="564" s="59" customFormat="1" ht="11.25"/>
    <row r="565" s="59" customFormat="1" ht="11.25"/>
    <row r="566" s="59" customFormat="1" ht="11.25"/>
    <row r="567" s="59" customFormat="1" ht="11.25"/>
    <row r="568" s="59" customFormat="1" ht="11.25"/>
    <row r="569" s="59" customFormat="1" ht="11.25"/>
    <row r="570" s="59" customFormat="1" ht="11.25"/>
    <row r="571" s="59" customFormat="1" ht="11.25"/>
    <row r="572" s="59" customFormat="1" ht="11.25"/>
    <row r="573" s="59" customFormat="1" ht="11.25"/>
    <row r="574" s="59" customFormat="1" ht="11.25"/>
    <row r="575" s="59" customFormat="1" ht="11.25"/>
    <row r="576" s="59" customFormat="1" ht="11.25"/>
    <row r="577" s="59" customFormat="1" ht="11.25"/>
    <row r="578" s="59" customFormat="1" ht="11.25"/>
    <row r="579" s="59" customFormat="1" ht="11.25"/>
    <row r="580" s="59" customFormat="1" ht="11.25"/>
    <row r="581" s="59" customFormat="1" ht="11.25"/>
    <row r="582" s="59" customFormat="1" ht="11.25"/>
    <row r="583" s="59" customFormat="1" ht="11.25"/>
    <row r="584" s="59" customFormat="1" ht="11.25"/>
    <row r="585" s="59" customFormat="1" ht="11.25"/>
    <row r="586" s="59" customFormat="1" ht="11.25"/>
    <row r="587" s="59" customFormat="1" ht="11.25"/>
    <row r="588" s="59" customFormat="1" ht="11.25"/>
    <row r="589" s="59" customFormat="1" ht="11.25"/>
    <row r="590" s="59" customFormat="1" ht="11.25"/>
    <row r="591" s="59" customFormat="1" ht="11.25"/>
    <row r="592" s="59" customFormat="1" ht="11.25"/>
    <row r="593" s="59" customFormat="1" ht="11.25"/>
    <row r="594" s="59" customFormat="1" ht="11.25"/>
    <row r="595" s="59" customFormat="1" ht="11.25"/>
    <row r="596" s="59" customFormat="1" ht="11.25"/>
    <row r="597" s="59" customFormat="1" ht="11.25"/>
    <row r="598" s="59" customFormat="1" ht="11.25"/>
    <row r="599" s="59" customFormat="1" ht="11.25"/>
    <row r="600" s="59" customFormat="1" ht="11.25"/>
    <row r="601" s="59" customFormat="1" ht="11.25"/>
    <row r="602" s="59" customFormat="1" ht="11.25"/>
    <row r="603" s="59" customFormat="1" ht="11.25"/>
    <row r="604" s="59" customFormat="1" ht="11.25"/>
    <row r="605" s="59" customFormat="1" ht="11.25"/>
    <row r="606" s="59" customFormat="1" ht="11.25"/>
    <row r="607" s="59" customFormat="1" ht="11.25"/>
    <row r="608" s="59" customFormat="1" ht="11.25"/>
    <row r="609" s="59" customFormat="1" ht="11.25"/>
    <row r="610" s="59" customFormat="1" ht="11.25"/>
    <row r="611" s="59" customFormat="1" ht="11.25"/>
    <row r="612" s="59" customFormat="1" ht="11.25"/>
    <row r="613" s="59" customFormat="1" ht="11.25"/>
    <row r="614" s="59" customFormat="1" ht="11.25"/>
    <row r="615" s="59" customFormat="1" ht="11.25"/>
    <row r="616" s="59" customFormat="1" ht="11.25"/>
    <row r="617" s="59" customFormat="1" ht="11.25"/>
    <row r="618" s="59" customFormat="1" ht="11.25"/>
    <row r="619" s="59" customFormat="1" ht="11.25"/>
    <row r="620" s="59" customFormat="1" ht="11.25"/>
    <row r="621" s="59" customFormat="1" ht="11.25"/>
    <row r="622" s="59" customFormat="1" ht="11.25"/>
    <row r="623" s="59" customFormat="1" ht="11.25"/>
    <row r="624" s="59" customFormat="1" ht="11.25"/>
    <row r="625" s="59" customFormat="1" ht="11.25"/>
    <row r="626" s="59" customFormat="1" ht="11.25"/>
    <row r="627" s="59" customFormat="1" ht="11.25"/>
    <row r="628" s="59" customFormat="1" ht="11.25"/>
    <row r="629" s="59" customFormat="1" ht="11.25"/>
    <row r="630" s="59" customFormat="1" ht="11.25"/>
    <row r="631" s="59" customFormat="1" ht="11.25"/>
    <row r="632" s="59" customFormat="1" ht="11.25"/>
    <row r="633" s="59" customFormat="1" ht="11.25"/>
    <row r="634" s="59" customFormat="1" ht="11.25"/>
    <row r="635" s="59" customFormat="1" ht="11.25"/>
    <row r="636" s="59" customFormat="1" ht="11.25"/>
    <row r="637" s="59" customFormat="1" ht="11.25"/>
    <row r="638" s="59" customFormat="1" ht="11.25"/>
    <row r="639" s="59" customFormat="1" ht="11.25"/>
    <row r="640" s="59" customFormat="1" ht="11.25"/>
    <row r="641" s="59" customFormat="1" ht="11.25"/>
    <row r="642" s="59" customFormat="1" ht="11.25"/>
    <row r="643" s="59" customFormat="1" ht="11.25"/>
    <row r="644" s="59" customFormat="1" ht="11.25"/>
    <row r="645" s="59" customFormat="1" ht="11.25"/>
    <row r="646" s="59" customFormat="1" ht="11.25"/>
    <row r="647" s="59" customFormat="1" ht="11.25"/>
    <row r="648" s="59" customFormat="1" ht="11.25"/>
    <row r="649" s="59" customFormat="1" ht="11.25"/>
    <row r="650" s="59" customFormat="1" ht="11.25"/>
    <row r="651" s="59" customFormat="1" ht="11.25"/>
    <row r="652" s="59" customFormat="1" ht="11.25"/>
    <row r="653" s="59" customFormat="1" ht="11.25"/>
    <row r="654" s="59" customFormat="1" ht="11.25"/>
    <row r="655" s="59" customFormat="1" ht="11.25"/>
    <row r="656" s="59" customFormat="1" ht="11.25"/>
    <row r="657" s="59" customFormat="1" ht="11.25"/>
    <row r="658" s="59" customFormat="1" ht="11.25"/>
    <row r="659" s="59" customFormat="1" ht="11.25"/>
    <row r="660" s="59" customFormat="1" ht="11.25"/>
    <row r="661" s="59" customFormat="1" ht="11.25"/>
    <row r="662" s="59" customFormat="1" ht="11.25"/>
    <row r="663" s="59" customFormat="1" ht="11.25"/>
    <row r="664" s="59" customFormat="1" ht="11.25"/>
    <row r="665" s="59" customFormat="1" ht="11.25"/>
    <row r="666" s="59" customFormat="1" ht="11.25"/>
    <row r="667" s="59" customFormat="1" ht="11.25"/>
    <row r="668" s="59" customFormat="1" ht="11.25"/>
    <row r="669" s="59" customFormat="1" ht="11.25"/>
    <row r="670" s="59" customFormat="1" ht="11.25"/>
    <row r="671" s="59" customFormat="1" ht="11.25"/>
    <row r="672" s="59" customFormat="1" ht="11.25"/>
    <row r="673" s="59" customFormat="1" ht="11.25"/>
    <row r="674" s="59" customFormat="1" ht="11.25"/>
    <row r="675" s="59" customFormat="1" ht="11.25"/>
    <row r="676" s="59" customFormat="1" ht="11.25"/>
    <row r="677" s="59" customFormat="1" ht="11.25"/>
    <row r="678" s="59" customFormat="1" ht="11.25"/>
    <row r="679" s="59" customFormat="1" ht="11.25"/>
    <row r="680" s="59" customFormat="1" ht="11.25"/>
    <row r="681" s="59" customFormat="1" ht="11.25"/>
    <row r="682" s="59" customFormat="1" ht="11.25"/>
    <row r="683" s="59" customFormat="1" ht="11.25"/>
    <row r="684" s="59" customFormat="1" ht="11.25"/>
    <row r="685" s="59" customFormat="1" ht="11.25"/>
    <row r="686" s="59" customFormat="1" ht="11.25"/>
    <row r="687" s="59" customFormat="1" ht="11.25"/>
    <row r="688" s="59" customFormat="1" ht="11.25"/>
    <row r="689" s="59" customFormat="1" ht="11.25"/>
    <row r="690" s="59" customFormat="1" ht="11.25"/>
    <row r="691" s="59" customFormat="1" ht="11.25"/>
    <row r="692" s="59" customFormat="1" ht="11.25"/>
    <row r="693" s="59" customFormat="1" ht="11.25"/>
    <row r="694" s="59" customFormat="1" ht="11.25"/>
    <row r="695" s="59" customFormat="1" ht="11.25"/>
    <row r="696" s="59" customFormat="1" ht="11.25"/>
    <row r="697" s="59" customFormat="1" ht="11.25"/>
    <row r="698" s="59" customFormat="1" ht="11.25"/>
    <row r="699" s="59" customFormat="1" ht="11.25"/>
    <row r="700" s="59" customFormat="1" ht="11.25"/>
    <row r="701" s="59" customFormat="1" ht="11.25"/>
    <row r="702" s="59" customFormat="1" ht="11.25"/>
    <row r="703" s="59" customFormat="1" ht="11.25"/>
    <row r="704" s="59" customFormat="1" ht="11.25"/>
    <row r="705" s="59" customFormat="1" ht="11.25"/>
    <row r="706" s="59" customFormat="1" ht="11.25"/>
    <row r="707" s="59" customFormat="1" ht="11.25"/>
    <row r="708" s="59" customFormat="1" ht="11.25"/>
    <row r="709" s="59" customFormat="1" ht="11.25"/>
    <row r="710" s="59" customFormat="1" ht="11.25"/>
    <row r="711" s="59" customFormat="1" ht="11.25"/>
    <row r="712" s="59" customFormat="1" ht="11.25"/>
    <row r="713" s="59" customFormat="1" ht="11.25"/>
    <row r="714" s="59" customFormat="1" ht="11.25"/>
    <row r="715" s="59" customFormat="1" ht="11.25"/>
    <row r="716" s="59" customFormat="1" ht="11.25"/>
    <row r="717" s="59" customFormat="1" ht="11.25"/>
    <row r="718" s="59" customFormat="1" ht="11.25"/>
    <row r="719" s="59" customFormat="1" ht="11.25"/>
    <row r="720" s="59" customFormat="1" ht="11.25"/>
    <row r="721" s="59" customFormat="1" ht="11.25"/>
    <row r="722" s="59" customFormat="1" ht="11.25"/>
    <row r="723" s="59" customFormat="1" ht="11.25"/>
    <row r="724" s="59" customFormat="1" ht="11.25"/>
    <row r="725" s="59" customFormat="1" ht="11.25"/>
    <row r="726" s="59" customFormat="1" ht="11.25"/>
    <row r="727" s="59" customFormat="1" ht="11.25"/>
    <row r="728" s="59" customFormat="1" ht="11.25"/>
    <row r="729" s="59" customFormat="1" ht="11.25"/>
    <row r="730" s="59" customFormat="1" ht="11.25"/>
    <row r="731" s="59" customFormat="1" ht="11.25"/>
    <row r="732" s="59" customFormat="1" ht="11.25"/>
    <row r="733" s="59" customFormat="1" ht="11.25"/>
    <row r="734" s="59" customFormat="1" ht="11.25"/>
    <row r="735" s="59" customFormat="1" ht="11.25"/>
    <row r="736" s="59" customFormat="1" ht="11.25"/>
    <row r="737" s="59" customFormat="1" ht="11.25"/>
    <row r="738" s="59" customFormat="1" ht="11.25"/>
    <row r="739" s="59" customFormat="1" ht="11.25"/>
    <row r="740" s="59" customFormat="1" ht="11.25"/>
    <row r="741" s="59" customFormat="1" ht="11.25"/>
    <row r="742" s="59" customFormat="1" ht="11.25"/>
    <row r="743" s="59" customFormat="1" ht="11.25"/>
    <row r="744" s="59" customFormat="1" ht="11.25"/>
    <row r="745" s="59" customFormat="1" ht="11.25"/>
    <row r="746" s="59" customFormat="1" ht="11.25"/>
    <row r="747" s="59" customFormat="1" ht="11.25"/>
    <row r="748" s="59" customFormat="1" ht="11.25"/>
    <row r="749" s="59" customFormat="1" ht="11.25"/>
    <row r="750" s="59" customFormat="1" ht="11.25"/>
    <row r="751" s="59" customFormat="1" ht="11.25"/>
    <row r="752" s="59" customFormat="1" ht="11.25"/>
    <row r="753" s="59" customFormat="1" ht="11.25"/>
    <row r="754" s="59" customFormat="1" ht="11.25"/>
    <row r="755" s="59" customFormat="1" ht="11.25"/>
    <row r="756" s="59" customFormat="1" ht="11.25"/>
    <row r="757" s="59" customFormat="1" ht="11.25"/>
    <row r="758" s="59" customFormat="1" ht="11.25"/>
    <row r="759" s="59" customFormat="1" ht="11.25"/>
    <row r="760" s="59" customFormat="1" ht="11.25"/>
    <row r="761" s="59" customFormat="1" ht="11.25"/>
    <row r="762" s="59" customFormat="1" ht="11.25"/>
    <row r="763" s="59" customFormat="1" ht="11.25"/>
    <row r="764" s="59" customFormat="1" ht="11.25"/>
    <row r="765" s="59" customFormat="1" ht="11.25"/>
    <row r="766" s="59" customFormat="1" ht="11.25"/>
    <row r="767" s="59" customFormat="1" ht="11.25"/>
    <row r="768" s="59" customFormat="1" ht="11.25"/>
    <row r="769" s="59" customFormat="1" ht="11.25"/>
    <row r="770" s="59" customFormat="1" ht="11.25"/>
    <row r="771" s="59" customFormat="1" ht="11.25"/>
    <row r="772" s="59" customFormat="1" ht="11.25"/>
    <row r="773" s="59" customFormat="1" ht="11.25"/>
    <row r="774" s="59" customFormat="1" ht="11.25"/>
    <row r="775" s="59" customFormat="1" ht="11.25"/>
    <row r="776" s="59" customFormat="1" ht="11.25"/>
    <row r="777" s="59" customFormat="1" ht="11.25"/>
    <row r="778" s="59" customFormat="1" ht="11.25"/>
    <row r="779" s="59" customFormat="1" ht="11.25"/>
    <row r="780" s="59" customFormat="1" ht="11.25"/>
    <row r="781" s="59" customFormat="1" ht="11.25"/>
    <row r="782" s="59" customFormat="1" ht="11.25"/>
    <row r="783" s="59" customFormat="1" ht="11.25"/>
    <row r="784" s="59" customFormat="1" ht="11.25"/>
    <row r="785" s="59" customFormat="1" ht="11.25"/>
    <row r="786" s="59" customFormat="1" ht="11.25"/>
    <row r="787" s="59" customFormat="1" ht="11.25"/>
    <row r="788" s="59" customFormat="1" ht="11.25"/>
    <row r="789" s="59" customFormat="1" ht="11.25"/>
    <row r="790" s="59" customFormat="1" ht="11.25"/>
    <row r="791" s="59" customFormat="1" ht="11.25"/>
    <row r="792" s="59" customFormat="1" ht="11.25"/>
    <row r="793" s="59" customFormat="1" ht="11.25"/>
    <row r="794" s="59" customFormat="1" ht="11.25"/>
    <row r="795" s="59" customFormat="1" ht="11.25"/>
    <row r="796" s="59" customFormat="1" ht="11.25"/>
    <row r="797" s="59" customFormat="1" ht="11.25"/>
    <row r="798" s="59" customFormat="1" ht="11.25"/>
    <row r="799" s="59" customFormat="1" ht="11.25"/>
    <row r="800" s="59" customFormat="1" ht="11.25"/>
    <row r="801" s="59" customFormat="1" ht="11.25"/>
    <row r="802" s="59" customFormat="1" ht="11.25"/>
    <row r="803" s="59" customFormat="1" ht="11.25"/>
    <row r="804" s="59" customFormat="1" ht="11.25"/>
  </sheetData>
  <printOptions horizontalCentered="1"/>
  <pageMargins left="0.167" right="0.167" top="0.52" bottom="0.75" header="0" footer="0.28"/>
  <pageSetup fitToHeight="1" fitToWidth="1" horizontalDpi="600" verticalDpi="600" orientation="portrait" scale="91" r:id="rId1"/>
  <headerFooter alignWithMargins="0">
    <oddFooter>&amp;C&amp;"Arial,Italic"&amp;9Vegetables and Melons Outlook&amp;"Arial,Regular"/VGS-330/December 16, 2008
Economic Research Service, USDA</oddFooter>
  </headerFooter>
</worksheet>
</file>

<file path=xl/worksheets/sheet9.xml><?xml version="1.0" encoding="utf-8"?>
<worksheet xmlns="http://schemas.openxmlformats.org/spreadsheetml/2006/main" xmlns:r="http://schemas.openxmlformats.org/officeDocument/2006/relationships">
  <sheetPr transitionEvaluation="1" transitionEntry="1">
    <tabColor indexed="11"/>
    <pageSetUpPr fitToPage="1"/>
  </sheetPr>
  <dimension ref="A2:X2210"/>
  <sheetViews>
    <sheetView showGridLines="0" workbookViewId="0" topLeftCell="A1">
      <selection activeCell="A1" sqref="A1"/>
    </sheetView>
  </sheetViews>
  <sheetFormatPr defaultColWidth="9.7109375" defaultRowHeight="12.75"/>
  <cols>
    <col min="1" max="1" width="11.421875" style="88" customWidth="1"/>
    <col min="2" max="2" width="4.8515625" style="88" customWidth="1"/>
    <col min="3" max="14" width="6.00390625" style="88" customWidth="1"/>
    <col min="15" max="15" width="8.7109375" style="88" customWidth="1"/>
    <col min="16" max="16" width="3.57421875" style="88" customWidth="1"/>
    <col min="17" max="20" width="6.421875" style="88" customWidth="1"/>
    <col min="21" max="16384" width="9.7109375" style="88" customWidth="1"/>
  </cols>
  <sheetData>
    <row r="2" spans="1:20" ht="15.75" customHeight="1">
      <c r="A2" s="189" t="s">
        <v>411</v>
      </c>
      <c r="B2" s="86"/>
      <c r="C2" s="86"/>
      <c r="D2" s="86"/>
      <c r="E2" s="86"/>
      <c r="F2" s="86"/>
      <c r="G2" s="86"/>
      <c r="H2" s="86"/>
      <c r="I2" s="86"/>
      <c r="J2" s="86"/>
      <c r="K2" s="86"/>
      <c r="L2" s="86"/>
      <c r="M2" s="86"/>
      <c r="N2" s="86"/>
      <c r="O2" s="86"/>
      <c r="P2" s="87"/>
      <c r="Q2" s="202" t="s">
        <v>158</v>
      </c>
      <c r="R2" s="86"/>
      <c r="S2" s="86"/>
      <c r="T2" s="86"/>
    </row>
    <row r="3" spans="1:22" ht="12">
      <c r="A3" s="339" t="s">
        <v>118</v>
      </c>
      <c r="B3" s="340" t="s">
        <v>119</v>
      </c>
      <c r="C3" s="341" t="s">
        <v>97</v>
      </c>
      <c r="D3" s="341" t="s">
        <v>98</v>
      </c>
      <c r="E3" s="341" t="s">
        <v>99</v>
      </c>
      <c r="F3" s="341" t="s">
        <v>100</v>
      </c>
      <c r="G3" s="341" t="s">
        <v>101</v>
      </c>
      <c r="H3" s="341" t="s">
        <v>102</v>
      </c>
      <c r="I3" s="341" t="s">
        <v>103</v>
      </c>
      <c r="J3" s="341" t="s">
        <v>104</v>
      </c>
      <c r="K3" s="341" t="s">
        <v>105</v>
      </c>
      <c r="L3" s="341" t="s">
        <v>106</v>
      </c>
      <c r="M3" s="341" t="s">
        <v>107</v>
      </c>
      <c r="N3" s="341" t="s">
        <v>108</v>
      </c>
      <c r="O3" s="340" t="s">
        <v>22</v>
      </c>
      <c r="P3" s="87"/>
      <c r="Q3" s="464" t="s">
        <v>389</v>
      </c>
      <c r="R3" s="464" t="s">
        <v>388</v>
      </c>
      <c r="S3" s="464" t="s">
        <v>390</v>
      </c>
      <c r="T3" s="464" t="s">
        <v>391</v>
      </c>
      <c r="U3" s="166"/>
      <c r="V3" s="166"/>
    </row>
    <row r="4" spans="1:22" ht="15" customHeight="1">
      <c r="A4" s="89"/>
      <c r="B4" s="90"/>
      <c r="C4" s="203" t="s">
        <v>120</v>
      </c>
      <c r="D4" s="91"/>
      <c r="E4" s="91"/>
      <c r="F4" s="91"/>
      <c r="G4" s="91"/>
      <c r="H4" s="204"/>
      <c r="I4" s="91"/>
      <c r="J4" s="91"/>
      <c r="K4" s="91"/>
      <c r="L4" s="91"/>
      <c r="M4" s="91"/>
      <c r="N4" s="91"/>
      <c r="O4" s="91"/>
      <c r="P4" s="87"/>
      <c r="Q4" s="166"/>
      <c r="R4" s="166"/>
      <c r="S4" s="166"/>
      <c r="T4" s="166"/>
      <c r="U4" s="166"/>
      <c r="V4" s="166"/>
    </row>
    <row r="5" spans="1:22" ht="3" customHeight="1">
      <c r="A5" s="89"/>
      <c r="B5" s="92"/>
      <c r="C5" s="90"/>
      <c r="D5" s="90"/>
      <c r="E5" s="90"/>
      <c r="F5" s="90"/>
      <c r="G5" s="90"/>
      <c r="H5" s="90"/>
      <c r="I5" s="90"/>
      <c r="J5" s="90"/>
      <c r="K5" s="90"/>
      <c r="L5" s="90"/>
      <c r="M5" s="90"/>
      <c r="N5" s="90"/>
      <c r="O5" s="93"/>
      <c r="P5" s="87"/>
      <c r="Q5" s="166"/>
      <c r="R5" s="166"/>
      <c r="S5" s="166"/>
      <c r="T5" s="166"/>
      <c r="U5" s="166"/>
      <c r="V5" s="166"/>
    </row>
    <row r="6" spans="1:22" ht="10.5" customHeight="1">
      <c r="A6" s="510" t="s">
        <v>259</v>
      </c>
      <c r="B6" s="94">
        <v>1995</v>
      </c>
      <c r="C6" s="95">
        <v>803</v>
      </c>
      <c r="D6" s="95">
        <v>772</v>
      </c>
      <c r="E6" s="95">
        <v>989</v>
      </c>
      <c r="F6" s="95">
        <v>1161</v>
      </c>
      <c r="G6" s="95">
        <v>1037</v>
      </c>
      <c r="H6" s="95">
        <v>808</v>
      </c>
      <c r="I6" s="95">
        <v>653</v>
      </c>
      <c r="J6" s="95">
        <v>680</v>
      </c>
      <c r="K6" s="95">
        <v>781</v>
      </c>
      <c r="L6" s="95">
        <v>651</v>
      </c>
      <c r="M6" s="95">
        <v>658</v>
      </c>
      <c r="N6" s="95">
        <v>678</v>
      </c>
      <c r="O6" s="96">
        <v>805.9166666666666</v>
      </c>
      <c r="P6" s="87"/>
      <c r="Q6" s="507">
        <f aca="true" t="shared" si="0" ref="Q6:Q19">AVERAGE(C6:E6)</f>
        <v>854.6666666666666</v>
      </c>
      <c r="R6" s="507">
        <f aca="true" t="shared" si="1" ref="R6:R17">AVERAGE(F6:H6)</f>
        <v>1002</v>
      </c>
      <c r="S6" s="507">
        <f aca="true" t="shared" si="2" ref="S6:S12">AVERAGE(I6:K6)</f>
        <v>704.6666666666666</v>
      </c>
      <c r="T6" s="507">
        <f aca="true" t="shared" si="3" ref="T6:T16">AVERAGE(L6:N6)</f>
        <v>662.3333333333334</v>
      </c>
      <c r="U6" s="166"/>
      <c r="V6" s="166"/>
    </row>
    <row r="7" spans="1:22" ht="10.5" customHeight="1">
      <c r="A7" s="511" t="s">
        <v>260</v>
      </c>
      <c r="B7" s="94">
        <v>1996</v>
      </c>
      <c r="C7" s="95">
        <v>631</v>
      </c>
      <c r="D7" s="95">
        <v>742</v>
      </c>
      <c r="E7" s="95">
        <v>986</v>
      </c>
      <c r="F7" s="95">
        <v>818</v>
      </c>
      <c r="G7" s="95">
        <v>691</v>
      </c>
      <c r="H7" s="95">
        <v>774</v>
      </c>
      <c r="I7" s="95">
        <v>661</v>
      </c>
      <c r="J7" s="95">
        <v>775</v>
      </c>
      <c r="K7" s="95">
        <v>679</v>
      </c>
      <c r="L7" s="95">
        <v>727</v>
      </c>
      <c r="M7" s="95">
        <v>747</v>
      </c>
      <c r="N7" s="95">
        <v>643</v>
      </c>
      <c r="O7" s="96">
        <v>739.5</v>
      </c>
      <c r="P7" s="87"/>
      <c r="Q7" s="507">
        <f t="shared" si="0"/>
        <v>786.3333333333334</v>
      </c>
      <c r="R7" s="507">
        <f t="shared" si="1"/>
        <v>761</v>
      </c>
      <c r="S7" s="507">
        <f t="shared" si="2"/>
        <v>705</v>
      </c>
      <c r="T7" s="507">
        <f t="shared" si="3"/>
        <v>705.6666666666666</v>
      </c>
      <c r="U7" s="166"/>
      <c r="V7" s="166"/>
    </row>
    <row r="8" spans="1:24" ht="10.5" customHeight="1">
      <c r="A8" s="90"/>
      <c r="B8" s="94">
        <v>1997</v>
      </c>
      <c r="C8" s="95">
        <v>740</v>
      </c>
      <c r="D8" s="95">
        <v>700</v>
      </c>
      <c r="E8" s="95">
        <v>789</v>
      </c>
      <c r="F8" s="95">
        <v>754</v>
      </c>
      <c r="G8" s="95">
        <v>710</v>
      </c>
      <c r="H8" s="95">
        <v>751</v>
      </c>
      <c r="I8" s="95">
        <v>747</v>
      </c>
      <c r="J8" s="95">
        <v>817</v>
      </c>
      <c r="K8" s="95">
        <v>794</v>
      </c>
      <c r="L8" s="95">
        <v>971</v>
      </c>
      <c r="M8" s="95">
        <v>817</v>
      </c>
      <c r="N8" s="95">
        <v>911</v>
      </c>
      <c r="O8" s="96">
        <v>791.75</v>
      </c>
      <c r="P8" s="87"/>
      <c r="Q8" s="507">
        <f t="shared" si="0"/>
        <v>743</v>
      </c>
      <c r="R8" s="507">
        <f t="shared" si="1"/>
        <v>738.3333333333334</v>
      </c>
      <c r="S8" s="507">
        <f t="shared" si="2"/>
        <v>786</v>
      </c>
      <c r="T8" s="507">
        <f t="shared" si="3"/>
        <v>899.6666666666666</v>
      </c>
      <c r="U8" s="166"/>
      <c r="V8" s="166"/>
      <c r="W8" s="166"/>
      <c r="X8" s="166"/>
    </row>
    <row r="9" spans="1:24" ht="10.5" customHeight="1">
      <c r="A9" s="90"/>
      <c r="B9" s="94">
        <v>1998</v>
      </c>
      <c r="C9" s="95">
        <v>816</v>
      </c>
      <c r="D9" s="95">
        <v>775</v>
      </c>
      <c r="E9" s="95">
        <v>837</v>
      </c>
      <c r="F9" s="95">
        <v>1042</v>
      </c>
      <c r="G9" s="95">
        <v>859</v>
      </c>
      <c r="H9" s="95">
        <v>736</v>
      </c>
      <c r="I9" s="95">
        <v>806</v>
      </c>
      <c r="J9" s="95">
        <v>764</v>
      </c>
      <c r="K9" s="95">
        <v>760</v>
      </c>
      <c r="L9" s="95">
        <v>886</v>
      </c>
      <c r="M9" s="95">
        <v>756</v>
      </c>
      <c r="N9" s="95">
        <v>779</v>
      </c>
      <c r="O9" s="96">
        <v>818</v>
      </c>
      <c r="P9" s="87"/>
      <c r="Q9" s="507">
        <f t="shared" si="0"/>
        <v>809.3333333333334</v>
      </c>
      <c r="R9" s="507">
        <f t="shared" si="1"/>
        <v>879</v>
      </c>
      <c r="S9" s="507">
        <f t="shared" si="2"/>
        <v>776.6666666666666</v>
      </c>
      <c r="T9" s="507">
        <f t="shared" si="3"/>
        <v>807</v>
      </c>
      <c r="U9" s="166"/>
      <c r="V9" s="166"/>
      <c r="W9" s="166"/>
      <c r="X9" s="166"/>
    </row>
    <row r="10" spans="1:24" ht="10.5" customHeight="1">
      <c r="A10" s="90"/>
      <c r="B10" s="94">
        <v>1999</v>
      </c>
      <c r="C10" s="95">
        <v>702</v>
      </c>
      <c r="D10" s="95">
        <v>749</v>
      </c>
      <c r="E10" s="95">
        <v>806</v>
      </c>
      <c r="F10" s="95">
        <v>870</v>
      </c>
      <c r="G10" s="95">
        <v>786</v>
      </c>
      <c r="H10" s="95">
        <v>732</v>
      </c>
      <c r="I10" s="95">
        <v>696</v>
      </c>
      <c r="J10" s="95">
        <v>709</v>
      </c>
      <c r="K10" s="95">
        <v>700</v>
      </c>
      <c r="L10" s="95">
        <v>650</v>
      </c>
      <c r="M10" s="95">
        <v>654</v>
      </c>
      <c r="N10" s="95">
        <v>776</v>
      </c>
      <c r="O10" s="96">
        <v>735.8333333333334</v>
      </c>
      <c r="P10" s="87"/>
      <c r="Q10" s="507">
        <f t="shared" si="0"/>
        <v>752.3333333333334</v>
      </c>
      <c r="R10" s="507">
        <f t="shared" si="1"/>
        <v>796</v>
      </c>
      <c r="S10" s="507">
        <f t="shared" si="2"/>
        <v>701.6666666666666</v>
      </c>
      <c r="T10" s="507">
        <f t="shared" si="3"/>
        <v>693.3333333333334</v>
      </c>
      <c r="U10" s="166"/>
      <c r="V10" s="166"/>
      <c r="W10" s="166"/>
      <c r="X10" s="166"/>
    </row>
    <row r="11" spans="1:24" ht="10.5" customHeight="1">
      <c r="A11" s="90"/>
      <c r="B11" s="94">
        <v>2000</v>
      </c>
      <c r="C11" s="95">
        <v>656</v>
      </c>
      <c r="D11" s="95">
        <v>572</v>
      </c>
      <c r="E11" s="95">
        <v>719</v>
      </c>
      <c r="F11" s="95">
        <v>907</v>
      </c>
      <c r="G11" s="95">
        <v>874</v>
      </c>
      <c r="H11" s="95">
        <v>785</v>
      </c>
      <c r="I11" s="95">
        <v>795</v>
      </c>
      <c r="J11" s="95">
        <v>862</v>
      </c>
      <c r="K11" s="95">
        <v>958</v>
      </c>
      <c r="L11" s="95">
        <v>835</v>
      </c>
      <c r="M11" s="95">
        <v>964</v>
      </c>
      <c r="N11" s="95">
        <v>768</v>
      </c>
      <c r="O11" s="96">
        <v>808</v>
      </c>
      <c r="P11" s="87"/>
      <c r="Q11" s="507">
        <f t="shared" si="0"/>
        <v>649</v>
      </c>
      <c r="R11" s="507">
        <f t="shared" si="1"/>
        <v>855.3333333333334</v>
      </c>
      <c r="S11" s="507">
        <f t="shared" si="2"/>
        <v>871.6666666666666</v>
      </c>
      <c r="T11" s="507">
        <f t="shared" si="3"/>
        <v>855.6666666666666</v>
      </c>
      <c r="U11" s="166"/>
      <c r="V11" s="166"/>
      <c r="W11" s="166"/>
      <c r="X11" s="166"/>
    </row>
    <row r="12" spans="1:24" ht="10.5" customHeight="1">
      <c r="A12" s="90"/>
      <c r="B12" s="94">
        <v>2001</v>
      </c>
      <c r="C12" s="95">
        <v>810</v>
      </c>
      <c r="D12" s="95">
        <v>980</v>
      </c>
      <c r="E12" s="95">
        <v>923</v>
      </c>
      <c r="F12" s="95">
        <v>916</v>
      </c>
      <c r="G12" s="95">
        <v>964</v>
      </c>
      <c r="H12" s="95">
        <v>805</v>
      </c>
      <c r="I12" s="95">
        <v>837</v>
      </c>
      <c r="J12" s="95">
        <v>968</v>
      </c>
      <c r="K12" s="95">
        <v>894</v>
      </c>
      <c r="L12" s="95">
        <v>688</v>
      </c>
      <c r="M12" s="95">
        <v>731</v>
      </c>
      <c r="N12" s="95">
        <v>1144</v>
      </c>
      <c r="O12" s="96">
        <f aca="true" t="shared" si="4" ref="O12:O18">AVERAGE(C12:N12)</f>
        <v>888.3333333333334</v>
      </c>
      <c r="P12" s="87"/>
      <c r="Q12" s="507">
        <f t="shared" si="0"/>
        <v>904.3333333333334</v>
      </c>
      <c r="R12" s="507">
        <f t="shared" si="1"/>
        <v>895</v>
      </c>
      <c r="S12" s="507">
        <f t="shared" si="2"/>
        <v>899.6666666666666</v>
      </c>
      <c r="T12" s="507">
        <f t="shared" si="3"/>
        <v>854.3333333333334</v>
      </c>
      <c r="U12" s="166"/>
      <c r="V12" s="166"/>
      <c r="W12" s="166"/>
      <c r="X12" s="166"/>
    </row>
    <row r="13" spans="1:24" ht="10.5" customHeight="1">
      <c r="A13" s="90"/>
      <c r="B13" s="94">
        <v>2002</v>
      </c>
      <c r="C13" s="95">
        <v>1054</v>
      </c>
      <c r="D13" s="95">
        <v>1283</v>
      </c>
      <c r="E13" s="95">
        <v>1816</v>
      </c>
      <c r="F13" s="95">
        <v>803</v>
      </c>
      <c r="G13" s="95">
        <v>770</v>
      </c>
      <c r="H13" s="95">
        <v>731</v>
      </c>
      <c r="I13" s="95">
        <v>771</v>
      </c>
      <c r="J13" s="95">
        <v>807</v>
      </c>
      <c r="K13" s="95">
        <v>795</v>
      </c>
      <c r="L13" s="95">
        <v>704</v>
      </c>
      <c r="M13" s="95">
        <v>735</v>
      </c>
      <c r="N13" s="95">
        <v>694</v>
      </c>
      <c r="O13" s="450">
        <f t="shared" si="4"/>
        <v>913.5833333333334</v>
      </c>
      <c r="P13" s="87"/>
      <c r="Q13" s="507">
        <f t="shared" si="0"/>
        <v>1384.3333333333333</v>
      </c>
      <c r="R13" s="507">
        <f t="shared" si="1"/>
        <v>768</v>
      </c>
      <c r="S13" s="507">
        <f aca="true" t="shared" si="5" ref="S13:S19">AVERAGE(I13:K13)</f>
        <v>791</v>
      </c>
      <c r="T13" s="507">
        <f t="shared" si="3"/>
        <v>711</v>
      </c>
      <c r="U13" s="166"/>
      <c r="V13" s="166"/>
      <c r="W13" s="166"/>
      <c r="X13" s="166"/>
    </row>
    <row r="14" spans="1:24" ht="10.5" customHeight="1">
      <c r="A14" s="90"/>
      <c r="B14" s="94">
        <v>2003</v>
      </c>
      <c r="C14" s="95">
        <v>752</v>
      </c>
      <c r="D14" s="95">
        <v>755</v>
      </c>
      <c r="E14" s="95">
        <v>824</v>
      </c>
      <c r="F14" s="95">
        <v>865</v>
      </c>
      <c r="G14" s="95">
        <v>924</v>
      </c>
      <c r="H14" s="95">
        <v>1015</v>
      </c>
      <c r="I14" s="95">
        <v>797</v>
      </c>
      <c r="J14" s="95">
        <v>920</v>
      </c>
      <c r="K14" s="95">
        <v>964</v>
      </c>
      <c r="L14" s="95">
        <v>959</v>
      </c>
      <c r="M14" s="95">
        <v>1201</v>
      </c>
      <c r="N14" s="95">
        <v>1059</v>
      </c>
      <c r="O14" s="450">
        <f t="shared" si="4"/>
        <v>919.5833333333334</v>
      </c>
      <c r="P14" s="87"/>
      <c r="Q14" s="507">
        <f t="shared" si="0"/>
        <v>777</v>
      </c>
      <c r="R14" s="507">
        <f t="shared" si="1"/>
        <v>934.6666666666666</v>
      </c>
      <c r="S14" s="507">
        <f t="shared" si="5"/>
        <v>893.6666666666666</v>
      </c>
      <c r="T14" s="507">
        <f t="shared" si="3"/>
        <v>1073</v>
      </c>
      <c r="U14" s="166"/>
      <c r="V14" s="166"/>
      <c r="W14" s="166"/>
      <c r="X14" s="166"/>
    </row>
    <row r="15" spans="1:24" ht="10.5" customHeight="1">
      <c r="A15" s="90"/>
      <c r="B15" s="94">
        <v>2004</v>
      </c>
      <c r="C15" s="95">
        <v>852</v>
      </c>
      <c r="D15" s="95">
        <v>936</v>
      </c>
      <c r="E15" s="95">
        <v>741</v>
      </c>
      <c r="F15" s="95">
        <v>848</v>
      </c>
      <c r="G15" s="95">
        <v>722</v>
      </c>
      <c r="H15" s="95">
        <v>712</v>
      </c>
      <c r="I15" s="95">
        <v>666</v>
      </c>
      <c r="J15" s="95">
        <v>852</v>
      </c>
      <c r="K15" s="95">
        <v>864</v>
      </c>
      <c r="L15" s="95">
        <v>1037</v>
      </c>
      <c r="M15" s="95">
        <v>1055</v>
      </c>
      <c r="N15" s="95">
        <v>792</v>
      </c>
      <c r="O15" s="450">
        <f t="shared" si="4"/>
        <v>839.75</v>
      </c>
      <c r="P15" s="87"/>
      <c r="Q15" s="507">
        <f t="shared" si="0"/>
        <v>843</v>
      </c>
      <c r="R15" s="507">
        <f t="shared" si="1"/>
        <v>760.6666666666666</v>
      </c>
      <c r="S15" s="507">
        <f t="shared" si="5"/>
        <v>794</v>
      </c>
      <c r="T15" s="507">
        <f t="shared" si="3"/>
        <v>961.3333333333334</v>
      </c>
      <c r="U15" s="166"/>
      <c r="V15" s="166"/>
      <c r="W15" s="166"/>
      <c r="X15" s="166"/>
    </row>
    <row r="16" spans="1:24" ht="10.5" customHeight="1">
      <c r="A16" s="90"/>
      <c r="B16" s="94">
        <v>2005</v>
      </c>
      <c r="C16" s="95">
        <v>620</v>
      </c>
      <c r="D16" s="95">
        <v>785</v>
      </c>
      <c r="E16" s="95">
        <v>1100</v>
      </c>
      <c r="F16" s="95">
        <v>1212</v>
      </c>
      <c r="G16" s="95">
        <v>900</v>
      </c>
      <c r="H16" s="95">
        <v>923</v>
      </c>
      <c r="I16" s="95">
        <v>749</v>
      </c>
      <c r="J16" s="95">
        <v>789</v>
      </c>
      <c r="K16" s="95">
        <v>849</v>
      </c>
      <c r="L16" s="95">
        <v>756</v>
      </c>
      <c r="M16" s="95">
        <v>758</v>
      </c>
      <c r="N16" s="95">
        <v>1017</v>
      </c>
      <c r="O16" s="450">
        <f t="shared" si="4"/>
        <v>871.5</v>
      </c>
      <c r="P16" s="87"/>
      <c r="Q16" s="507">
        <f t="shared" si="0"/>
        <v>835</v>
      </c>
      <c r="R16" s="507">
        <f t="shared" si="1"/>
        <v>1011.6666666666666</v>
      </c>
      <c r="S16" s="507">
        <f t="shared" si="5"/>
        <v>795.6666666666666</v>
      </c>
      <c r="T16" s="507">
        <f t="shared" si="3"/>
        <v>843.6666666666666</v>
      </c>
      <c r="U16" s="166"/>
      <c r="V16" s="166"/>
      <c r="W16" s="166"/>
      <c r="X16" s="166"/>
    </row>
    <row r="17" spans="1:24" s="452" customFormat="1" ht="10.5" customHeight="1">
      <c r="A17" s="447"/>
      <c r="B17" s="448">
        <v>2006</v>
      </c>
      <c r="C17" s="449">
        <v>855</v>
      </c>
      <c r="D17" s="449">
        <v>768</v>
      </c>
      <c r="E17" s="449">
        <v>890</v>
      </c>
      <c r="F17" s="449">
        <v>1007</v>
      </c>
      <c r="G17" s="449">
        <v>1040</v>
      </c>
      <c r="H17" s="449">
        <v>877</v>
      </c>
      <c r="I17" s="449">
        <v>794</v>
      </c>
      <c r="J17" s="449">
        <v>1018</v>
      </c>
      <c r="K17" s="449">
        <v>1066</v>
      </c>
      <c r="L17" s="449">
        <v>825</v>
      </c>
      <c r="M17" s="449">
        <v>793</v>
      </c>
      <c r="N17" s="449">
        <v>1001</v>
      </c>
      <c r="O17" s="450">
        <f t="shared" si="4"/>
        <v>911.1666666666666</v>
      </c>
      <c r="P17" s="441"/>
      <c r="Q17" s="508">
        <f t="shared" si="0"/>
        <v>837.6666666666666</v>
      </c>
      <c r="R17" s="508">
        <f t="shared" si="1"/>
        <v>974.6666666666666</v>
      </c>
      <c r="S17" s="508">
        <f t="shared" si="5"/>
        <v>959.3333333333334</v>
      </c>
      <c r="T17" s="508">
        <f>AVERAGE(L17:N17)</f>
        <v>873</v>
      </c>
      <c r="U17" s="166"/>
      <c r="V17" s="166"/>
      <c r="W17" s="166"/>
      <c r="X17" s="166"/>
    </row>
    <row r="18" spans="1:24" ht="10.5" customHeight="1">
      <c r="A18" s="90"/>
      <c r="B18" s="342">
        <v>2007</v>
      </c>
      <c r="C18" s="453">
        <v>1186</v>
      </c>
      <c r="D18" s="453">
        <v>1103</v>
      </c>
      <c r="E18" s="453">
        <v>1286</v>
      </c>
      <c r="F18" s="453">
        <v>1210</v>
      </c>
      <c r="G18" s="453">
        <v>963</v>
      </c>
      <c r="H18" s="453">
        <v>887</v>
      </c>
      <c r="I18" s="453">
        <v>839</v>
      </c>
      <c r="J18" s="453">
        <v>979</v>
      </c>
      <c r="K18" s="453">
        <v>1039</v>
      </c>
      <c r="L18" s="453">
        <v>1312</v>
      </c>
      <c r="M18" s="453">
        <v>930</v>
      </c>
      <c r="N18" s="453">
        <v>924</v>
      </c>
      <c r="O18" s="450">
        <f t="shared" si="4"/>
        <v>1054.8333333333333</v>
      </c>
      <c r="P18" s="332"/>
      <c r="Q18" s="509">
        <f t="shared" si="0"/>
        <v>1191.6666666666667</v>
      </c>
      <c r="R18" s="509">
        <f>AVERAGE(F18:H18)</f>
        <v>1020</v>
      </c>
      <c r="S18" s="509">
        <f t="shared" si="5"/>
        <v>952.3333333333334</v>
      </c>
      <c r="T18" s="509">
        <f>AVERAGE(L18:N18)</f>
        <v>1055.3333333333333</v>
      </c>
      <c r="U18" s="166"/>
      <c r="V18" s="166"/>
      <c r="W18" s="166"/>
      <c r="X18" s="166"/>
    </row>
    <row r="19" spans="1:24" ht="10.5" customHeight="1">
      <c r="A19" s="90"/>
      <c r="B19" s="342">
        <v>2008</v>
      </c>
      <c r="C19" s="453">
        <v>930</v>
      </c>
      <c r="D19" s="453">
        <v>799</v>
      </c>
      <c r="E19" s="453">
        <v>904</v>
      </c>
      <c r="F19" s="453">
        <v>1099</v>
      </c>
      <c r="G19" s="453">
        <v>975</v>
      </c>
      <c r="H19" s="453">
        <v>1026</v>
      </c>
      <c r="I19" s="453">
        <v>971</v>
      </c>
      <c r="J19" s="453">
        <v>943</v>
      </c>
      <c r="K19" s="453">
        <v>1141</v>
      </c>
      <c r="L19" s="453">
        <v>1225</v>
      </c>
      <c r="M19" s="453">
        <v>1057</v>
      </c>
      <c r="N19" s="453"/>
      <c r="O19" s="450"/>
      <c r="P19" s="332"/>
      <c r="Q19" s="509">
        <f t="shared" si="0"/>
        <v>877.6666666666666</v>
      </c>
      <c r="R19" s="509">
        <f>AVERAGE(F19:H19)</f>
        <v>1033.3333333333333</v>
      </c>
      <c r="S19" s="509">
        <f t="shared" si="5"/>
        <v>1018.3333333333334</v>
      </c>
      <c r="T19" s="509">
        <f>AVERAGE(L19:N19)</f>
        <v>1141</v>
      </c>
      <c r="U19" s="166"/>
      <c r="V19" s="166"/>
      <c r="W19" s="166"/>
      <c r="X19" s="166"/>
    </row>
    <row r="20" spans="1:22" ht="4.5" customHeight="1">
      <c r="A20" s="90"/>
      <c r="B20" s="94"/>
      <c r="C20" s="97"/>
      <c r="D20" s="97"/>
      <c r="E20" s="97"/>
      <c r="F20" s="97"/>
      <c r="G20" s="97"/>
      <c r="H20" s="97"/>
      <c r="I20" s="97"/>
      <c r="J20" s="97"/>
      <c r="K20" s="97"/>
      <c r="L20" s="97"/>
      <c r="M20" s="97"/>
      <c r="N20" s="97"/>
      <c r="O20" s="96"/>
      <c r="P20" s="87"/>
      <c r="Q20" s="507"/>
      <c r="R20" s="507"/>
      <c r="S20" s="507"/>
      <c r="T20" s="507"/>
      <c r="U20" s="166"/>
      <c r="V20" s="166"/>
    </row>
    <row r="21" spans="1:22" ht="10.5" customHeight="1">
      <c r="A21" s="510" t="s">
        <v>121</v>
      </c>
      <c r="B21" s="94">
        <v>1995</v>
      </c>
      <c r="C21" s="95">
        <v>466</v>
      </c>
      <c r="D21" s="95">
        <v>450</v>
      </c>
      <c r="E21" s="95">
        <v>484</v>
      </c>
      <c r="F21" s="95">
        <v>505</v>
      </c>
      <c r="G21" s="95">
        <v>529</v>
      </c>
      <c r="H21" s="95">
        <v>612</v>
      </c>
      <c r="I21" s="95">
        <v>729</v>
      </c>
      <c r="J21" s="95">
        <v>586</v>
      </c>
      <c r="K21" s="95">
        <v>497</v>
      </c>
      <c r="L21" s="95">
        <v>539</v>
      </c>
      <c r="M21" s="95">
        <v>548</v>
      </c>
      <c r="N21" s="95">
        <v>547</v>
      </c>
      <c r="O21" s="96">
        <v>541</v>
      </c>
      <c r="P21" s="87"/>
      <c r="Q21" s="507">
        <f aca="true" t="shared" si="6" ref="Q21:Q34">AVERAGE(C21:E21)</f>
        <v>466.6666666666667</v>
      </c>
      <c r="R21" s="507">
        <f aca="true" t="shared" si="7" ref="R21:R32">AVERAGE(F21:H21)</f>
        <v>548.6666666666666</v>
      </c>
      <c r="S21" s="507">
        <f aca="true" t="shared" si="8" ref="S21:S34">AVERAGE(I21:K21)</f>
        <v>604</v>
      </c>
      <c r="T21" s="507">
        <f aca="true" t="shared" si="9" ref="T21:T31">AVERAGE(L21:N21)</f>
        <v>544.6666666666666</v>
      </c>
      <c r="U21" s="166"/>
      <c r="V21" s="166"/>
    </row>
    <row r="22" spans="1:22" ht="10.5" customHeight="1">
      <c r="A22" s="90"/>
      <c r="B22" s="94">
        <v>1996</v>
      </c>
      <c r="C22" s="95">
        <v>564</v>
      </c>
      <c r="D22" s="95">
        <v>589</v>
      </c>
      <c r="E22" s="95">
        <v>633</v>
      </c>
      <c r="F22" s="95">
        <v>668</v>
      </c>
      <c r="G22" s="95">
        <v>696</v>
      </c>
      <c r="H22" s="95">
        <v>707</v>
      </c>
      <c r="I22" s="95">
        <v>700</v>
      </c>
      <c r="J22" s="95">
        <v>521</v>
      </c>
      <c r="K22" s="95">
        <v>482</v>
      </c>
      <c r="L22" s="95">
        <v>461</v>
      </c>
      <c r="M22" s="95">
        <v>452</v>
      </c>
      <c r="N22" s="95">
        <v>434</v>
      </c>
      <c r="O22" s="96">
        <v>575.5833333333334</v>
      </c>
      <c r="P22" s="87"/>
      <c r="Q22" s="507">
        <f t="shared" si="6"/>
        <v>595.3333333333334</v>
      </c>
      <c r="R22" s="507">
        <f t="shared" si="7"/>
        <v>690.3333333333334</v>
      </c>
      <c r="S22" s="507">
        <f t="shared" si="8"/>
        <v>567.6666666666666</v>
      </c>
      <c r="T22" s="507">
        <f t="shared" si="9"/>
        <v>449</v>
      </c>
      <c r="U22" s="166"/>
      <c r="V22" s="166"/>
    </row>
    <row r="23" spans="1:22" ht="10.5" customHeight="1">
      <c r="A23" s="90"/>
      <c r="B23" s="94">
        <v>1997</v>
      </c>
      <c r="C23" s="95">
        <v>426</v>
      </c>
      <c r="D23" s="95">
        <v>431</v>
      </c>
      <c r="E23" s="95">
        <v>433</v>
      </c>
      <c r="F23" s="95">
        <v>433</v>
      </c>
      <c r="G23" s="95">
        <v>477</v>
      </c>
      <c r="H23" s="95">
        <v>431</v>
      </c>
      <c r="I23" s="95">
        <v>499</v>
      </c>
      <c r="J23" s="95">
        <v>544</v>
      </c>
      <c r="K23" s="95">
        <v>440</v>
      </c>
      <c r="L23" s="95">
        <v>433</v>
      </c>
      <c r="M23" s="95">
        <v>457</v>
      </c>
      <c r="N23" s="95">
        <v>477</v>
      </c>
      <c r="O23" s="96">
        <v>456.75</v>
      </c>
      <c r="P23" s="87"/>
      <c r="Q23" s="507">
        <f t="shared" si="6"/>
        <v>430</v>
      </c>
      <c r="R23" s="507">
        <f t="shared" si="7"/>
        <v>447</v>
      </c>
      <c r="S23" s="507">
        <f t="shared" si="8"/>
        <v>494.3333333333333</v>
      </c>
      <c r="T23" s="507">
        <f t="shared" si="9"/>
        <v>455.6666666666667</v>
      </c>
      <c r="U23" s="166"/>
      <c r="V23" s="166"/>
    </row>
    <row r="24" spans="1:22" ht="10.5" customHeight="1">
      <c r="A24" s="90"/>
      <c r="B24" s="94">
        <v>1998</v>
      </c>
      <c r="C24" s="95">
        <v>491</v>
      </c>
      <c r="D24" s="95">
        <v>524</v>
      </c>
      <c r="E24" s="95">
        <v>554</v>
      </c>
      <c r="F24" s="95">
        <v>546</v>
      </c>
      <c r="G24" s="95">
        <v>559</v>
      </c>
      <c r="H24" s="95">
        <v>539</v>
      </c>
      <c r="I24" s="95">
        <v>517</v>
      </c>
      <c r="J24" s="95">
        <v>481</v>
      </c>
      <c r="K24" s="95">
        <v>449</v>
      </c>
      <c r="L24" s="95">
        <v>415</v>
      </c>
      <c r="M24" s="95">
        <v>450</v>
      </c>
      <c r="N24" s="95">
        <v>475</v>
      </c>
      <c r="O24" s="96">
        <v>500</v>
      </c>
      <c r="P24" s="87"/>
      <c r="Q24" s="507">
        <f t="shared" si="6"/>
        <v>523</v>
      </c>
      <c r="R24" s="507">
        <f t="shared" si="7"/>
        <v>548</v>
      </c>
      <c r="S24" s="507">
        <f t="shared" si="8"/>
        <v>482.3333333333333</v>
      </c>
      <c r="T24" s="507">
        <f t="shared" si="9"/>
        <v>446.6666666666667</v>
      </c>
      <c r="U24" s="166"/>
      <c r="V24" s="166"/>
    </row>
    <row r="25" spans="1:22" ht="10.5" customHeight="1">
      <c r="A25" s="90"/>
      <c r="B25" s="94">
        <v>1999</v>
      </c>
      <c r="C25" s="95">
        <v>489</v>
      </c>
      <c r="D25" s="95">
        <v>497</v>
      </c>
      <c r="E25" s="95">
        <v>520</v>
      </c>
      <c r="F25" s="95">
        <v>546</v>
      </c>
      <c r="G25" s="95">
        <v>532</v>
      </c>
      <c r="H25" s="95">
        <v>557</v>
      </c>
      <c r="I25" s="95">
        <v>610</v>
      </c>
      <c r="J25" s="95">
        <v>517</v>
      </c>
      <c r="K25" s="95">
        <v>451</v>
      </c>
      <c r="L25" s="95">
        <v>429</v>
      </c>
      <c r="M25" s="95">
        <v>474</v>
      </c>
      <c r="N25" s="95">
        <v>463</v>
      </c>
      <c r="O25" s="96">
        <v>507.0833333333333</v>
      </c>
      <c r="P25" s="87"/>
      <c r="Q25" s="507">
        <f t="shared" si="6"/>
        <v>502</v>
      </c>
      <c r="R25" s="507">
        <f t="shared" si="7"/>
        <v>545</v>
      </c>
      <c r="S25" s="507">
        <f t="shared" si="8"/>
        <v>526</v>
      </c>
      <c r="T25" s="507">
        <f t="shared" si="9"/>
        <v>455.3333333333333</v>
      </c>
      <c r="U25" s="166"/>
      <c r="V25" s="166"/>
    </row>
    <row r="26" spans="1:22" ht="10.5" customHeight="1">
      <c r="A26" s="90"/>
      <c r="B26" s="94">
        <v>2000</v>
      </c>
      <c r="C26" s="95">
        <v>475</v>
      </c>
      <c r="D26" s="95">
        <v>496</v>
      </c>
      <c r="E26" s="95">
        <v>519</v>
      </c>
      <c r="F26" s="95">
        <v>545</v>
      </c>
      <c r="G26" s="95">
        <v>529</v>
      </c>
      <c r="H26" s="95">
        <v>511</v>
      </c>
      <c r="I26" s="95">
        <v>559</v>
      </c>
      <c r="J26" s="95">
        <v>464</v>
      </c>
      <c r="K26" s="95">
        <v>406</v>
      </c>
      <c r="L26" s="95">
        <v>384</v>
      </c>
      <c r="M26" s="95">
        <v>383</v>
      </c>
      <c r="N26" s="95">
        <v>395</v>
      </c>
      <c r="O26" s="96">
        <v>472.1666666666667</v>
      </c>
      <c r="P26" s="87"/>
      <c r="Q26" s="507">
        <f t="shared" si="6"/>
        <v>496.6666666666667</v>
      </c>
      <c r="R26" s="507">
        <f t="shared" si="7"/>
        <v>528.3333333333334</v>
      </c>
      <c r="S26" s="507">
        <f t="shared" si="8"/>
        <v>476.3333333333333</v>
      </c>
      <c r="T26" s="507">
        <f t="shared" si="9"/>
        <v>387.3333333333333</v>
      </c>
      <c r="U26" s="166"/>
      <c r="V26" s="166"/>
    </row>
    <row r="27" spans="1:22" ht="10.5" customHeight="1">
      <c r="A27" s="90"/>
      <c r="B27" s="94">
        <v>2001</v>
      </c>
      <c r="C27" s="95">
        <v>409</v>
      </c>
      <c r="D27" s="95">
        <v>450</v>
      </c>
      <c r="E27" s="95">
        <v>437</v>
      </c>
      <c r="F27" s="95">
        <v>466</v>
      </c>
      <c r="G27" s="95">
        <v>453</v>
      </c>
      <c r="H27" s="95">
        <v>486</v>
      </c>
      <c r="I27" s="95">
        <v>532</v>
      </c>
      <c r="J27" s="95">
        <v>632</v>
      </c>
      <c r="K27" s="95">
        <v>516</v>
      </c>
      <c r="L27" s="95">
        <v>461</v>
      </c>
      <c r="M27" s="95">
        <v>538</v>
      </c>
      <c r="N27" s="95">
        <v>578</v>
      </c>
      <c r="O27" s="96">
        <v>496.5</v>
      </c>
      <c r="P27" s="87"/>
      <c r="Q27" s="507">
        <f t="shared" si="6"/>
        <v>432</v>
      </c>
      <c r="R27" s="507">
        <f t="shared" si="7"/>
        <v>468.3333333333333</v>
      </c>
      <c r="S27" s="507">
        <f t="shared" si="8"/>
        <v>560</v>
      </c>
      <c r="T27" s="507">
        <f t="shared" si="9"/>
        <v>525.6666666666666</v>
      </c>
      <c r="U27" s="166"/>
      <c r="V27" s="166"/>
    </row>
    <row r="28" spans="1:22" ht="10.5" customHeight="1">
      <c r="A28" s="90"/>
      <c r="B28" s="94">
        <v>2002</v>
      </c>
      <c r="C28" s="95">
        <v>620</v>
      </c>
      <c r="D28" s="95">
        <v>645</v>
      </c>
      <c r="E28" s="95">
        <v>715</v>
      </c>
      <c r="F28" s="95">
        <v>699</v>
      </c>
      <c r="G28" s="95">
        <v>748</v>
      </c>
      <c r="H28" s="95">
        <v>806</v>
      </c>
      <c r="I28" s="95">
        <v>884</v>
      </c>
      <c r="J28" s="95">
        <v>651</v>
      </c>
      <c r="K28" s="95">
        <v>520</v>
      </c>
      <c r="L28" s="95">
        <v>466</v>
      </c>
      <c r="M28" s="95">
        <v>524</v>
      </c>
      <c r="N28" s="95">
        <v>547</v>
      </c>
      <c r="O28" s="96">
        <f aca="true" t="shared" si="10" ref="O28:O33">AVERAGE(C28:N28)</f>
        <v>652.0833333333334</v>
      </c>
      <c r="P28" s="87"/>
      <c r="Q28" s="507">
        <f t="shared" si="6"/>
        <v>660</v>
      </c>
      <c r="R28" s="507">
        <f t="shared" si="7"/>
        <v>751</v>
      </c>
      <c r="S28" s="507">
        <f t="shared" si="8"/>
        <v>685</v>
      </c>
      <c r="T28" s="507">
        <f t="shared" si="9"/>
        <v>512.3333333333334</v>
      </c>
      <c r="U28" s="166"/>
      <c r="V28" s="166"/>
    </row>
    <row r="29" spans="1:22" ht="10.5" customHeight="1">
      <c r="A29" s="90"/>
      <c r="B29" s="94">
        <v>2003</v>
      </c>
      <c r="C29" s="95">
        <v>533</v>
      </c>
      <c r="D29" s="95">
        <v>554</v>
      </c>
      <c r="E29" s="95">
        <v>567</v>
      </c>
      <c r="F29" s="95">
        <v>592</v>
      </c>
      <c r="G29" s="95">
        <v>590</v>
      </c>
      <c r="H29" s="95">
        <v>559</v>
      </c>
      <c r="I29" s="95">
        <v>570</v>
      </c>
      <c r="J29" s="95">
        <v>483</v>
      </c>
      <c r="K29" s="95">
        <v>458</v>
      </c>
      <c r="L29" s="95">
        <v>443</v>
      </c>
      <c r="M29" s="95">
        <v>479</v>
      </c>
      <c r="N29" s="95">
        <v>493</v>
      </c>
      <c r="O29" s="450">
        <f t="shared" si="10"/>
        <v>526.75</v>
      </c>
      <c r="P29" s="87"/>
      <c r="Q29" s="507">
        <f t="shared" si="6"/>
        <v>551.3333333333334</v>
      </c>
      <c r="R29" s="507">
        <f t="shared" si="7"/>
        <v>580.3333333333334</v>
      </c>
      <c r="S29" s="507">
        <f t="shared" si="8"/>
        <v>503.6666666666667</v>
      </c>
      <c r="T29" s="507">
        <f t="shared" si="9"/>
        <v>471.6666666666667</v>
      </c>
      <c r="U29" s="166"/>
      <c r="V29" s="166"/>
    </row>
    <row r="30" spans="1:22" ht="10.5" customHeight="1">
      <c r="A30" s="90"/>
      <c r="B30" s="94">
        <v>2004</v>
      </c>
      <c r="C30" s="95">
        <v>488</v>
      </c>
      <c r="D30" s="95">
        <v>504</v>
      </c>
      <c r="E30" s="95">
        <v>530</v>
      </c>
      <c r="F30" s="95">
        <v>568</v>
      </c>
      <c r="G30" s="95">
        <v>558</v>
      </c>
      <c r="H30" s="95">
        <v>558</v>
      </c>
      <c r="I30" s="95">
        <v>552</v>
      </c>
      <c r="J30" s="95">
        <v>495</v>
      </c>
      <c r="K30" s="95">
        <v>485</v>
      </c>
      <c r="L30" s="95">
        <v>444</v>
      </c>
      <c r="M30" s="95">
        <v>477</v>
      </c>
      <c r="N30" s="95">
        <v>506</v>
      </c>
      <c r="O30" s="450">
        <f t="shared" si="10"/>
        <v>513.75</v>
      </c>
      <c r="P30" s="87"/>
      <c r="Q30" s="507">
        <f t="shared" si="6"/>
        <v>507.3333333333333</v>
      </c>
      <c r="R30" s="507">
        <f t="shared" si="7"/>
        <v>561.3333333333334</v>
      </c>
      <c r="S30" s="507">
        <f t="shared" si="8"/>
        <v>510.6666666666667</v>
      </c>
      <c r="T30" s="507">
        <f t="shared" si="9"/>
        <v>475.6666666666667</v>
      </c>
      <c r="U30" s="166"/>
      <c r="V30" s="166"/>
    </row>
    <row r="31" spans="1:22" ht="10.5" customHeight="1">
      <c r="A31" s="90"/>
      <c r="B31" s="94">
        <v>2005</v>
      </c>
      <c r="C31" s="95">
        <v>534</v>
      </c>
      <c r="D31" s="95">
        <v>535</v>
      </c>
      <c r="E31" s="95">
        <v>578</v>
      </c>
      <c r="F31" s="95">
        <v>566</v>
      </c>
      <c r="G31" s="95">
        <v>576</v>
      </c>
      <c r="H31" s="95">
        <v>573</v>
      </c>
      <c r="I31" s="95">
        <v>622</v>
      </c>
      <c r="J31" s="95">
        <v>574</v>
      </c>
      <c r="K31" s="95">
        <v>491</v>
      </c>
      <c r="L31" s="95">
        <v>472</v>
      </c>
      <c r="M31" s="95">
        <v>539</v>
      </c>
      <c r="N31" s="95">
        <v>578</v>
      </c>
      <c r="O31" s="450">
        <f t="shared" si="10"/>
        <v>553.1666666666666</v>
      </c>
      <c r="P31" s="87"/>
      <c r="Q31" s="507">
        <f t="shared" si="6"/>
        <v>549</v>
      </c>
      <c r="R31" s="507">
        <f t="shared" si="7"/>
        <v>571.6666666666666</v>
      </c>
      <c r="S31" s="507">
        <f t="shared" si="8"/>
        <v>562.3333333333334</v>
      </c>
      <c r="T31" s="507">
        <f t="shared" si="9"/>
        <v>529.6666666666666</v>
      </c>
      <c r="U31" s="166"/>
      <c r="V31" s="166"/>
    </row>
    <row r="32" spans="1:22" s="452" customFormat="1" ht="10.5" customHeight="1">
      <c r="A32" s="447"/>
      <c r="B32" s="448">
        <v>2006</v>
      </c>
      <c r="C32" s="449">
        <v>596</v>
      </c>
      <c r="D32" s="449">
        <v>571</v>
      </c>
      <c r="E32" s="449">
        <v>706</v>
      </c>
      <c r="F32" s="449">
        <v>700</v>
      </c>
      <c r="G32" s="449">
        <v>661</v>
      </c>
      <c r="H32" s="449">
        <v>702</v>
      </c>
      <c r="I32" s="449">
        <v>808</v>
      </c>
      <c r="J32" s="449">
        <v>652</v>
      </c>
      <c r="K32" s="449">
        <v>526</v>
      </c>
      <c r="L32" s="449">
        <v>503</v>
      </c>
      <c r="M32" s="449">
        <v>578</v>
      </c>
      <c r="N32" s="449">
        <v>600</v>
      </c>
      <c r="O32" s="450">
        <f t="shared" si="10"/>
        <v>633.5833333333334</v>
      </c>
      <c r="P32" s="441"/>
      <c r="Q32" s="508">
        <f t="shared" si="6"/>
        <v>624.3333333333334</v>
      </c>
      <c r="R32" s="508">
        <f t="shared" si="7"/>
        <v>687.6666666666666</v>
      </c>
      <c r="S32" s="508">
        <f t="shared" si="8"/>
        <v>662</v>
      </c>
      <c r="T32" s="508">
        <f>AVERAGE(L32:N32)</f>
        <v>560.3333333333334</v>
      </c>
      <c r="U32" s="451"/>
      <c r="V32" s="451"/>
    </row>
    <row r="33" spans="1:24" ht="10.5" customHeight="1">
      <c r="A33" s="90"/>
      <c r="B33" s="342">
        <v>2007</v>
      </c>
      <c r="C33" s="453">
        <v>619</v>
      </c>
      <c r="D33" s="453">
        <v>649</v>
      </c>
      <c r="E33" s="453">
        <v>689</v>
      </c>
      <c r="F33" s="453">
        <v>745</v>
      </c>
      <c r="G33" s="453">
        <v>686</v>
      </c>
      <c r="H33" s="453">
        <v>670</v>
      </c>
      <c r="I33" s="453">
        <v>740</v>
      </c>
      <c r="J33" s="453">
        <v>605</v>
      </c>
      <c r="K33" s="453">
        <v>540</v>
      </c>
      <c r="L33" s="453">
        <v>532</v>
      </c>
      <c r="M33" s="453">
        <v>603</v>
      </c>
      <c r="N33" s="453">
        <v>631</v>
      </c>
      <c r="O33" s="450">
        <f t="shared" si="10"/>
        <v>642.4166666666666</v>
      </c>
      <c r="P33" s="332"/>
      <c r="Q33" s="509">
        <f t="shared" si="6"/>
        <v>652.3333333333334</v>
      </c>
      <c r="R33" s="509">
        <f>AVERAGE(F33:H33)</f>
        <v>700.3333333333334</v>
      </c>
      <c r="S33" s="509">
        <f t="shared" si="8"/>
        <v>628.3333333333334</v>
      </c>
      <c r="T33" s="509">
        <f>AVERAGE(L33:N33)</f>
        <v>588.6666666666666</v>
      </c>
      <c r="U33" s="166"/>
      <c r="V33" s="166"/>
      <c r="W33" s="166"/>
      <c r="X33" s="166"/>
    </row>
    <row r="34" spans="1:24" ht="10.5" customHeight="1">
      <c r="A34" s="90"/>
      <c r="B34" s="342">
        <v>2008</v>
      </c>
      <c r="C34" s="453">
        <v>654</v>
      </c>
      <c r="D34" s="453">
        <v>680</v>
      </c>
      <c r="E34" s="453">
        <v>743</v>
      </c>
      <c r="F34" s="453">
        <v>756</v>
      </c>
      <c r="G34" s="453">
        <v>814</v>
      </c>
      <c r="H34" s="453">
        <v>929</v>
      </c>
      <c r="I34" s="453">
        <v>1056</v>
      </c>
      <c r="J34" s="453">
        <v>988</v>
      </c>
      <c r="K34" s="453">
        <v>804</v>
      </c>
      <c r="L34" s="453">
        <v>709</v>
      </c>
      <c r="M34" s="453">
        <v>791</v>
      </c>
      <c r="N34" s="453"/>
      <c r="O34" s="450"/>
      <c r="P34" s="332"/>
      <c r="Q34" s="509">
        <f t="shared" si="6"/>
        <v>692.3333333333334</v>
      </c>
      <c r="R34" s="509">
        <f>AVERAGE(F34:H34)</f>
        <v>833</v>
      </c>
      <c r="S34" s="509">
        <f t="shared" si="8"/>
        <v>949.3333333333334</v>
      </c>
      <c r="T34" s="509">
        <f>AVERAGE(L34:N34)</f>
        <v>750</v>
      </c>
      <c r="U34" s="166"/>
      <c r="V34" s="166"/>
      <c r="W34" s="166"/>
      <c r="X34" s="166"/>
    </row>
    <row r="35" spans="1:22" ht="4.5" customHeight="1">
      <c r="A35" s="90"/>
      <c r="B35" s="98"/>
      <c r="C35" s="90"/>
      <c r="D35" s="90"/>
      <c r="E35" s="90"/>
      <c r="F35" s="90"/>
      <c r="G35" s="90"/>
      <c r="H35" s="90"/>
      <c r="I35" s="90"/>
      <c r="J35" s="90"/>
      <c r="K35" s="90"/>
      <c r="L35" s="90"/>
      <c r="M35" s="90"/>
      <c r="N35" s="90"/>
      <c r="O35" s="99"/>
      <c r="P35" s="87"/>
      <c r="Q35" s="507"/>
      <c r="R35" s="507"/>
      <c r="S35" s="507"/>
      <c r="T35" s="507"/>
      <c r="U35" s="166"/>
      <c r="V35" s="166"/>
    </row>
    <row r="36" spans="1:22" ht="10.5" customHeight="1">
      <c r="A36" s="90"/>
      <c r="B36" s="100"/>
      <c r="C36" s="205" t="s">
        <v>261</v>
      </c>
      <c r="D36" s="101"/>
      <c r="E36" s="101"/>
      <c r="F36" s="101"/>
      <c r="G36" s="101"/>
      <c r="H36" s="204"/>
      <c r="I36" s="101"/>
      <c r="J36" s="101"/>
      <c r="K36" s="101"/>
      <c r="L36" s="101"/>
      <c r="M36" s="101"/>
      <c r="N36" s="101"/>
      <c r="O36" s="102"/>
      <c r="P36" s="87"/>
      <c r="Q36" s="507"/>
      <c r="R36" s="507"/>
      <c r="S36" s="507"/>
      <c r="T36" s="507"/>
      <c r="U36" s="166"/>
      <c r="V36" s="166"/>
    </row>
    <row r="37" spans="1:22" ht="5.25" customHeight="1">
      <c r="A37" s="90"/>
      <c r="B37" s="100"/>
      <c r="C37" s="103"/>
      <c r="D37" s="103"/>
      <c r="E37" s="103"/>
      <c r="F37" s="103"/>
      <c r="G37" s="103"/>
      <c r="H37" s="103"/>
      <c r="I37" s="103"/>
      <c r="J37" s="103"/>
      <c r="K37" s="103"/>
      <c r="L37" s="103"/>
      <c r="M37" s="103"/>
      <c r="N37" s="103"/>
      <c r="O37" s="96"/>
      <c r="P37" s="87"/>
      <c r="Q37" s="507"/>
      <c r="R37" s="507"/>
      <c r="S37" s="507"/>
      <c r="T37" s="507"/>
      <c r="U37" s="166"/>
      <c r="V37" s="166"/>
    </row>
    <row r="38" spans="1:22" ht="10.5" customHeight="1">
      <c r="A38" s="510" t="s">
        <v>259</v>
      </c>
      <c r="B38" s="94">
        <v>1995</v>
      </c>
      <c r="C38" s="95">
        <v>120</v>
      </c>
      <c r="D38" s="95">
        <v>116</v>
      </c>
      <c r="E38" s="95">
        <v>148</v>
      </c>
      <c r="F38" s="95">
        <v>174</v>
      </c>
      <c r="G38" s="95">
        <v>155</v>
      </c>
      <c r="H38" s="95">
        <v>121</v>
      </c>
      <c r="I38" s="95">
        <v>98</v>
      </c>
      <c r="J38" s="95">
        <v>102</v>
      </c>
      <c r="K38" s="95">
        <v>117</v>
      </c>
      <c r="L38" s="95">
        <v>97</v>
      </c>
      <c r="M38" s="95">
        <v>98</v>
      </c>
      <c r="N38" s="95">
        <v>101</v>
      </c>
      <c r="O38" s="96">
        <v>120.58333333333333</v>
      </c>
      <c r="P38" s="87"/>
      <c r="Q38" s="507">
        <f aca="true" t="shared" si="11" ref="Q38:Q51">AVERAGE(C38:E38)</f>
        <v>128</v>
      </c>
      <c r="R38" s="507">
        <f aca="true" t="shared" si="12" ref="R38:R49">AVERAGE(F38:H38)</f>
        <v>150</v>
      </c>
      <c r="S38" s="507">
        <f aca="true" t="shared" si="13" ref="S38:S51">AVERAGE(I38:K38)</f>
        <v>105.66666666666667</v>
      </c>
      <c r="T38" s="507">
        <f aca="true" t="shared" si="14" ref="T38:T48">AVERAGE(L38:N38)</f>
        <v>98.66666666666667</v>
      </c>
      <c r="U38" s="166"/>
      <c r="V38" s="166"/>
    </row>
    <row r="39" spans="1:22" ht="10.5" customHeight="1">
      <c r="A39" s="511" t="s">
        <v>260</v>
      </c>
      <c r="B39" s="94">
        <v>1996</v>
      </c>
      <c r="C39" s="95">
        <v>94</v>
      </c>
      <c r="D39" s="95">
        <v>111</v>
      </c>
      <c r="E39" s="95">
        <v>147</v>
      </c>
      <c r="F39" s="95">
        <v>122</v>
      </c>
      <c r="G39" s="95">
        <v>103</v>
      </c>
      <c r="H39" s="95">
        <v>116</v>
      </c>
      <c r="I39" s="95">
        <v>99</v>
      </c>
      <c r="J39" s="95">
        <v>116</v>
      </c>
      <c r="K39" s="95">
        <v>102</v>
      </c>
      <c r="L39" s="95">
        <v>109</v>
      </c>
      <c r="M39" s="95">
        <v>112</v>
      </c>
      <c r="N39" s="95">
        <v>96</v>
      </c>
      <c r="O39" s="96">
        <v>110.58333333333333</v>
      </c>
      <c r="P39" s="87"/>
      <c r="Q39" s="507">
        <f t="shared" si="11"/>
        <v>117.33333333333333</v>
      </c>
      <c r="R39" s="507">
        <f t="shared" si="12"/>
        <v>113.66666666666667</v>
      </c>
      <c r="S39" s="507">
        <f t="shared" si="13"/>
        <v>105.66666666666667</v>
      </c>
      <c r="T39" s="507">
        <f t="shared" si="14"/>
        <v>105.66666666666667</v>
      </c>
      <c r="U39" s="166"/>
      <c r="V39" s="166"/>
    </row>
    <row r="40" spans="1:22" ht="10.5" customHeight="1">
      <c r="A40" s="90"/>
      <c r="B40" s="94">
        <v>1997</v>
      </c>
      <c r="C40" s="95">
        <v>111</v>
      </c>
      <c r="D40" s="95">
        <v>105</v>
      </c>
      <c r="E40" s="95">
        <v>118</v>
      </c>
      <c r="F40" s="95">
        <v>113</v>
      </c>
      <c r="G40" s="95">
        <v>106</v>
      </c>
      <c r="H40" s="95">
        <v>112</v>
      </c>
      <c r="I40" s="95">
        <v>112</v>
      </c>
      <c r="J40" s="95">
        <v>122</v>
      </c>
      <c r="K40" s="95">
        <v>119</v>
      </c>
      <c r="L40" s="95">
        <v>145</v>
      </c>
      <c r="M40" s="95">
        <v>122</v>
      </c>
      <c r="N40" s="95">
        <v>136</v>
      </c>
      <c r="O40" s="96">
        <v>118.41666666666667</v>
      </c>
      <c r="P40" s="87"/>
      <c r="Q40" s="507">
        <f t="shared" si="11"/>
        <v>111.33333333333333</v>
      </c>
      <c r="R40" s="507">
        <f t="shared" si="12"/>
        <v>110.33333333333333</v>
      </c>
      <c r="S40" s="507">
        <f t="shared" si="13"/>
        <v>117.66666666666667</v>
      </c>
      <c r="T40" s="507">
        <f t="shared" si="14"/>
        <v>134.33333333333334</v>
      </c>
      <c r="U40" s="166"/>
      <c r="V40" s="166"/>
    </row>
    <row r="41" spans="1:22" ht="10.5" customHeight="1">
      <c r="A41" s="90"/>
      <c r="B41" s="94">
        <v>1998</v>
      </c>
      <c r="C41" s="95">
        <v>122</v>
      </c>
      <c r="D41" s="95">
        <v>116</v>
      </c>
      <c r="E41" s="95">
        <v>125</v>
      </c>
      <c r="F41" s="95">
        <v>156</v>
      </c>
      <c r="G41" s="95">
        <v>129</v>
      </c>
      <c r="H41" s="95">
        <v>110</v>
      </c>
      <c r="I41" s="95">
        <v>121</v>
      </c>
      <c r="J41" s="95">
        <v>114</v>
      </c>
      <c r="K41" s="95">
        <v>114</v>
      </c>
      <c r="L41" s="95">
        <v>133</v>
      </c>
      <c r="M41" s="95">
        <v>113</v>
      </c>
      <c r="N41" s="95">
        <v>117</v>
      </c>
      <c r="O41" s="96">
        <v>122.5</v>
      </c>
      <c r="P41" s="87"/>
      <c r="Q41" s="507">
        <f t="shared" si="11"/>
        <v>121</v>
      </c>
      <c r="R41" s="507">
        <f t="shared" si="12"/>
        <v>131.66666666666666</v>
      </c>
      <c r="S41" s="507">
        <f t="shared" si="13"/>
        <v>116.33333333333333</v>
      </c>
      <c r="T41" s="507">
        <f t="shared" si="14"/>
        <v>121</v>
      </c>
      <c r="U41" s="166"/>
      <c r="V41" s="166"/>
    </row>
    <row r="42" spans="1:22" ht="10.5" customHeight="1">
      <c r="A42" s="90"/>
      <c r="B42" s="94">
        <v>1999</v>
      </c>
      <c r="C42" s="95">
        <v>105</v>
      </c>
      <c r="D42" s="95">
        <v>112</v>
      </c>
      <c r="E42" s="95">
        <v>121</v>
      </c>
      <c r="F42" s="95">
        <v>130</v>
      </c>
      <c r="G42" s="95">
        <v>118</v>
      </c>
      <c r="H42" s="95">
        <v>110</v>
      </c>
      <c r="I42" s="95">
        <v>104</v>
      </c>
      <c r="J42" s="95">
        <v>106</v>
      </c>
      <c r="K42" s="95">
        <v>105</v>
      </c>
      <c r="L42" s="95">
        <v>97</v>
      </c>
      <c r="M42" s="95">
        <v>98</v>
      </c>
      <c r="N42" s="95">
        <v>116</v>
      </c>
      <c r="O42" s="96">
        <v>110.16666666666667</v>
      </c>
      <c r="P42" s="87"/>
      <c r="Q42" s="507">
        <f t="shared" si="11"/>
        <v>112.66666666666667</v>
      </c>
      <c r="R42" s="507">
        <f t="shared" si="12"/>
        <v>119.33333333333333</v>
      </c>
      <c r="S42" s="507">
        <f t="shared" si="13"/>
        <v>105</v>
      </c>
      <c r="T42" s="507">
        <f t="shared" si="14"/>
        <v>103.66666666666667</v>
      </c>
      <c r="U42" s="166"/>
      <c r="V42" s="166"/>
    </row>
    <row r="43" spans="1:22" ht="10.5" customHeight="1">
      <c r="A43" s="90"/>
      <c r="B43" s="94">
        <v>2000</v>
      </c>
      <c r="C43" s="95">
        <v>98</v>
      </c>
      <c r="D43" s="95">
        <v>86</v>
      </c>
      <c r="E43" s="95">
        <v>108</v>
      </c>
      <c r="F43" s="95">
        <v>136</v>
      </c>
      <c r="G43" s="95">
        <v>131</v>
      </c>
      <c r="H43" s="95">
        <v>117</v>
      </c>
      <c r="I43" s="95">
        <v>119</v>
      </c>
      <c r="J43" s="95">
        <v>129</v>
      </c>
      <c r="K43" s="95">
        <v>143</v>
      </c>
      <c r="L43" s="95">
        <v>125</v>
      </c>
      <c r="M43" s="95">
        <v>144</v>
      </c>
      <c r="N43" s="95">
        <v>115</v>
      </c>
      <c r="O43" s="104">
        <v>121</v>
      </c>
      <c r="P43" s="87"/>
      <c r="Q43" s="507">
        <f t="shared" si="11"/>
        <v>97.33333333333333</v>
      </c>
      <c r="R43" s="507">
        <f t="shared" si="12"/>
        <v>128</v>
      </c>
      <c r="S43" s="507">
        <f t="shared" si="13"/>
        <v>130.33333333333334</v>
      </c>
      <c r="T43" s="507">
        <f t="shared" si="14"/>
        <v>128</v>
      </c>
      <c r="U43" s="166"/>
      <c r="V43" s="166"/>
    </row>
    <row r="44" spans="1:22" ht="10.5" customHeight="1">
      <c r="A44" s="90"/>
      <c r="B44" s="94">
        <v>2001</v>
      </c>
      <c r="C44" s="95">
        <v>121</v>
      </c>
      <c r="D44" s="95">
        <v>147</v>
      </c>
      <c r="E44" s="95">
        <v>138</v>
      </c>
      <c r="F44" s="95">
        <v>137</v>
      </c>
      <c r="G44" s="95">
        <v>144</v>
      </c>
      <c r="H44" s="95">
        <v>120</v>
      </c>
      <c r="I44" s="95">
        <v>125</v>
      </c>
      <c r="J44" s="95">
        <v>145</v>
      </c>
      <c r="K44" s="95">
        <v>134</v>
      </c>
      <c r="L44" s="95">
        <v>103</v>
      </c>
      <c r="M44" s="95">
        <v>109</v>
      </c>
      <c r="N44" s="95">
        <v>171</v>
      </c>
      <c r="O44" s="96">
        <v>133</v>
      </c>
      <c r="P44" s="87"/>
      <c r="Q44" s="507">
        <f t="shared" si="11"/>
        <v>135.33333333333334</v>
      </c>
      <c r="R44" s="507">
        <f t="shared" si="12"/>
        <v>133.66666666666666</v>
      </c>
      <c r="S44" s="507">
        <f t="shared" si="13"/>
        <v>134.66666666666666</v>
      </c>
      <c r="T44" s="507">
        <f t="shared" si="14"/>
        <v>127.66666666666667</v>
      </c>
      <c r="U44" s="166"/>
      <c r="V44" s="166"/>
    </row>
    <row r="45" spans="1:22" ht="10.5" customHeight="1">
      <c r="A45" s="90"/>
      <c r="B45" s="94">
        <v>2002</v>
      </c>
      <c r="C45" s="95">
        <v>158</v>
      </c>
      <c r="D45" s="95">
        <v>192</v>
      </c>
      <c r="E45" s="95">
        <v>272</v>
      </c>
      <c r="F45" s="95">
        <v>120</v>
      </c>
      <c r="G45" s="95">
        <v>115</v>
      </c>
      <c r="H45" s="95">
        <v>109</v>
      </c>
      <c r="I45" s="95">
        <v>115</v>
      </c>
      <c r="J45" s="95">
        <v>121</v>
      </c>
      <c r="K45" s="95">
        <v>119</v>
      </c>
      <c r="L45" s="95">
        <v>105</v>
      </c>
      <c r="M45" s="95">
        <v>110</v>
      </c>
      <c r="N45" s="95">
        <v>104</v>
      </c>
      <c r="O45" s="96">
        <v>137</v>
      </c>
      <c r="P45" s="87"/>
      <c r="Q45" s="507">
        <f t="shared" si="11"/>
        <v>207.33333333333334</v>
      </c>
      <c r="R45" s="507">
        <f t="shared" si="12"/>
        <v>114.66666666666667</v>
      </c>
      <c r="S45" s="507">
        <f t="shared" si="13"/>
        <v>118.33333333333333</v>
      </c>
      <c r="T45" s="507">
        <f t="shared" si="14"/>
        <v>106.33333333333333</v>
      </c>
      <c r="U45" s="166"/>
      <c r="V45" s="166"/>
    </row>
    <row r="46" spans="1:22" ht="10.5" customHeight="1">
      <c r="A46" s="90"/>
      <c r="B46" s="94">
        <v>2003</v>
      </c>
      <c r="C46" s="95">
        <v>112</v>
      </c>
      <c r="D46" s="95">
        <v>113</v>
      </c>
      <c r="E46" s="95">
        <v>123</v>
      </c>
      <c r="F46" s="95">
        <v>129</v>
      </c>
      <c r="G46" s="95">
        <v>138</v>
      </c>
      <c r="H46" s="95">
        <v>152</v>
      </c>
      <c r="I46" s="95">
        <v>119</v>
      </c>
      <c r="J46" s="95">
        <v>138</v>
      </c>
      <c r="K46" s="95">
        <v>144</v>
      </c>
      <c r="L46" s="95">
        <v>143</v>
      </c>
      <c r="M46" s="95">
        <v>180</v>
      </c>
      <c r="N46" s="95">
        <v>159</v>
      </c>
      <c r="O46" s="96">
        <v>138</v>
      </c>
      <c r="P46" s="87"/>
      <c r="Q46" s="507">
        <f t="shared" si="11"/>
        <v>116</v>
      </c>
      <c r="R46" s="507">
        <f t="shared" si="12"/>
        <v>139.66666666666666</v>
      </c>
      <c r="S46" s="507">
        <f t="shared" si="13"/>
        <v>133.66666666666666</v>
      </c>
      <c r="T46" s="507">
        <f t="shared" si="14"/>
        <v>160.66666666666666</v>
      </c>
      <c r="U46" s="166"/>
      <c r="V46" s="166"/>
    </row>
    <row r="47" spans="1:22" ht="10.5" customHeight="1">
      <c r="A47" s="90"/>
      <c r="B47" s="94">
        <v>2004</v>
      </c>
      <c r="C47" s="95">
        <v>127</v>
      </c>
      <c r="D47" s="95">
        <v>140</v>
      </c>
      <c r="E47" s="95">
        <v>111</v>
      </c>
      <c r="F47" s="95">
        <v>127</v>
      </c>
      <c r="G47" s="95">
        <v>108</v>
      </c>
      <c r="H47" s="95">
        <v>107</v>
      </c>
      <c r="I47" s="95">
        <v>100</v>
      </c>
      <c r="J47" s="95">
        <v>127</v>
      </c>
      <c r="K47" s="95">
        <v>129</v>
      </c>
      <c r="L47" s="95">
        <v>155</v>
      </c>
      <c r="M47" s="95">
        <v>158</v>
      </c>
      <c r="N47" s="95">
        <v>119</v>
      </c>
      <c r="O47" s="96">
        <v>126</v>
      </c>
      <c r="P47" s="87"/>
      <c r="Q47" s="507">
        <f t="shared" si="11"/>
        <v>126</v>
      </c>
      <c r="R47" s="507">
        <f t="shared" si="12"/>
        <v>114</v>
      </c>
      <c r="S47" s="507">
        <f t="shared" si="13"/>
        <v>118.66666666666667</v>
      </c>
      <c r="T47" s="507">
        <f t="shared" si="14"/>
        <v>144</v>
      </c>
      <c r="U47" s="166"/>
      <c r="V47" s="166"/>
    </row>
    <row r="48" spans="1:22" ht="10.5" customHeight="1">
      <c r="A48" s="90"/>
      <c r="B48" s="94">
        <v>2005</v>
      </c>
      <c r="C48" s="95">
        <v>93</v>
      </c>
      <c r="D48" s="95">
        <v>117</v>
      </c>
      <c r="E48" s="95">
        <v>165</v>
      </c>
      <c r="F48" s="95">
        <v>181</v>
      </c>
      <c r="G48" s="95">
        <v>135</v>
      </c>
      <c r="H48" s="95">
        <v>138</v>
      </c>
      <c r="I48" s="95">
        <v>112</v>
      </c>
      <c r="J48" s="95">
        <v>118</v>
      </c>
      <c r="K48" s="95">
        <v>127</v>
      </c>
      <c r="L48" s="95">
        <v>113</v>
      </c>
      <c r="M48" s="95">
        <v>113</v>
      </c>
      <c r="N48" s="95">
        <v>152</v>
      </c>
      <c r="O48" s="96">
        <v>130</v>
      </c>
      <c r="P48" s="87"/>
      <c r="Q48" s="507">
        <f t="shared" si="11"/>
        <v>125</v>
      </c>
      <c r="R48" s="507">
        <f t="shared" si="12"/>
        <v>151.33333333333334</v>
      </c>
      <c r="S48" s="507">
        <f t="shared" si="13"/>
        <v>119</v>
      </c>
      <c r="T48" s="507">
        <f t="shared" si="14"/>
        <v>126</v>
      </c>
      <c r="U48" s="166"/>
      <c r="V48" s="166"/>
    </row>
    <row r="49" spans="1:22" s="452" customFormat="1" ht="10.5" customHeight="1">
      <c r="A49" s="447"/>
      <c r="B49" s="448">
        <v>2006</v>
      </c>
      <c r="C49" s="449">
        <v>128</v>
      </c>
      <c r="D49" s="449">
        <v>115</v>
      </c>
      <c r="E49" s="449">
        <v>133</v>
      </c>
      <c r="F49" s="449">
        <v>151</v>
      </c>
      <c r="G49" s="449">
        <v>156</v>
      </c>
      <c r="H49" s="449">
        <v>131</v>
      </c>
      <c r="I49" s="449">
        <v>119</v>
      </c>
      <c r="J49" s="449">
        <v>152</v>
      </c>
      <c r="K49" s="449">
        <v>160</v>
      </c>
      <c r="L49" s="449">
        <v>123</v>
      </c>
      <c r="M49" s="449">
        <v>119</v>
      </c>
      <c r="N49" s="449">
        <v>150</v>
      </c>
      <c r="O49" s="450">
        <f>AVERAGE(C49:N49)</f>
        <v>136.41666666666666</v>
      </c>
      <c r="P49" s="441"/>
      <c r="Q49" s="508">
        <f t="shared" si="11"/>
        <v>125.33333333333333</v>
      </c>
      <c r="R49" s="508">
        <f t="shared" si="12"/>
        <v>146</v>
      </c>
      <c r="S49" s="508">
        <f t="shared" si="13"/>
        <v>143.66666666666666</v>
      </c>
      <c r="T49" s="508">
        <f>AVERAGE(L49:N49)</f>
        <v>130.66666666666666</v>
      </c>
      <c r="U49" s="451"/>
      <c r="V49" s="451"/>
    </row>
    <row r="50" spans="1:22" ht="10.5" customHeight="1">
      <c r="A50" s="90"/>
      <c r="B50" s="342">
        <v>2007</v>
      </c>
      <c r="C50" s="453">
        <v>177</v>
      </c>
      <c r="D50" s="453">
        <v>165</v>
      </c>
      <c r="E50" s="453">
        <v>192</v>
      </c>
      <c r="F50" s="453">
        <v>181</v>
      </c>
      <c r="G50" s="453">
        <v>144</v>
      </c>
      <c r="H50" s="453">
        <v>133</v>
      </c>
      <c r="I50" s="453">
        <v>126</v>
      </c>
      <c r="J50" s="453">
        <v>147</v>
      </c>
      <c r="K50" s="453">
        <v>155</v>
      </c>
      <c r="L50" s="453">
        <v>196</v>
      </c>
      <c r="M50" s="453">
        <v>139</v>
      </c>
      <c r="N50" s="453">
        <v>138</v>
      </c>
      <c r="O50" s="450">
        <f>AVERAGE(C50:N50)</f>
        <v>157.75</v>
      </c>
      <c r="P50" s="332"/>
      <c r="Q50" s="509">
        <f t="shared" si="11"/>
        <v>178</v>
      </c>
      <c r="R50" s="509">
        <f>AVERAGE(F50:H50)</f>
        <v>152.66666666666666</v>
      </c>
      <c r="S50" s="509">
        <f t="shared" si="13"/>
        <v>142.66666666666666</v>
      </c>
      <c r="T50" s="509">
        <f>AVERAGE(L50:N50)</f>
        <v>157.66666666666666</v>
      </c>
      <c r="U50" s="166"/>
      <c r="V50" s="166"/>
    </row>
    <row r="51" spans="1:22" ht="10.5" customHeight="1">
      <c r="A51" s="90"/>
      <c r="B51" s="342">
        <v>2008</v>
      </c>
      <c r="C51" s="453">
        <v>139</v>
      </c>
      <c r="D51" s="453">
        <v>120</v>
      </c>
      <c r="E51" s="453">
        <v>135</v>
      </c>
      <c r="F51" s="453">
        <v>164</v>
      </c>
      <c r="G51" s="453">
        <v>146</v>
      </c>
      <c r="H51" s="453">
        <v>154</v>
      </c>
      <c r="I51" s="453">
        <v>145</v>
      </c>
      <c r="J51" s="453">
        <v>141</v>
      </c>
      <c r="K51" s="453">
        <v>171</v>
      </c>
      <c r="L51" s="453">
        <v>183</v>
      </c>
      <c r="M51" s="453">
        <v>158</v>
      </c>
      <c r="N51" s="453"/>
      <c r="O51" s="450"/>
      <c r="P51" s="332"/>
      <c r="Q51" s="509">
        <f t="shared" si="11"/>
        <v>131.33333333333334</v>
      </c>
      <c r="R51" s="509">
        <f>AVERAGE(F51:H51)</f>
        <v>154.66666666666666</v>
      </c>
      <c r="S51" s="509">
        <f t="shared" si="13"/>
        <v>152.33333333333334</v>
      </c>
      <c r="T51" s="509">
        <f>AVERAGE(L51:N51)</f>
        <v>170.5</v>
      </c>
      <c r="U51" s="166"/>
      <c r="V51" s="166"/>
    </row>
    <row r="52" spans="1:22" ht="4.5" customHeight="1">
      <c r="A52" s="90"/>
      <c r="B52" s="94"/>
      <c r="C52" s="97"/>
      <c r="D52" s="97"/>
      <c r="E52" s="97"/>
      <c r="F52" s="97"/>
      <c r="G52" s="97"/>
      <c r="H52" s="97"/>
      <c r="I52" s="97"/>
      <c r="J52" s="97"/>
      <c r="K52" s="97"/>
      <c r="L52" s="97"/>
      <c r="M52" s="97"/>
      <c r="N52" s="97"/>
      <c r="O52" s="96"/>
      <c r="P52" s="87"/>
      <c r="Q52" s="507"/>
      <c r="R52" s="507"/>
      <c r="S52" s="507"/>
      <c r="T52" s="507"/>
      <c r="U52" s="166"/>
      <c r="V52" s="166"/>
    </row>
    <row r="53" spans="1:22" ht="10.5" customHeight="1">
      <c r="A53" s="510" t="s">
        <v>121</v>
      </c>
      <c r="B53" s="94">
        <v>1995</v>
      </c>
      <c r="C53" s="95">
        <v>92</v>
      </c>
      <c r="D53" s="95">
        <v>89</v>
      </c>
      <c r="E53" s="95">
        <v>96</v>
      </c>
      <c r="F53" s="95">
        <v>100</v>
      </c>
      <c r="G53" s="95">
        <v>105</v>
      </c>
      <c r="H53" s="95">
        <v>121</v>
      </c>
      <c r="I53" s="95">
        <v>144</v>
      </c>
      <c r="J53" s="95">
        <v>116</v>
      </c>
      <c r="K53" s="95">
        <v>98</v>
      </c>
      <c r="L53" s="95">
        <v>106</v>
      </c>
      <c r="M53" s="95">
        <v>108</v>
      </c>
      <c r="N53" s="95">
        <v>108</v>
      </c>
      <c r="O53" s="96">
        <v>106.91666666666667</v>
      </c>
      <c r="P53" s="87"/>
      <c r="Q53" s="507">
        <f aca="true" t="shared" si="15" ref="Q53:Q66">AVERAGE(C53:E53)</f>
        <v>92.33333333333333</v>
      </c>
      <c r="R53" s="507">
        <f aca="true" t="shared" si="16" ref="R53:R64">AVERAGE(F53:H53)</f>
        <v>108.66666666666667</v>
      </c>
      <c r="S53" s="507">
        <f aca="true" t="shared" si="17" ref="S53:S66">AVERAGE(I53:K53)</f>
        <v>119.33333333333333</v>
      </c>
      <c r="T53" s="507">
        <f aca="true" t="shared" si="18" ref="T53:T63">AVERAGE(L53:N53)</f>
        <v>107.33333333333333</v>
      </c>
      <c r="U53" s="166"/>
      <c r="V53" s="166"/>
    </row>
    <row r="54" spans="1:22" ht="10.5" customHeight="1">
      <c r="A54" s="90"/>
      <c r="B54" s="94">
        <v>1996</v>
      </c>
      <c r="C54" s="95">
        <v>111</v>
      </c>
      <c r="D54" s="95">
        <v>116</v>
      </c>
      <c r="E54" s="95">
        <v>125</v>
      </c>
      <c r="F54" s="95">
        <v>132</v>
      </c>
      <c r="G54" s="95">
        <v>138</v>
      </c>
      <c r="H54" s="95">
        <v>140</v>
      </c>
      <c r="I54" s="95">
        <v>138</v>
      </c>
      <c r="J54" s="95">
        <v>103</v>
      </c>
      <c r="K54" s="95">
        <v>95</v>
      </c>
      <c r="L54" s="95">
        <v>91</v>
      </c>
      <c r="M54" s="95">
        <v>89</v>
      </c>
      <c r="N54" s="95">
        <v>86</v>
      </c>
      <c r="O54" s="96">
        <v>113.66666666666667</v>
      </c>
      <c r="P54" s="87"/>
      <c r="Q54" s="507">
        <f t="shared" si="15"/>
        <v>117.33333333333333</v>
      </c>
      <c r="R54" s="507">
        <f t="shared" si="16"/>
        <v>136.66666666666666</v>
      </c>
      <c r="S54" s="507">
        <f t="shared" si="17"/>
        <v>112</v>
      </c>
      <c r="T54" s="507">
        <f t="shared" si="18"/>
        <v>88.66666666666667</v>
      </c>
      <c r="U54" s="166"/>
      <c r="V54" s="166"/>
    </row>
    <row r="55" spans="1:22" ht="10.5" customHeight="1">
      <c r="A55" s="90"/>
      <c r="B55" s="94">
        <v>1997</v>
      </c>
      <c r="C55" s="95">
        <v>84</v>
      </c>
      <c r="D55" s="95">
        <v>85</v>
      </c>
      <c r="E55" s="95">
        <v>86</v>
      </c>
      <c r="F55" s="95">
        <v>85</v>
      </c>
      <c r="G55" s="95">
        <v>94</v>
      </c>
      <c r="H55" s="95">
        <v>85</v>
      </c>
      <c r="I55" s="95">
        <v>99</v>
      </c>
      <c r="J55" s="95">
        <v>107</v>
      </c>
      <c r="K55" s="95">
        <v>87</v>
      </c>
      <c r="L55" s="95">
        <v>85</v>
      </c>
      <c r="M55" s="95">
        <v>90</v>
      </c>
      <c r="N55" s="95">
        <v>94</v>
      </c>
      <c r="O55" s="96">
        <v>90.08333333333333</v>
      </c>
      <c r="P55" s="87"/>
      <c r="Q55" s="507">
        <f t="shared" si="15"/>
        <v>85</v>
      </c>
      <c r="R55" s="507">
        <f t="shared" si="16"/>
        <v>88</v>
      </c>
      <c r="S55" s="507">
        <f t="shared" si="17"/>
        <v>97.66666666666667</v>
      </c>
      <c r="T55" s="507">
        <f t="shared" si="18"/>
        <v>89.66666666666667</v>
      </c>
      <c r="U55" s="166"/>
      <c r="V55" s="166"/>
    </row>
    <row r="56" spans="1:22" ht="10.5" customHeight="1">
      <c r="A56" s="90"/>
      <c r="B56" s="94">
        <v>1998</v>
      </c>
      <c r="C56" s="95">
        <v>97</v>
      </c>
      <c r="D56" s="95">
        <v>104</v>
      </c>
      <c r="E56" s="95">
        <v>109</v>
      </c>
      <c r="F56" s="95">
        <v>108</v>
      </c>
      <c r="G56" s="95">
        <v>111</v>
      </c>
      <c r="H56" s="95">
        <v>106</v>
      </c>
      <c r="I56" s="95">
        <v>102</v>
      </c>
      <c r="J56" s="95">
        <v>95</v>
      </c>
      <c r="K56" s="95">
        <v>89</v>
      </c>
      <c r="L56" s="95">
        <v>82</v>
      </c>
      <c r="M56" s="95">
        <v>89</v>
      </c>
      <c r="N56" s="95">
        <v>94</v>
      </c>
      <c r="O56" s="96">
        <v>98.83333333333333</v>
      </c>
      <c r="P56" s="87"/>
      <c r="Q56" s="507">
        <f t="shared" si="15"/>
        <v>103.33333333333333</v>
      </c>
      <c r="R56" s="507">
        <f t="shared" si="16"/>
        <v>108.33333333333333</v>
      </c>
      <c r="S56" s="507">
        <f t="shared" si="17"/>
        <v>95.33333333333333</v>
      </c>
      <c r="T56" s="507">
        <f t="shared" si="18"/>
        <v>88.33333333333333</v>
      </c>
      <c r="U56" s="166"/>
      <c r="V56" s="166"/>
    </row>
    <row r="57" spans="1:22" ht="10.5" customHeight="1">
      <c r="A57" s="90"/>
      <c r="B57" s="94">
        <v>1999</v>
      </c>
      <c r="C57" s="95">
        <v>97</v>
      </c>
      <c r="D57" s="95">
        <v>98</v>
      </c>
      <c r="E57" s="95">
        <v>103</v>
      </c>
      <c r="F57" s="95">
        <v>108</v>
      </c>
      <c r="G57" s="95">
        <v>105</v>
      </c>
      <c r="H57" s="95">
        <v>110</v>
      </c>
      <c r="I57" s="95">
        <v>121</v>
      </c>
      <c r="J57" s="95">
        <v>102</v>
      </c>
      <c r="K57" s="95">
        <v>89</v>
      </c>
      <c r="L57" s="95">
        <v>85</v>
      </c>
      <c r="M57" s="95">
        <v>94</v>
      </c>
      <c r="N57" s="95">
        <v>91</v>
      </c>
      <c r="O57" s="96">
        <v>100.25</v>
      </c>
      <c r="P57" s="87"/>
      <c r="Q57" s="507">
        <f t="shared" si="15"/>
        <v>99.33333333333333</v>
      </c>
      <c r="R57" s="507">
        <f t="shared" si="16"/>
        <v>107.66666666666667</v>
      </c>
      <c r="S57" s="507">
        <f t="shared" si="17"/>
        <v>104</v>
      </c>
      <c r="T57" s="507">
        <f t="shared" si="18"/>
        <v>90</v>
      </c>
      <c r="U57" s="166"/>
      <c r="V57" s="166"/>
    </row>
    <row r="58" spans="1:22" ht="10.5" customHeight="1">
      <c r="A58" s="90"/>
      <c r="B58" s="94">
        <v>2000</v>
      </c>
      <c r="C58" s="95">
        <v>94</v>
      </c>
      <c r="D58" s="95">
        <v>98</v>
      </c>
      <c r="E58" s="95">
        <v>103</v>
      </c>
      <c r="F58" s="95">
        <v>108</v>
      </c>
      <c r="G58" s="95">
        <v>105</v>
      </c>
      <c r="H58" s="95">
        <v>101</v>
      </c>
      <c r="I58" s="95">
        <v>110</v>
      </c>
      <c r="J58" s="95">
        <v>92</v>
      </c>
      <c r="K58" s="95">
        <v>80</v>
      </c>
      <c r="L58" s="95">
        <v>76</v>
      </c>
      <c r="M58" s="95">
        <v>76</v>
      </c>
      <c r="N58" s="95">
        <v>78</v>
      </c>
      <c r="O58" s="96">
        <v>93.41666666666667</v>
      </c>
      <c r="P58" s="87"/>
      <c r="Q58" s="507">
        <f t="shared" si="15"/>
        <v>98.33333333333333</v>
      </c>
      <c r="R58" s="507">
        <f t="shared" si="16"/>
        <v>104.66666666666667</v>
      </c>
      <c r="S58" s="507">
        <f t="shared" si="17"/>
        <v>94</v>
      </c>
      <c r="T58" s="507">
        <f t="shared" si="18"/>
        <v>76.66666666666667</v>
      </c>
      <c r="U58" s="166"/>
      <c r="V58" s="166"/>
    </row>
    <row r="59" spans="1:22" ht="10.5" customHeight="1">
      <c r="A59" s="90"/>
      <c r="B59" s="94">
        <v>2001</v>
      </c>
      <c r="C59" s="95">
        <v>81</v>
      </c>
      <c r="D59" s="95">
        <v>89</v>
      </c>
      <c r="E59" s="95">
        <v>86</v>
      </c>
      <c r="F59" s="95">
        <v>92</v>
      </c>
      <c r="G59" s="95">
        <v>90</v>
      </c>
      <c r="H59" s="95">
        <v>96</v>
      </c>
      <c r="I59" s="95">
        <v>105</v>
      </c>
      <c r="J59" s="95">
        <v>125</v>
      </c>
      <c r="K59" s="95">
        <v>102</v>
      </c>
      <c r="L59" s="95">
        <v>91</v>
      </c>
      <c r="M59" s="95">
        <v>106</v>
      </c>
      <c r="N59" s="95">
        <v>114</v>
      </c>
      <c r="O59" s="96">
        <v>98.08333333333333</v>
      </c>
      <c r="P59" s="87"/>
      <c r="Q59" s="507">
        <f t="shared" si="15"/>
        <v>85.33333333333333</v>
      </c>
      <c r="R59" s="507">
        <f t="shared" si="16"/>
        <v>92.66666666666667</v>
      </c>
      <c r="S59" s="507">
        <f t="shared" si="17"/>
        <v>110.66666666666667</v>
      </c>
      <c r="T59" s="507">
        <f t="shared" si="18"/>
        <v>103.66666666666667</v>
      </c>
      <c r="U59" s="166"/>
      <c r="V59" s="166"/>
    </row>
    <row r="60" spans="1:22" ht="10.5" customHeight="1">
      <c r="A60" s="90"/>
      <c r="B60" s="94">
        <v>2002</v>
      </c>
      <c r="C60" s="95">
        <v>123</v>
      </c>
      <c r="D60" s="95">
        <v>127</v>
      </c>
      <c r="E60" s="95">
        <v>141</v>
      </c>
      <c r="F60" s="95">
        <v>138</v>
      </c>
      <c r="G60" s="95">
        <v>148</v>
      </c>
      <c r="H60" s="95">
        <v>159</v>
      </c>
      <c r="I60" s="95">
        <v>175</v>
      </c>
      <c r="J60" s="95">
        <v>129</v>
      </c>
      <c r="K60" s="95">
        <v>103</v>
      </c>
      <c r="L60" s="95">
        <v>92</v>
      </c>
      <c r="M60" s="95">
        <v>104</v>
      </c>
      <c r="N60" s="95">
        <v>108</v>
      </c>
      <c r="O60" s="96">
        <f>AVERAGE(C60:N60)</f>
        <v>128.91666666666666</v>
      </c>
      <c r="P60" s="87"/>
      <c r="Q60" s="507">
        <f t="shared" si="15"/>
        <v>130.33333333333334</v>
      </c>
      <c r="R60" s="507">
        <f t="shared" si="16"/>
        <v>148.33333333333334</v>
      </c>
      <c r="S60" s="507">
        <f t="shared" si="17"/>
        <v>135.66666666666666</v>
      </c>
      <c r="T60" s="507">
        <f t="shared" si="18"/>
        <v>101.33333333333333</v>
      </c>
      <c r="U60" s="166"/>
      <c r="V60" s="166"/>
    </row>
    <row r="61" spans="1:22" ht="10.5" customHeight="1">
      <c r="A61" s="90"/>
      <c r="B61" s="94">
        <v>2003</v>
      </c>
      <c r="C61" s="95">
        <v>105</v>
      </c>
      <c r="D61" s="95">
        <v>110</v>
      </c>
      <c r="E61" s="95">
        <v>112</v>
      </c>
      <c r="F61" s="95">
        <v>117</v>
      </c>
      <c r="G61" s="95">
        <v>117</v>
      </c>
      <c r="H61" s="95">
        <v>110</v>
      </c>
      <c r="I61" s="95">
        <v>113</v>
      </c>
      <c r="J61" s="95">
        <v>96</v>
      </c>
      <c r="K61" s="95">
        <v>90</v>
      </c>
      <c r="L61" s="95">
        <v>87</v>
      </c>
      <c r="M61" s="95">
        <v>95</v>
      </c>
      <c r="N61" s="95">
        <v>97</v>
      </c>
      <c r="O61" s="96">
        <v>104</v>
      </c>
      <c r="P61" s="87"/>
      <c r="Q61" s="507">
        <f t="shared" si="15"/>
        <v>109</v>
      </c>
      <c r="R61" s="507">
        <f t="shared" si="16"/>
        <v>114.66666666666667</v>
      </c>
      <c r="S61" s="507">
        <f t="shared" si="17"/>
        <v>99.66666666666667</v>
      </c>
      <c r="T61" s="507">
        <f t="shared" si="18"/>
        <v>93</v>
      </c>
      <c r="U61" s="166"/>
      <c r="V61" s="166"/>
    </row>
    <row r="62" spans="1:22" ht="10.5" customHeight="1">
      <c r="A62" s="90"/>
      <c r="B62" s="94">
        <v>2004</v>
      </c>
      <c r="C62" s="95">
        <v>96</v>
      </c>
      <c r="D62" s="95">
        <v>100</v>
      </c>
      <c r="E62" s="95">
        <v>105</v>
      </c>
      <c r="F62" s="95">
        <v>112</v>
      </c>
      <c r="G62" s="95">
        <v>110</v>
      </c>
      <c r="H62" s="95">
        <v>110</v>
      </c>
      <c r="I62" s="95">
        <v>109</v>
      </c>
      <c r="J62" s="95">
        <v>98</v>
      </c>
      <c r="K62" s="95">
        <v>96</v>
      </c>
      <c r="L62" s="95">
        <v>88</v>
      </c>
      <c r="M62" s="95">
        <v>94</v>
      </c>
      <c r="N62" s="95">
        <v>100</v>
      </c>
      <c r="O62" s="96">
        <v>102</v>
      </c>
      <c r="P62" s="87"/>
      <c r="Q62" s="507">
        <f t="shared" si="15"/>
        <v>100.33333333333333</v>
      </c>
      <c r="R62" s="507">
        <f t="shared" si="16"/>
        <v>110.66666666666667</v>
      </c>
      <c r="S62" s="507">
        <f t="shared" si="17"/>
        <v>101</v>
      </c>
      <c r="T62" s="507">
        <f t="shared" si="18"/>
        <v>94</v>
      </c>
      <c r="U62" s="166"/>
      <c r="V62" s="166"/>
    </row>
    <row r="63" spans="1:22" ht="10.5" customHeight="1">
      <c r="A63" s="90"/>
      <c r="B63" s="94">
        <v>2005</v>
      </c>
      <c r="C63" s="95">
        <v>106</v>
      </c>
      <c r="D63" s="95">
        <v>106</v>
      </c>
      <c r="E63" s="95">
        <v>114</v>
      </c>
      <c r="F63" s="95">
        <v>112</v>
      </c>
      <c r="G63" s="95">
        <v>114</v>
      </c>
      <c r="H63" s="95">
        <v>113</v>
      </c>
      <c r="I63" s="95">
        <v>123</v>
      </c>
      <c r="J63" s="95">
        <v>113</v>
      </c>
      <c r="K63" s="95">
        <v>97</v>
      </c>
      <c r="L63" s="95">
        <v>93</v>
      </c>
      <c r="M63" s="95">
        <v>106</v>
      </c>
      <c r="N63" s="95">
        <v>114</v>
      </c>
      <c r="O63" s="96">
        <v>109</v>
      </c>
      <c r="P63" s="87"/>
      <c r="Q63" s="507">
        <f t="shared" si="15"/>
        <v>108.66666666666667</v>
      </c>
      <c r="R63" s="507">
        <f t="shared" si="16"/>
        <v>113</v>
      </c>
      <c r="S63" s="507">
        <f t="shared" si="17"/>
        <v>111</v>
      </c>
      <c r="T63" s="507">
        <f t="shared" si="18"/>
        <v>104.33333333333333</v>
      </c>
      <c r="U63" s="166"/>
      <c r="V63" s="166"/>
    </row>
    <row r="64" spans="1:22" s="452" customFormat="1" ht="10.5" customHeight="1">
      <c r="A64" s="447"/>
      <c r="B64" s="448">
        <v>2006</v>
      </c>
      <c r="C64" s="449">
        <v>118</v>
      </c>
      <c r="D64" s="449">
        <v>113</v>
      </c>
      <c r="E64" s="449">
        <v>139</v>
      </c>
      <c r="F64" s="449">
        <v>138</v>
      </c>
      <c r="G64" s="449">
        <v>131</v>
      </c>
      <c r="H64" s="449">
        <v>139</v>
      </c>
      <c r="I64" s="449">
        <v>160</v>
      </c>
      <c r="J64" s="449">
        <v>129</v>
      </c>
      <c r="K64" s="449">
        <v>104</v>
      </c>
      <c r="L64" s="449">
        <v>99</v>
      </c>
      <c r="M64" s="449">
        <v>113</v>
      </c>
      <c r="N64" s="449">
        <v>116</v>
      </c>
      <c r="O64" s="450">
        <f>AVERAGE(C64:N64)</f>
        <v>124.91666666666667</v>
      </c>
      <c r="P64" s="441"/>
      <c r="Q64" s="508">
        <f t="shared" si="15"/>
        <v>123.33333333333333</v>
      </c>
      <c r="R64" s="508">
        <f t="shared" si="16"/>
        <v>136</v>
      </c>
      <c r="S64" s="508">
        <f t="shared" si="17"/>
        <v>131</v>
      </c>
      <c r="T64" s="508">
        <f>AVERAGE(L64:N64)</f>
        <v>109.33333333333333</v>
      </c>
      <c r="U64" s="451"/>
      <c r="V64" s="451"/>
    </row>
    <row r="65" spans="1:22" ht="10.5" customHeight="1">
      <c r="A65" s="90"/>
      <c r="B65" s="342">
        <v>2007</v>
      </c>
      <c r="C65" s="453">
        <v>122</v>
      </c>
      <c r="D65" s="453">
        <v>128</v>
      </c>
      <c r="E65" s="453">
        <v>136</v>
      </c>
      <c r="F65" s="453">
        <v>147</v>
      </c>
      <c r="G65" s="453">
        <v>136</v>
      </c>
      <c r="H65" s="453">
        <v>132</v>
      </c>
      <c r="I65" s="453">
        <v>146</v>
      </c>
      <c r="J65" s="453">
        <v>120</v>
      </c>
      <c r="K65" s="453">
        <v>107</v>
      </c>
      <c r="L65" s="453">
        <v>105</v>
      </c>
      <c r="M65" s="453">
        <v>119</v>
      </c>
      <c r="N65" s="453">
        <v>125</v>
      </c>
      <c r="O65" s="450">
        <f>AVERAGE(C65:N65)</f>
        <v>126.91666666666667</v>
      </c>
      <c r="P65" s="332"/>
      <c r="Q65" s="509">
        <f t="shared" si="15"/>
        <v>128.66666666666666</v>
      </c>
      <c r="R65" s="509">
        <f>AVERAGE(F65:H65)</f>
        <v>138.33333333333334</v>
      </c>
      <c r="S65" s="509">
        <f t="shared" si="17"/>
        <v>124.33333333333333</v>
      </c>
      <c r="T65" s="509">
        <f>AVERAGE(L65:N65)</f>
        <v>116.33333333333333</v>
      </c>
      <c r="U65" s="166"/>
      <c r="V65" s="166"/>
    </row>
    <row r="66" spans="1:22" ht="10.5" customHeight="1">
      <c r="A66" s="90"/>
      <c r="B66" s="342">
        <v>2008</v>
      </c>
      <c r="C66" s="453">
        <v>129</v>
      </c>
      <c r="D66" s="453">
        <v>134</v>
      </c>
      <c r="E66" s="453">
        <v>147</v>
      </c>
      <c r="F66" s="453">
        <v>149</v>
      </c>
      <c r="G66" s="453">
        <v>161</v>
      </c>
      <c r="H66" s="453">
        <v>184</v>
      </c>
      <c r="I66" s="453">
        <v>209</v>
      </c>
      <c r="J66" s="453">
        <v>195</v>
      </c>
      <c r="K66" s="453">
        <v>159</v>
      </c>
      <c r="L66" s="453">
        <v>140</v>
      </c>
      <c r="M66" s="453">
        <v>156</v>
      </c>
      <c r="N66" s="453"/>
      <c r="O66" s="450"/>
      <c r="P66" s="332"/>
      <c r="Q66" s="509">
        <f t="shared" si="15"/>
        <v>136.66666666666666</v>
      </c>
      <c r="R66" s="509">
        <f>AVERAGE(F66:H66)</f>
        <v>164.66666666666666</v>
      </c>
      <c r="S66" s="509">
        <f t="shared" si="17"/>
        <v>187.66666666666666</v>
      </c>
      <c r="T66" s="509">
        <f>AVERAGE(L66:N66)</f>
        <v>148</v>
      </c>
      <c r="U66" s="166"/>
      <c r="V66" s="166"/>
    </row>
    <row r="67" spans="1:22" ht="15" customHeight="1">
      <c r="A67" s="153" t="s">
        <v>412</v>
      </c>
      <c r="B67" s="154"/>
      <c r="C67" s="154"/>
      <c r="D67" s="154"/>
      <c r="E67" s="154"/>
      <c r="F67" s="154"/>
      <c r="G67" s="154"/>
      <c r="H67" s="154"/>
      <c r="I67" s="154"/>
      <c r="J67" s="154"/>
      <c r="K67" s="154"/>
      <c r="L67" s="154"/>
      <c r="M67" s="154"/>
      <c r="N67" s="154"/>
      <c r="O67" s="154"/>
      <c r="P67" s="87"/>
      <c r="Q67" s="154"/>
      <c r="R67" s="154"/>
      <c r="S67" s="154"/>
      <c r="T67" s="154"/>
      <c r="U67" s="166"/>
      <c r="V67" s="166"/>
    </row>
    <row r="68" spans="1:22" ht="16.5" customHeight="1">
      <c r="A68" s="414" t="s">
        <v>353</v>
      </c>
      <c r="B68" s="90"/>
      <c r="C68" s="90"/>
      <c r="D68" s="90"/>
      <c r="E68" s="90"/>
      <c r="F68" s="90"/>
      <c r="G68" s="90"/>
      <c r="H68" s="90"/>
      <c r="I68" s="90"/>
      <c r="J68" s="90"/>
      <c r="K68" s="90"/>
      <c r="L68" s="90"/>
      <c r="M68" s="90"/>
      <c r="N68" s="90"/>
      <c r="O68" s="90"/>
      <c r="P68" s="87"/>
      <c r="Q68" s="166"/>
      <c r="R68" s="166"/>
      <c r="S68" s="166"/>
      <c r="T68" s="166"/>
      <c r="U68" s="166"/>
      <c r="V68" s="166"/>
    </row>
    <row r="69" spans="1:22" ht="12">
      <c r="A69" s="87"/>
      <c r="B69" s="87"/>
      <c r="C69" s="87"/>
      <c r="D69" s="87"/>
      <c r="E69" s="87"/>
      <c r="F69" s="87"/>
      <c r="G69" s="87"/>
      <c r="H69" s="87"/>
      <c r="I69" s="87"/>
      <c r="J69" s="87"/>
      <c r="K69" s="87"/>
      <c r="L69" s="87"/>
      <c r="M69" s="87"/>
      <c r="N69" s="87"/>
      <c r="O69" s="87"/>
      <c r="P69" s="87"/>
      <c r="Q69" s="166"/>
      <c r="R69" s="166"/>
      <c r="S69" s="166"/>
      <c r="T69" s="166"/>
      <c r="U69" s="166"/>
      <c r="V69" s="166"/>
    </row>
    <row r="70" spans="1:22" ht="12">
      <c r="A70" s="263" t="s">
        <v>338</v>
      </c>
      <c r="B70" s="87"/>
      <c r="C70" s="87"/>
      <c r="D70" s="87"/>
      <c r="E70" s="87"/>
      <c r="F70" s="87"/>
      <c r="G70" s="87"/>
      <c r="H70" s="87"/>
      <c r="I70" s="87"/>
      <c r="J70" s="87"/>
      <c r="K70" s="87"/>
      <c r="L70" s="87"/>
      <c r="M70" s="87"/>
      <c r="N70" s="87"/>
      <c r="O70" s="87"/>
      <c r="P70" s="87"/>
      <c r="Q70" s="166"/>
      <c r="R70" s="166"/>
      <c r="S70" s="166"/>
      <c r="T70" s="166"/>
      <c r="U70" s="166"/>
      <c r="V70" s="166"/>
    </row>
    <row r="71" spans="1:22" ht="12">
      <c r="A71" s="264" t="s">
        <v>339</v>
      </c>
      <c r="Q71" s="166"/>
      <c r="R71" s="166"/>
      <c r="S71" s="166"/>
      <c r="T71" s="166"/>
      <c r="U71" s="166"/>
      <c r="V71" s="166"/>
    </row>
    <row r="72" spans="17:22" ht="12">
      <c r="Q72" s="166"/>
      <c r="R72" s="166"/>
      <c r="S72" s="166"/>
      <c r="T72" s="166"/>
      <c r="U72" s="166"/>
      <c r="V72" s="166"/>
    </row>
    <row r="73" spans="17:22" ht="12">
      <c r="Q73" s="166"/>
      <c r="R73" s="166"/>
      <c r="S73" s="166"/>
      <c r="T73" s="166"/>
      <c r="U73" s="166"/>
      <c r="V73" s="166"/>
    </row>
    <row r="74" spans="17:22" ht="12">
      <c r="Q74" s="166"/>
      <c r="R74" s="166"/>
      <c r="S74" s="166"/>
      <c r="T74" s="166"/>
      <c r="U74" s="166"/>
      <c r="V74" s="166"/>
    </row>
    <row r="75" spans="17:22" ht="12">
      <c r="Q75" s="166"/>
      <c r="R75" s="166"/>
      <c r="S75" s="166"/>
      <c r="T75" s="166"/>
      <c r="U75" s="166"/>
      <c r="V75" s="166"/>
    </row>
    <row r="76" spans="17:22" ht="12">
      <c r="Q76" s="166"/>
      <c r="R76" s="166"/>
      <c r="S76" s="166"/>
      <c r="T76" s="166"/>
      <c r="U76" s="166"/>
      <c r="V76" s="166"/>
    </row>
    <row r="77" spans="17:22" ht="12">
      <c r="Q77" s="166"/>
      <c r="R77" s="166"/>
      <c r="S77" s="166"/>
      <c r="T77" s="166"/>
      <c r="U77" s="166"/>
      <c r="V77" s="166"/>
    </row>
    <row r="78" spans="17:22" ht="12">
      <c r="Q78" s="166"/>
      <c r="R78" s="166"/>
      <c r="S78" s="166"/>
      <c r="T78" s="166"/>
      <c r="U78" s="166"/>
      <c r="V78" s="166"/>
    </row>
    <row r="79" spans="17:22" ht="12">
      <c r="Q79" s="166"/>
      <c r="R79" s="166"/>
      <c r="S79" s="166"/>
      <c r="T79" s="166"/>
      <c r="U79" s="166"/>
      <c r="V79" s="166"/>
    </row>
    <row r="80" spans="17:22" ht="12">
      <c r="Q80" s="166"/>
      <c r="R80" s="166"/>
      <c r="S80" s="166"/>
      <c r="T80" s="166"/>
      <c r="U80" s="166"/>
      <c r="V80" s="166"/>
    </row>
    <row r="81" spans="17:22" ht="12">
      <c r="Q81" s="166"/>
      <c r="R81" s="166"/>
      <c r="S81" s="166"/>
      <c r="T81" s="166"/>
      <c r="U81" s="166"/>
      <c r="V81" s="166"/>
    </row>
    <row r="82" spans="17:22" ht="12">
      <c r="Q82" s="166"/>
      <c r="R82" s="166"/>
      <c r="S82" s="166"/>
      <c r="T82" s="166"/>
      <c r="U82" s="166"/>
      <c r="V82" s="166"/>
    </row>
    <row r="83" spans="17:22" ht="12">
      <c r="Q83" s="166"/>
      <c r="R83" s="166"/>
      <c r="S83" s="166"/>
      <c r="T83" s="166"/>
      <c r="U83" s="166"/>
      <c r="V83" s="166"/>
    </row>
    <row r="84" spans="17:22" ht="12">
      <c r="Q84" s="166"/>
      <c r="R84" s="166"/>
      <c r="S84" s="166"/>
      <c r="T84" s="166"/>
      <c r="U84" s="166"/>
      <c r="V84" s="166"/>
    </row>
    <row r="85" spans="17:22" ht="12">
      <c r="Q85" s="166"/>
      <c r="R85" s="166"/>
      <c r="S85" s="166"/>
      <c r="T85" s="166"/>
      <c r="U85" s="166"/>
      <c r="V85" s="166"/>
    </row>
    <row r="86" spans="17:22" ht="12">
      <c r="Q86" s="166"/>
      <c r="R86" s="166"/>
      <c r="S86" s="166"/>
      <c r="T86" s="166"/>
      <c r="U86" s="166"/>
      <c r="V86" s="166"/>
    </row>
    <row r="87" spans="17:22" ht="12">
      <c r="Q87" s="166"/>
      <c r="R87" s="166"/>
      <c r="S87" s="166"/>
      <c r="T87" s="166"/>
      <c r="U87" s="166"/>
      <c r="V87" s="166"/>
    </row>
    <row r="88" spans="17:22" ht="12">
      <c r="Q88" s="166"/>
      <c r="R88" s="166"/>
      <c r="S88" s="166"/>
      <c r="T88" s="166"/>
      <c r="U88" s="166"/>
      <c r="V88" s="166"/>
    </row>
    <row r="89" spans="17:22" ht="12">
      <c r="Q89" s="166"/>
      <c r="R89" s="166"/>
      <c r="S89" s="166"/>
      <c r="T89" s="166"/>
      <c r="U89" s="166"/>
      <c r="V89" s="166"/>
    </row>
    <row r="90" spans="17:22" ht="12">
      <c r="Q90" s="166"/>
      <c r="R90" s="166"/>
      <c r="S90" s="166"/>
      <c r="T90" s="166"/>
      <c r="U90" s="166"/>
      <c r="V90" s="166"/>
    </row>
    <row r="91" spans="17:22" ht="12">
      <c r="Q91" s="166"/>
      <c r="R91" s="166"/>
      <c r="S91" s="166"/>
      <c r="T91" s="166"/>
      <c r="U91" s="166"/>
      <c r="V91" s="166"/>
    </row>
    <row r="92" spans="17:22" ht="12">
      <c r="Q92" s="166"/>
      <c r="R92" s="166"/>
      <c r="S92" s="166"/>
      <c r="T92" s="166"/>
      <c r="U92" s="166"/>
      <c r="V92" s="166"/>
    </row>
    <row r="93" spans="17:22" ht="12">
      <c r="Q93" s="166"/>
      <c r="R93" s="166"/>
      <c r="S93" s="166"/>
      <c r="T93" s="166"/>
      <c r="U93" s="166"/>
      <c r="V93" s="166"/>
    </row>
    <row r="94" spans="17:22" ht="12">
      <c r="Q94" s="166"/>
      <c r="R94" s="166"/>
      <c r="S94" s="166"/>
      <c r="T94" s="166"/>
      <c r="U94" s="166"/>
      <c r="V94" s="166"/>
    </row>
    <row r="95" spans="17:22" ht="12">
      <c r="Q95" s="166"/>
      <c r="R95" s="166"/>
      <c r="S95" s="166"/>
      <c r="T95" s="166"/>
      <c r="U95" s="166"/>
      <c r="V95" s="166"/>
    </row>
    <row r="96" spans="17:22" ht="12">
      <c r="Q96" s="166"/>
      <c r="R96" s="166"/>
      <c r="S96" s="166"/>
      <c r="T96" s="166"/>
      <c r="U96" s="166"/>
      <c r="V96" s="166"/>
    </row>
    <row r="97" spans="17:22" ht="12">
      <c r="Q97" s="166"/>
      <c r="R97" s="166"/>
      <c r="S97" s="166"/>
      <c r="T97" s="166"/>
      <c r="U97" s="166"/>
      <c r="V97" s="166"/>
    </row>
    <row r="98" spans="17:22" ht="12">
      <c r="Q98" s="166"/>
      <c r="R98" s="166"/>
      <c r="S98" s="166"/>
      <c r="T98" s="166"/>
      <c r="U98" s="166"/>
      <c r="V98" s="166"/>
    </row>
    <row r="99" spans="17:22" ht="12">
      <c r="Q99" s="166"/>
      <c r="R99" s="166"/>
      <c r="S99" s="166"/>
      <c r="T99" s="166"/>
      <c r="U99" s="166"/>
      <c r="V99" s="166"/>
    </row>
    <row r="100" spans="17:22" ht="12">
      <c r="Q100" s="166"/>
      <c r="R100" s="166"/>
      <c r="S100" s="166"/>
      <c r="T100" s="166"/>
      <c r="U100" s="166"/>
      <c r="V100" s="166"/>
    </row>
    <row r="101" spans="17:22" ht="12">
      <c r="Q101" s="166"/>
      <c r="R101" s="166"/>
      <c r="S101" s="166"/>
      <c r="T101" s="166"/>
      <c r="U101" s="166"/>
      <c r="V101" s="166"/>
    </row>
    <row r="102" spans="17:22" ht="12">
      <c r="Q102" s="166"/>
      <c r="R102" s="166"/>
      <c r="S102" s="166"/>
      <c r="T102" s="166"/>
      <c r="U102" s="166"/>
      <c r="V102" s="166"/>
    </row>
    <row r="103" spans="17:22" ht="12">
      <c r="Q103" s="166"/>
      <c r="R103" s="166"/>
      <c r="S103" s="166"/>
      <c r="T103" s="166"/>
      <c r="U103" s="166"/>
      <c r="V103" s="166"/>
    </row>
    <row r="104" spans="17:22" ht="12">
      <c r="Q104" s="166"/>
      <c r="R104" s="166"/>
      <c r="S104" s="166"/>
      <c r="T104" s="166"/>
      <c r="U104" s="166"/>
      <c r="V104" s="166"/>
    </row>
    <row r="105" spans="17:22" ht="12">
      <c r="Q105" s="166"/>
      <c r="R105" s="166"/>
      <c r="S105" s="166"/>
      <c r="T105" s="166"/>
      <c r="U105" s="166"/>
      <c r="V105" s="166"/>
    </row>
    <row r="106" spans="17:22" ht="12">
      <c r="Q106" s="166"/>
      <c r="R106" s="166"/>
      <c r="S106" s="166"/>
      <c r="T106" s="166"/>
      <c r="U106" s="166"/>
      <c r="V106" s="166"/>
    </row>
    <row r="107" spans="17:22" ht="12">
      <c r="Q107" s="166"/>
      <c r="R107" s="166"/>
      <c r="S107" s="166"/>
      <c r="T107" s="166"/>
      <c r="U107" s="166"/>
      <c r="V107" s="166"/>
    </row>
    <row r="108" spans="17:22" ht="12">
      <c r="Q108" s="166"/>
      <c r="R108" s="166"/>
      <c r="S108" s="166"/>
      <c r="T108" s="166"/>
      <c r="U108" s="166"/>
      <c r="V108" s="166"/>
    </row>
    <row r="109" spans="17:22" ht="12">
      <c r="Q109" s="166"/>
      <c r="R109" s="166"/>
      <c r="S109" s="166"/>
      <c r="T109" s="166"/>
      <c r="U109" s="166"/>
      <c r="V109" s="166"/>
    </row>
    <row r="110" spans="17:22" ht="12">
      <c r="Q110" s="166"/>
      <c r="R110" s="166"/>
      <c r="S110" s="166"/>
      <c r="T110" s="166"/>
      <c r="U110" s="166"/>
      <c r="V110" s="166"/>
    </row>
    <row r="111" spans="17:22" ht="12">
      <c r="Q111" s="166"/>
      <c r="R111" s="166"/>
      <c r="S111" s="166"/>
      <c r="T111" s="166"/>
      <c r="U111" s="166"/>
      <c r="V111" s="166"/>
    </row>
    <row r="112" spans="17:22" ht="12">
      <c r="Q112" s="166"/>
      <c r="R112" s="166"/>
      <c r="S112" s="166"/>
      <c r="T112" s="166"/>
      <c r="U112" s="166"/>
      <c r="V112" s="166"/>
    </row>
    <row r="113" spans="17:22" ht="12">
      <c r="Q113" s="166"/>
      <c r="R113" s="166"/>
      <c r="S113" s="166"/>
      <c r="T113" s="166"/>
      <c r="U113" s="166"/>
      <c r="V113" s="166"/>
    </row>
    <row r="114" spans="17:22" ht="12">
      <c r="Q114" s="166"/>
      <c r="R114" s="166"/>
      <c r="S114" s="166"/>
      <c r="T114" s="166"/>
      <c r="U114" s="166"/>
      <c r="V114" s="166"/>
    </row>
    <row r="115" spans="17:22" ht="12">
      <c r="Q115" s="166"/>
      <c r="R115" s="166"/>
      <c r="S115" s="166"/>
      <c r="T115" s="166"/>
      <c r="U115" s="166"/>
      <c r="V115" s="166"/>
    </row>
    <row r="116" spans="17:22" ht="12">
      <c r="Q116" s="166"/>
      <c r="R116" s="166"/>
      <c r="S116" s="166"/>
      <c r="T116" s="166"/>
      <c r="U116" s="166"/>
      <c r="V116" s="166"/>
    </row>
    <row r="117" spans="17:22" ht="12">
      <c r="Q117" s="166"/>
      <c r="R117" s="166"/>
      <c r="S117" s="166"/>
      <c r="T117" s="166"/>
      <c r="U117" s="166"/>
      <c r="V117" s="166"/>
    </row>
    <row r="118" spans="17:22" ht="12">
      <c r="Q118" s="166"/>
      <c r="R118" s="166"/>
      <c r="S118" s="166"/>
      <c r="T118" s="166"/>
      <c r="U118" s="166"/>
      <c r="V118" s="166"/>
    </row>
    <row r="119" spans="17:22" ht="12">
      <c r="Q119" s="166"/>
      <c r="R119" s="166"/>
      <c r="S119" s="166"/>
      <c r="T119" s="166"/>
      <c r="U119" s="166"/>
      <c r="V119" s="166"/>
    </row>
    <row r="120" spans="17:22" ht="12">
      <c r="Q120" s="166"/>
      <c r="R120" s="166"/>
      <c r="S120" s="166"/>
      <c r="T120" s="166"/>
      <c r="U120" s="166"/>
      <c r="V120" s="166"/>
    </row>
    <row r="121" spans="17:22" ht="12">
      <c r="Q121" s="166"/>
      <c r="R121" s="166"/>
      <c r="S121" s="166"/>
      <c r="T121" s="166"/>
      <c r="U121" s="166"/>
      <c r="V121" s="166"/>
    </row>
    <row r="122" spans="17:22" ht="12">
      <c r="Q122" s="166"/>
      <c r="R122" s="166"/>
      <c r="S122" s="166"/>
      <c r="T122" s="166"/>
      <c r="U122" s="166"/>
      <c r="V122" s="166"/>
    </row>
    <row r="123" spans="17:22" ht="12">
      <c r="Q123" s="166"/>
      <c r="R123" s="166"/>
      <c r="S123" s="166"/>
      <c r="T123" s="166"/>
      <c r="U123" s="166"/>
      <c r="V123" s="166"/>
    </row>
    <row r="124" spans="17:22" ht="12">
      <c r="Q124" s="166"/>
      <c r="R124" s="166"/>
      <c r="S124" s="166"/>
      <c r="T124" s="166"/>
      <c r="U124" s="166"/>
      <c r="V124" s="166"/>
    </row>
    <row r="125" spans="17:22" ht="12">
      <c r="Q125" s="166"/>
      <c r="R125" s="166"/>
      <c r="S125" s="166"/>
      <c r="T125" s="166"/>
      <c r="U125" s="166"/>
      <c r="V125" s="166"/>
    </row>
    <row r="126" spans="17:22" ht="12">
      <c r="Q126" s="166"/>
      <c r="R126" s="166"/>
      <c r="S126" s="166"/>
      <c r="T126" s="166"/>
      <c r="U126" s="166"/>
      <c r="V126" s="166"/>
    </row>
    <row r="127" spans="17:22" ht="12">
      <c r="Q127" s="166"/>
      <c r="R127" s="166"/>
      <c r="S127" s="166"/>
      <c r="T127" s="166"/>
      <c r="U127" s="166"/>
      <c r="V127" s="166"/>
    </row>
    <row r="128" spans="17:22" ht="12">
      <c r="Q128" s="166"/>
      <c r="R128" s="166"/>
      <c r="S128" s="166"/>
      <c r="T128" s="166"/>
      <c r="U128" s="166"/>
      <c r="V128" s="166"/>
    </row>
    <row r="129" spans="17:22" ht="12">
      <c r="Q129" s="166"/>
      <c r="R129" s="166"/>
      <c r="S129" s="166"/>
      <c r="T129" s="166"/>
      <c r="U129" s="166"/>
      <c r="V129" s="166"/>
    </row>
    <row r="130" spans="17:22" ht="12">
      <c r="Q130" s="166"/>
      <c r="R130" s="166"/>
      <c r="S130" s="166"/>
      <c r="T130" s="166"/>
      <c r="U130" s="166"/>
      <c r="V130" s="166"/>
    </row>
    <row r="131" spans="17:22" ht="12">
      <c r="Q131" s="166"/>
      <c r="R131" s="166"/>
      <c r="S131" s="166"/>
      <c r="T131" s="166"/>
      <c r="U131" s="166"/>
      <c r="V131" s="166"/>
    </row>
    <row r="132" spans="17:22" ht="12">
      <c r="Q132" s="166"/>
      <c r="R132" s="166"/>
      <c r="S132" s="166"/>
      <c r="T132" s="166"/>
      <c r="U132" s="166"/>
      <c r="V132" s="166"/>
    </row>
    <row r="133" spans="17:22" ht="12">
      <c r="Q133" s="166"/>
      <c r="R133" s="166"/>
      <c r="S133" s="166"/>
      <c r="T133" s="166"/>
      <c r="U133" s="166"/>
      <c r="V133" s="166"/>
    </row>
    <row r="134" spans="17:22" ht="12">
      <c r="Q134" s="166"/>
      <c r="R134" s="166"/>
      <c r="S134" s="166"/>
      <c r="T134" s="166"/>
      <c r="U134" s="166"/>
      <c r="V134" s="166"/>
    </row>
    <row r="135" spans="17:22" ht="12">
      <c r="Q135" s="166"/>
      <c r="R135" s="166"/>
      <c r="S135" s="166"/>
      <c r="T135" s="166"/>
      <c r="U135" s="166"/>
      <c r="V135" s="166"/>
    </row>
    <row r="136" spans="17:22" ht="12">
      <c r="Q136" s="166"/>
      <c r="R136" s="166"/>
      <c r="S136" s="166"/>
      <c r="T136" s="166"/>
      <c r="U136" s="166"/>
      <c r="V136" s="166"/>
    </row>
    <row r="137" spans="17:22" ht="12">
      <c r="Q137" s="166"/>
      <c r="R137" s="166"/>
      <c r="S137" s="166"/>
      <c r="T137" s="166"/>
      <c r="U137" s="166"/>
      <c r="V137" s="166"/>
    </row>
    <row r="138" spans="17:22" ht="12">
      <c r="Q138" s="166"/>
      <c r="R138" s="166"/>
      <c r="S138" s="166"/>
      <c r="T138" s="166"/>
      <c r="U138" s="166"/>
      <c r="V138" s="166"/>
    </row>
    <row r="139" spans="17:22" ht="12">
      <c r="Q139" s="166"/>
      <c r="R139" s="166"/>
      <c r="S139" s="166"/>
      <c r="T139" s="166"/>
      <c r="U139" s="166"/>
      <c r="V139" s="166"/>
    </row>
    <row r="140" spans="17:22" ht="12">
      <c r="Q140" s="166"/>
      <c r="R140" s="166"/>
      <c r="S140" s="166"/>
      <c r="T140" s="166"/>
      <c r="U140" s="166"/>
      <c r="V140" s="166"/>
    </row>
    <row r="141" spans="17:22" ht="12">
      <c r="Q141" s="166"/>
      <c r="R141" s="166"/>
      <c r="S141" s="166"/>
      <c r="T141" s="166"/>
      <c r="U141" s="166"/>
      <c r="V141" s="166"/>
    </row>
    <row r="142" spans="17:22" ht="12">
      <c r="Q142" s="166"/>
      <c r="R142" s="166"/>
      <c r="S142" s="166"/>
      <c r="T142" s="166"/>
      <c r="U142" s="166"/>
      <c r="V142" s="166"/>
    </row>
    <row r="143" spans="17:22" ht="12">
      <c r="Q143" s="166"/>
      <c r="R143" s="166"/>
      <c r="S143" s="166"/>
      <c r="T143" s="166"/>
      <c r="U143" s="166"/>
      <c r="V143" s="166"/>
    </row>
    <row r="144" spans="17:22" ht="12">
      <c r="Q144" s="166"/>
      <c r="R144" s="166"/>
      <c r="S144" s="166"/>
      <c r="T144" s="166"/>
      <c r="U144" s="166"/>
      <c r="V144" s="166"/>
    </row>
    <row r="145" spans="17:22" ht="12">
      <c r="Q145" s="166"/>
      <c r="R145" s="166"/>
      <c r="S145" s="166"/>
      <c r="T145" s="166"/>
      <c r="U145" s="166"/>
      <c r="V145" s="166"/>
    </row>
    <row r="146" spans="17:22" ht="12">
      <c r="Q146" s="166"/>
      <c r="R146" s="166"/>
      <c r="S146" s="166"/>
      <c r="T146" s="166"/>
      <c r="U146" s="166"/>
      <c r="V146" s="166"/>
    </row>
    <row r="147" spans="17:22" ht="12">
      <c r="Q147" s="166"/>
      <c r="R147" s="166"/>
      <c r="S147" s="166"/>
      <c r="T147" s="166"/>
      <c r="U147" s="166"/>
      <c r="V147" s="166"/>
    </row>
    <row r="148" spans="17:22" ht="12">
      <c r="Q148" s="166"/>
      <c r="R148" s="166"/>
      <c r="S148" s="166"/>
      <c r="T148" s="166"/>
      <c r="U148" s="166"/>
      <c r="V148" s="166"/>
    </row>
    <row r="149" spans="17:22" ht="12">
      <c r="Q149" s="166"/>
      <c r="R149" s="166"/>
      <c r="S149" s="166"/>
      <c r="T149" s="166"/>
      <c r="U149" s="166"/>
      <c r="V149" s="166"/>
    </row>
    <row r="150" spans="17:22" ht="12">
      <c r="Q150" s="166"/>
      <c r="R150" s="166"/>
      <c r="S150" s="166"/>
      <c r="T150" s="166"/>
      <c r="U150" s="166"/>
      <c r="V150" s="166"/>
    </row>
    <row r="151" spans="17:22" ht="12">
      <c r="Q151" s="166"/>
      <c r="R151" s="166"/>
      <c r="S151" s="166"/>
      <c r="T151" s="166"/>
      <c r="U151" s="166"/>
      <c r="V151" s="166"/>
    </row>
    <row r="152" spans="17:22" ht="12">
      <c r="Q152" s="166"/>
      <c r="R152" s="166"/>
      <c r="S152" s="166"/>
      <c r="T152" s="166"/>
      <c r="U152" s="166"/>
      <c r="V152" s="166"/>
    </row>
    <row r="153" spans="17:22" ht="12">
      <c r="Q153" s="166"/>
      <c r="R153" s="166"/>
      <c r="S153" s="166"/>
      <c r="T153" s="166"/>
      <c r="U153" s="166"/>
      <c r="V153" s="166"/>
    </row>
    <row r="154" spans="17:22" ht="12">
      <c r="Q154" s="166"/>
      <c r="R154" s="166"/>
      <c r="S154" s="166"/>
      <c r="T154" s="166"/>
      <c r="U154" s="166"/>
      <c r="V154" s="166"/>
    </row>
    <row r="155" spans="17:22" ht="12">
      <c r="Q155" s="166"/>
      <c r="R155" s="166"/>
      <c r="S155" s="166"/>
      <c r="T155" s="166"/>
      <c r="U155" s="166"/>
      <c r="V155" s="166"/>
    </row>
    <row r="156" spans="17:22" ht="12">
      <c r="Q156" s="166"/>
      <c r="R156" s="166"/>
      <c r="S156" s="166"/>
      <c r="T156" s="166"/>
      <c r="U156" s="166"/>
      <c r="V156" s="166"/>
    </row>
    <row r="157" spans="17:22" ht="12">
      <c r="Q157" s="166"/>
      <c r="R157" s="166"/>
      <c r="S157" s="166"/>
      <c r="T157" s="166"/>
      <c r="U157" s="166"/>
      <c r="V157" s="166"/>
    </row>
    <row r="158" spans="17:22" ht="12">
      <c r="Q158" s="166"/>
      <c r="R158" s="166"/>
      <c r="S158" s="166"/>
      <c r="T158" s="166"/>
      <c r="U158" s="166"/>
      <c r="V158" s="166"/>
    </row>
    <row r="159" spans="17:22" ht="12">
      <c r="Q159" s="166"/>
      <c r="R159" s="166"/>
      <c r="S159" s="166"/>
      <c r="T159" s="166"/>
      <c r="U159" s="166"/>
      <c r="V159" s="166"/>
    </row>
    <row r="160" spans="17:22" ht="12">
      <c r="Q160" s="166"/>
      <c r="R160" s="166"/>
      <c r="S160" s="166"/>
      <c r="T160" s="166"/>
      <c r="U160" s="166"/>
      <c r="V160" s="166"/>
    </row>
    <row r="161" spans="17:22" ht="12">
      <c r="Q161" s="166"/>
      <c r="R161" s="166"/>
      <c r="S161" s="166"/>
      <c r="T161" s="166"/>
      <c r="U161" s="166"/>
      <c r="V161" s="166"/>
    </row>
    <row r="162" spans="17:22" ht="12">
      <c r="Q162" s="166"/>
      <c r="R162" s="166"/>
      <c r="S162" s="166"/>
      <c r="T162" s="166"/>
      <c r="U162" s="166"/>
      <c r="V162" s="166"/>
    </row>
    <row r="163" spans="17:22" ht="12">
      <c r="Q163" s="166"/>
      <c r="R163" s="166"/>
      <c r="S163" s="166"/>
      <c r="T163" s="166"/>
      <c r="U163" s="166"/>
      <c r="V163" s="166"/>
    </row>
    <row r="164" spans="17:22" ht="12">
      <c r="Q164" s="166"/>
      <c r="R164" s="166"/>
      <c r="S164" s="166"/>
      <c r="T164" s="166"/>
      <c r="U164" s="166"/>
      <c r="V164" s="166"/>
    </row>
    <row r="165" spans="17:22" ht="12">
      <c r="Q165" s="166"/>
      <c r="R165" s="166"/>
      <c r="S165" s="166"/>
      <c r="T165" s="166"/>
      <c r="U165" s="166"/>
      <c r="V165" s="166"/>
    </row>
    <row r="166" spans="17:22" ht="12">
      <c r="Q166" s="166"/>
      <c r="R166" s="166"/>
      <c r="S166" s="166"/>
      <c r="T166" s="166"/>
      <c r="U166" s="166"/>
      <c r="V166" s="166"/>
    </row>
    <row r="167" spans="17:22" ht="12">
      <c r="Q167" s="166"/>
      <c r="R167" s="166"/>
      <c r="S167" s="166"/>
      <c r="T167" s="166"/>
      <c r="U167" s="166"/>
      <c r="V167" s="166"/>
    </row>
    <row r="168" spans="17:22" ht="12">
      <c r="Q168" s="166"/>
      <c r="R168" s="166"/>
      <c r="S168" s="166"/>
      <c r="T168" s="166"/>
      <c r="U168" s="166"/>
      <c r="V168" s="166"/>
    </row>
    <row r="169" spans="17:22" ht="12">
      <c r="Q169" s="166"/>
      <c r="R169" s="166"/>
      <c r="S169" s="166"/>
      <c r="T169" s="166"/>
      <c r="U169" s="166"/>
      <c r="V169" s="166"/>
    </row>
    <row r="170" spans="17:22" ht="12">
      <c r="Q170" s="166"/>
      <c r="R170" s="166"/>
      <c r="S170" s="166"/>
      <c r="T170" s="166"/>
      <c r="U170" s="166"/>
      <c r="V170" s="166"/>
    </row>
    <row r="171" spans="17:22" ht="12">
      <c r="Q171" s="166"/>
      <c r="R171" s="166"/>
      <c r="S171" s="166"/>
      <c r="T171" s="166"/>
      <c r="U171" s="166"/>
      <c r="V171" s="166"/>
    </row>
    <row r="172" spans="17:22" ht="12">
      <c r="Q172" s="166"/>
      <c r="R172" s="166"/>
      <c r="S172" s="166"/>
      <c r="T172" s="166"/>
      <c r="U172" s="166"/>
      <c r="V172" s="166"/>
    </row>
    <row r="173" spans="17:22" ht="12">
      <c r="Q173" s="166"/>
      <c r="R173" s="166"/>
      <c r="S173" s="166"/>
      <c r="T173" s="166"/>
      <c r="U173" s="166"/>
      <c r="V173" s="166"/>
    </row>
    <row r="174" spans="17:22" ht="12">
      <c r="Q174" s="166"/>
      <c r="R174" s="166"/>
      <c r="S174" s="166"/>
      <c r="T174" s="166"/>
      <c r="U174" s="166"/>
      <c r="V174" s="166"/>
    </row>
    <row r="175" spans="17:22" ht="12">
      <c r="Q175" s="166"/>
      <c r="R175" s="166"/>
      <c r="S175" s="166"/>
      <c r="T175" s="166"/>
      <c r="U175" s="166"/>
      <c r="V175" s="166"/>
    </row>
    <row r="176" spans="17:22" ht="12">
      <c r="Q176" s="166"/>
      <c r="R176" s="166"/>
      <c r="S176" s="166"/>
      <c r="T176" s="166"/>
      <c r="U176" s="166"/>
      <c r="V176" s="166"/>
    </row>
    <row r="177" spans="17:22" ht="12">
      <c r="Q177" s="166"/>
      <c r="R177" s="166"/>
      <c r="S177" s="166"/>
      <c r="T177" s="166"/>
      <c r="U177" s="166"/>
      <c r="V177" s="166"/>
    </row>
    <row r="178" spans="17:22" ht="12">
      <c r="Q178" s="166"/>
      <c r="R178" s="166"/>
      <c r="S178" s="166"/>
      <c r="T178" s="166"/>
      <c r="U178" s="166"/>
      <c r="V178" s="166"/>
    </row>
    <row r="179" spans="17:22" ht="12">
      <c r="Q179" s="166"/>
      <c r="R179" s="166"/>
      <c r="S179" s="166"/>
      <c r="T179" s="166"/>
      <c r="U179" s="166"/>
      <c r="V179" s="166"/>
    </row>
    <row r="180" spans="17:22" ht="12">
      <c r="Q180" s="166"/>
      <c r="R180" s="166"/>
      <c r="S180" s="166"/>
      <c r="T180" s="166"/>
      <c r="U180" s="166"/>
      <c r="V180" s="166"/>
    </row>
    <row r="181" spans="17:22" ht="12">
      <c r="Q181" s="166"/>
      <c r="R181" s="166"/>
      <c r="S181" s="166"/>
      <c r="T181" s="166"/>
      <c r="U181" s="166"/>
      <c r="V181" s="166"/>
    </row>
    <row r="182" spans="17:22" ht="12">
      <c r="Q182" s="166"/>
      <c r="R182" s="166"/>
      <c r="S182" s="166"/>
      <c r="T182" s="166"/>
      <c r="U182" s="166"/>
      <c r="V182" s="166"/>
    </row>
    <row r="183" spans="17:22" ht="12">
      <c r="Q183" s="166"/>
      <c r="R183" s="166"/>
      <c r="S183" s="166"/>
      <c r="T183" s="166"/>
      <c r="U183" s="166"/>
      <c r="V183" s="166"/>
    </row>
    <row r="184" spans="17:22" ht="12">
      <c r="Q184" s="166"/>
      <c r="R184" s="166"/>
      <c r="S184" s="166"/>
      <c r="T184" s="166"/>
      <c r="U184" s="166"/>
      <c r="V184" s="166"/>
    </row>
    <row r="185" spans="17:22" ht="12">
      <c r="Q185" s="166"/>
      <c r="R185" s="166"/>
      <c r="S185" s="166"/>
      <c r="T185" s="166"/>
      <c r="U185" s="166"/>
      <c r="V185" s="166"/>
    </row>
    <row r="186" spans="17:22" ht="12">
      <c r="Q186" s="166"/>
      <c r="R186" s="166"/>
      <c r="S186" s="166"/>
      <c r="T186" s="166"/>
      <c r="U186" s="166"/>
      <c r="V186" s="166"/>
    </row>
    <row r="187" spans="17:22" ht="12">
      <c r="Q187" s="166"/>
      <c r="R187" s="166"/>
      <c r="S187" s="166"/>
      <c r="T187" s="166"/>
      <c r="U187" s="166"/>
      <c r="V187" s="166"/>
    </row>
    <row r="188" spans="17:22" ht="12">
      <c r="Q188" s="166"/>
      <c r="R188" s="166"/>
      <c r="S188" s="166"/>
      <c r="T188" s="166"/>
      <c r="U188" s="166"/>
      <c r="V188" s="166"/>
    </row>
    <row r="189" spans="17:22" ht="12">
      <c r="Q189" s="166"/>
      <c r="R189" s="166"/>
      <c r="S189" s="166"/>
      <c r="T189" s="166"/>
      <c r="U189" s="166"/>
      <c r="V189" s="166"/>
    </row>
    <row r="190" spans="17:22" ht="12">
      <c r="Q190" s="166"/>
      <c r="R190" s="166"/>
      <c r="S190" s="166"/>
      <c r="T190" s="166"/>
      <c r="U190" s="166"/>
      <c r="V190" s="166"/>
    </row>
    <row r="191" spans="17:22" ht="12">
      <c r="Q191" s="166"/>
      <c r="R191" s="166"/>
      <c r="S191" s="166"/>
      <c r="T191" s="166"/>
      <c r="U191" s="166"/>
      <c r="V191" s="166"/>
    </row>
    <row r="192" spans="17:22" ht="12">
      <c r="Q192" s="166"/>
      <c r="R192" s="166"/>
      <c r="S192" s="166"/>
      <c r="T192" s="166"/>
      <c r="U192" s="166"/>
      <c r="V192" s="166"/>
    </row>
    <row r="193" spans="17:22" ht="12">
      <c r="Q193" s="166"/>
      <c r="R193" s="166"/>
      <c r="S193" s="166"/>
      <c r="T193" s="166"/>
      <c r="U193" s="166"/>
      <c r="V193" s="166"/>
    </row>
    <row r="194" spans="17:22" ht="12">
      <c r="Q194" s="166"/>
      <c r="R194" s="166"/>
      <c r="S194" s="166"/>
      <c r="T194" s="166"/>
      <c r="U194" s="166"/>
      <c r="V194" s="166"/>
    </row>
    <row r="195" spans="17:22" ht="12">
      <c r="Q195" s="166"/>
      <c r="R195" s="166"/>
      <c r="S195" s="166"/>
      <c r="T195" s="166"/>
      <c r="U195" s="166"/>
      <c r="V195" s="166"/>
    </row>
    <row r="196" spans="17:22" ht="12">
      <c r="Q196" s="166"/>
      <c r="R196" s="166"/>
      <c r="S196" s="166"/>
      <c r="T196" s="166"/>
      <c r="U196" s="166"/>
      <c r="V196" s="166"/>
    </row>
    <row r="197" spans="17:22" ht="12">
      <c r="Q197" s="166"/>
      <c r="R197" s="166"/>
      <c r="S197" s="166"/>
      <c r="T197" s="166"/>
      <c r="U197" s="166"/>
      <c r="V197" s="166"/>
    </row>
    <row r="198" spans="17:22" ht="12">
      <c r="Q198" s="166"/>
      <c r="R198" s="166"/>
      <c r="S198" s="166"/>
      <c r="T198" s="166"/>
      <c r="U198" s="166"/>
      <c r="V198" s="166"/>
    </row>
    <row r="199" spans="17:22" ht="12">
      <c r="Q199" s="166"/>
      <c r="R199" s="166"/>
      <c r="S199" s="166"/>
      <c r="T199" s="166"/>
      <c r="U199" s="166"/>
      <c r="V199" s="166"/>
    </row>
    <row r="200" spans="17:22" ht="12">
      <c r="Q200" s="166"/>
      <c r="R200" s="166"/>
      <c r="S200" s="166"/>
      <c r="T200" s="166"/>
      <c r="U200" s="166"/>
      <c r="V200" s="166"/>
    </row>
    <row r="201" spans="17:22" ht="12">
      <c r="Q201" s="166"/>
      <c r="R201" s="166"/>
      <c r="S201" s="166"/>
      <c r="T201" s="166"/>
      <c r="U201" s="166"/>
      <c r="V201" s="166"/>
    </row>
    <row r="202" spans="17:22" ht="12">
      <c r="Q202" s="166"/>
      <c r="R202" s="166"/>
      <c r="S202" s="166"/>
      <c r="T202" s="166"/>
      <c r="U202" s="166"/>
      <c r="V202" s="166"/>
    </row>
    <row r="203" spans="17:22" ht="12">
      <c r="Q203" s="166"/>
      <c r="R203" s="166"/>
      <c r="S203" s="166"/>
      <c r="T203" s="166"/>
      <c r="U203" s="166"/>
      <c r="V203" s="166"/>
    </row>
    <row r="204" spans="17:22" ht="12">
      <c r="Q204" s="166"/>
      <c r="R204" s="166"/>
      <c r="S204" s="166"/>
      <c r="T204" s="166"/>
      <c r="U204" s="166"/>
      <c r="V204" s="166"/>
    </row>
    <row r="205" spans="17:22" ht="12">
      <c r="Q205" s="166"/>
      <c r="R205" s="166"/>
      <c r="S205" s="166"/>
      <c r="T205" s="166"/>
      <c r="U205" s="166"/>
      <c r="V205" s="166"/>
    </row>
    <row r="206" spans="17:22" ht="12">
      <c r="Q206" s="166"/>
      <c r="R206" s="166"/>
      <c r="S206" s="166"/>
      <c r="T206" s="166"/>
      <c r="U206" s="166"/>
      <c r="V206" s="166"/>
    </row>
    <row r="207" spans="17:22" ht="12">
      <c r="Q207" s="166"/>
      <c r="R207" s="166"/>
      <c r="S207" s="166"/>
      <c r="T207" s="166"/>
      <c r="U207" s="166"/>
      <c r="V207" s="166"/>
    </row>
    <row r="208" spans="17:22" ht="12">
      <c r="Q208" s="166"/>
      <c r="R208" s="166"/>
      <c r="S208" s="166"/>
      <c r="T208" s="166"/>
      <c r="U208" s="166"/>
      <c r="V208" s="166"/>
    </row>
    <row r="209" spans="17:22" ht="12">
      <c r="Q209" s="166"/>
      <c r="R209" s="166"/>
      <c r="S209" s="166"/>
      <c r="T209" s="166"/>
      <c r="U209" s="166"/>
      <c r="V209" s="166"/>
    </row>
    <row r="210" spans="17:22" ht="12">
      <c r="Q210" s="166"/>
      <c r="R210" s="166"/>
      <c r="S210" s="166"/>
      <c r="T210" s="166"/>
      <c r="U210" s="166"/>
      <c r="V210" s="166"/>
    </row>
    <row r="211" spans="17:22" ht="12">
      <c r="Q211" s="166"/>
      <c r="R211" s="166"/>
      <c r="S211" s="166"/>
      <c r="T211" s="166"/>
      <c r="U211" s="166"/>
      <c r="V211" s="166"/>
    </row>
    <row r="212" spans="17:22" ht="12">
      <c r="Q212" s="166"/>
      <c r="R212" s="166"/>
      <c r="S212" s="166"/>
      <c r="T212" s="166"/>
      <c r="U212" s="166"/>
      <c r="V212" s="166"/>
    </row>
    <row r="213" spans="17:22" ht="12">
      <c r="Q213" s="166"/>
      <c r="R213" s="166"/>
      <c r="S213" s="166"/>
      <c r="T213" s="166"/>
      <c r="U213" s="166"/>
      <c r="V213" s="166"/>
    </row>
    <row r="214" spans="17:22" ht="12">
      <c r="Q214" s="166"/>
      <c r="R214" s="166"/>
      <c r="S214" s="166"/>
      <c r="T214" s="166"/>
      <c r="U214" s="166"/>
      <c r="V214" s="166"/>
    </row>
    <row r="215" spans="17:22" ht="12">
      <c r="Q215" s="166"/>
      <c r="R215" s="166"/>
      <c r="S215" s="166"/>
      <c r="T215" s="166"/>
      <c r="U215" s="166"/>
      <c r="V215" s="166"/>
    </row>
    <row r="216" spans="17:22" ht="12">
      <c r="Q216" s="166"/>
      <c r="R216" s="166"/>
      <c r="S216" s="166"/>
      <c r="T216" s="166"/>
      <c r="U216" s="166"/>
      <c r="V216" s="166"/>
    </row>
    <row r="217" spans="17:22" ht="12">
      <c r="Q217" s="166"/>
      <c r="R217" s="166"/>
      <c r="S217" s="166"/>
      <c r="T217" s="166"/>
      <c r="U217" s="166"/>
      <c r="V217" s="166"/>
    </row>
    <row r="218" spans="17:22" ht="12">
      <c r="Q218" s="166"/>
      <c r="R218" s="166"/>
      <c r="S218" s="166"/>
      <c r="T218" s="166"/>
      <c r="U218" s="166"/>
      <c r="V218" s="166"/>
    </row>
    <row r="219" spans="17:22" ht="12">
      <c r="Q219" s="166"/>
      <c r="R219" s="166"/>
      <c r="S219" s="166"/>
      <c r="T219" s="166"/>
      <c r="U219" s="166"/>
      <c r="V219" s="166"/>
    </row>
    <row r="220" spans="17:22" ht="12">
      <c r="Q220" s="166"/>
      <c r="R220" s="166"/>
      <c r="S220" s="166"/>
      <c r="T220" s="166"/>
      <c r="U220" s="166"/>
      <c r="V220" s="166"/>
    </row>
    <row r="221" spans="17:22" ht="12">
      <c r="Q221" s="166"/>
      <c r="R221" s="166"/>
      <c r="S221" s="166"/>
      <c r="T221" s="166"/>
      <c r="U221" s="166"/>
      <c r="V221" s="166"/>
    </row>
    <row r="222" spans="17:22" ht="12">
      <c r="Q222" s="166"/>
      <c r="R222" s="166"/>
      <c r="S222" s="166"/>
      <c r="T222" s="166"/>
      <c r="U222" s="166"/>
      <c r="V222" s="166"/>
    </row>
    <row r="223" spans="17:22" ht="12">
      <c r="Q223" s="166"/>
      <c r="R223" s="166"/>
      <c r="S223" s="166"/>
      <c r="T223" s="166"/>
      <c r="U223" s="166"/>
      <c r="V223" s="166"/>
    </row>
    <row r="224" spans="17:22" ht="12">
      <c r="Q224" s="166"/>
      <c r="R224" s="166"/>
      <c r="S224" s="166"/>
      <c r="T224" s="166"/>
      <c r="U224" s="166"/>
      <c r="V224" s="166"/>
    </row>
    <row r="225" spans="17:22" ht="12">
      <c r="Q225" s="166"/>
      <c r="R225" s="166"/>
      <c r="S225" s="166"/>
      <c r="T225" s="166"/>
      <c r="U225" s="166"/>
      <c r="V225" s="166"/>
    </row>
    <row r="226" spans="17:22" ht="12">
      <c r="Q226" s="166"/>
      <c r="R226" s="166"/>
      <c r="S226" s="166"/>
      <c r="T226" s="166"/>
      <c r="U226" s="166"/>
      <c r="V226" s="166"/>
    </row>
    <row r="227" spans="17:22" ht="12">
      <c r="Q227" s="166"/>
      <c r="R227" s="166"/>
      <c r="S227" s="166"/>
      <c r="T227" s="166"/>
      <c r="U227" s="166"/>
      <c r="V227" s="166"/>
    </row>
    <row r="228" spans="17:22" ht="12">
      <c r="Q228" s="166"/>
      <c r="R228" s="166"/>
      <c r="S228" s="166"/>
      <c r="T228" s="166"/>
      <c r="U228" s="166"/>
      <c r="V228" s="166"/>
    </row>
    <row r="229" spans="17:22" ht="12">
      <c r="Q229" s="166"/>
      <c r="R229" s="166"/>
      <c r="S229" s="166"/>
      <c r="T229" s="166"/>
      <c r="U229" s="166"/>
      <c r="V229" s="166"/>
    </row>
    <row r="230" spans="17:22" ht="12">
      <c r="Q230" s="166"/>
      <c r="R230" s="166"/>
      <c r="S230" s="166"/>
      <c r="T230" s="166"/>
      <c r="U230" s="166"/>
      <c r="V230" s="166"/>
    </row>
    <row r="231" spans="17:22" ht="12">
      <c r="Q231" s="166"/>
      <c r="R231" s="166"/>
      <c r="S231" s="166"/>
      <c r="T231" s="166"/>
      <c r="U231" s="166"/>
      <c r="V231" s="166"/>
    </row>
    <row r="232" spans="17:22" ht="12">
      <c r="Q232" s="166"/>
      <c r="R232" s="166"/>
      <c r="S232" s="166"/>
      <c r="T232" s="166"/>
      <c r="U232" s="166"/>
      <c r="V232" s="166"/>
    </row>
    <row r="233" spans="17:22" ht="12">
      <c r="Q233" s="166"/>
      <c r="R233" s="166"/>
      <c r="S233" s="166"/>
      <c r="T233" s="166"/>
      <c r="U233" s="166"/>
      <c r="V233" s="166"/>
    </row>
    <row r="234" spans="17:22" ht="12">
      <c r="Q234" s="166"/>
      <c r="R234" s="166"/>
      <c r="S234" s="166"/>
      <c r="T234" s="166"/>
      <c r="U234" s="166"/>
      <c r="V234" s="166"/>
    </row>
    <row r="235" spans="17:22" ht="12">
      <c r="Q235" s="166"/>
      <c r="R235" s="166"/>
      <c r="S235" s="166"/>
      <c r="T235" s="166"/>
      <c r="U235" s="166"/>
      <c r="V235" s="166"/>
    </row>
    <row r="236" spans="17:22" ht="12">
      <c r="Q236" s="166"/>
      <c r="R236" s="166"/>
      <c r="S236" s="166"/>
      <c r="T236" s="166"/>
      <c r="U236" s="166"/>
      <c r="V236" s="166"/>
    </row>
    <row r="237" spans="17:22" ht="12">
      <c r="Q237" s="166"/>
      <c r="R237" s="166"/>
      <c r="S237" s="166"/>
      <c r="T237" s="166"/>
      <c r="U237" s="166"/>
      <c r="V237" s="166"/>
    </row>
    <row r="238" spans="17:22" ht="12">
      <c r="Q238" s="166"/>
      <c r="R238" s="166"/>
      <c r="S238" s="166"/>
      <c r="T238" s="166"/>
      <c r="U238" s="166"/>
      <c r="V238" s="166"/>
    </row>
    <row r="239" spans="17:22" ht="12">
      <c r="Q239" s="166"/>
      <c r="R239" s="166"/>
      <c r="S239" s="166"/>
      <c r="T239" s="166"/>
      <c r="U239" s="166"/>
      <c r="V239" s="166"/>
    </row>
    <row r="240" spans="17:22" ht="12">
      <c r="Q240" s="166"/>
      <c r="R240" s="166"/>
      <c r="S240" s="166"/>
      <c r="T240" s="166"/>
      <c r="U240" s="166"/>
      <c r="V240" s="166"/>
    </row>
    <row r="241" spans="17:22" ht="12">
      <c r="Q241" s="166"/>
      <c r="R241" s="166"/>
      <c r="S241" s="166"/>
      <c r="T241" s="166"/>
      <c r="U241" s="166"/>
      <c r="V241" s="166"/>
    </row>
    <row r="242" spans="17:22" ht="12">
      <c r="Q242" s="166"/>
      <c r="R242" s="166"/>
      <c r="S242" s="166"/>
      <c r="T242" s="166"/>
      <c r="U242" s="166"/>
      <c r="V242" s="166"/>
    </row>
    <row r="243" spans="17:22" ht="12">
      <c r="Q243" s="166"/>
      <c r="R243" s="166"/>
      <c r="S243" s="166"/>
      <c r="T243" s="166"/>
      <c r="U243" s="166"/>
      <c r="V243" s="166"/>
    </row>
    <row r="244" spans="17:22" ht="12">
      <c r="Q244" s="166"/>
      <c r="R244" s="166"/>
      <c r="S244" s="166"/>
      <c r="T244" s="166"/>
      <c r="U244" s="166"/>
      <c r="V244" s="166"/>
    </row>
    <row r="245" spans="17:22" ht="12">
      <c r="Q245" s="166"/>
      <c r="R245" s="166"/>
      <c r="S245" s="166"/>
      <c r="T245" s="166"/>
      <c r="U245" s="166"/>
      <c r="V245" s="166"/>
    </row>
    <row r="246" spans="17:22" ht="12">
      <c r="Q246" s="166"/>
      <c r="R246" s="166"/>
      <c r="S246" s="166"/>
      <c r="T246" s="166"/>
      <c r="U246" s="166"/>
      <c r="V246" s="166"/>
    </row>
    <row r="247" spans="17:22" ht="12">
      <c r="Q247" s="166"/>
      <c r="R247" s="166"/>
      <c r="S247" s="166"/>
      <c r="T247" s="166"/>
      <c r="U247" s="166"/>
      <c r="V247" s="166"/>
    </row>
    <row r="248" spans="17:22" ht="12">
      <c r="Q248" s="166"/>
      <c r="R248" s="166"/>
      <c r="S248" s="166"/>
      <c r="T248" s="166"/>
      <c r="U248" s="166"/>
      <c r="V248" s="166"/>
    </row>
    <row r="249" spans="17:22" ht="12">
      <c r="Q249" s="166"/>
      <c r="R249" s="166"/>
      <c r="S249" s="166"/>
      <c r="T249" s="166"/>
      <c r="U249" s="166"/>
      <c r="V249" s="166"/>
    </row>
    <row r="250" spans="17:22" ht="12">
      <c r="Q250" s="166"/>
      <c r="R250" s="166"/>
      <c r="S250" s="166"/>
      <c r="T250" s="166"/>
      <c r="U250" s="166"/>
      <c r="V250" s="166"/>
    </row>
    <row r="251" spans="17:22" ht="12">
      <c r="Q251" s="166"/>
      <c r="R251" s="166"/>
      <c r="S251" s="166"/>
      <c r="T251" s="166"/>
      <c r="U251" s="166"/>
      <c r="V251" s="166"/>
    </row>
    <row r="252" spans="17:22" ht="12">
      <c r="Q252" s="166"/>
      <c r="R252" s="166"/>
      <c r="S252" s="166"/>
      <c r="T252" s="166"/>
      <c r="U252" s="166"/>
      <c r="V252" s="166"/>
    </row>
    <row r="253" spans="17:22" ht="12">
      <c r="Q253" s="166"/>
      <c r="R253" s="166"/>
      <c r="S253" s="166"/>
      <c r="T253" s="166"/>
      <c r="U253" s="166"/>
      <c r="V253" s="166"/>
    </row>
    <row r="254" spans="17:22" ht="12">
      <c r="Q254" s="166"/>
      <c r="R254" s="166"/>
      <c r="S254" s="166"/>
      <c r="T254" s="166"/>
      <c r="U254" s="166"/>
      <c r="V254" s="166"/>
    </row>
    <row r="255" spans="17:22" ht="12">
      <c r="Q255" s="166"/>
      <c r="R255" s="166"/>
      <c r="S255" s="166"/>
      <c r="T255" s="166"/>
      <c r="U255" s="166"/>
      <c r="V255" s="166"/>
    </row>
    <row r="256" spans="17:22" ht="12">
      <c r="Q256" s="166"/>
      <c r="R256" s="166"/>
      <c r="S256" s="166"/>
      <c r="T256" s="166"/>
      <c r="U256" s="166"/>
      <c r="V256" s="166"/>
    </row>
    <row r="257" spans="17:22" ht="12">
      <c r="Q257" s="166"/>
      <c r="R257" s="166"/>
      <c r="S257" s="166"/>
      <c r="T257" s="166"/>
      <c r="U257" s="166"/>
      <c r="V257" s="166"/>
    </row>
    <row r="258" spans="17:22" ht="12">
      <c r="Q258" s="166"/>
      <c r="R258" s="166"/>
      <c r="S258" s="166"/>
      <c r="T258" s="166"/>
      <c r="U258" s="166"/>
      <c r="V258" s="166"/>
    </row>
    <row r="259" spans="17:22" ht="12">
      <c r="Q259" s="166"/>
      <c r="R259" s="166"/>
      <c r="S259" s="166"/>
      <c r="T259" s="166"/>
      <c r="U259" s="166"/>
      <c r="V259" s="166"/>
    </row>
    <row r="260" spans="17:22" ht="12">
      <c r="Q260" s="166"/>
      <c r="R260" s="166"/>
      <c r="S260" s="166"/>
      <c r="T260" s="166"/>
      <c r="U260" s="166"/>
      <c r="V260" s="166"/>
    </row>
    <row r="261" spans="17:22" ht="12">
      <c r="Q261" s="166"/>
      <c r="R261" s="166"/>
      <c r="S261" s="166"/>
      <c r="T261" s="166"/>
      <c r="U261" s="166"/>
      <c r="V261" s="166"/>
    </row>
    <row r="262" spans="17:22" ht="12">
      <c r="Q262" s="166"/>
      <c r="R262" s="166"/>
      <c r="S262" s="166"/>
      <c r="T262" s="166"/>
      <c r="U262" s="166"/>
      <c r="V262" s="166"/>
    </row>
    <row r="263" spans="17:22" ht="12">
      <c r="Q263" s="166"/>
      <c r="R263" s="166"/>
      <c r="S263" s="166"/>
      <c r="T263" s="166"/>
      <c r="U263" s="166"/>
      <c r="V263" s="166"/>
    </row>
    <row r="264" spans="17:22" ht="12">
      <c r="Q264" s="166"/>
      <c r="R264" s="166"/>
      <c r="S264" s="166"/>
      <c r="T264" s="166"/>
      <c r="U264" s="166"/>
      <c r="V264" s="166"/>
    </row>
    <row r="265" spans="17:22" ht="12">
      <c r="Q265" s="166"/>
      <c r="R265" s="166"/>
      <c r="S265" s="166"/>
      <c r="T265" s="166"/>
      <c r="U265" s="166"/>
      <c r="V265" s="166"/>
    </row>
    <row r="266" spans="17:22" ht="12">
      <c r="Q266" s="166"/>
      <c r="R266" s="166"/>
      <c r="S266" s="166"/>
      <c r="T266" s="166"/>
      <c r="U266" s="166"/>
      <c r="V266" s="166"/>
    </row>
    <row r="267" spans="17:22" ht="12">
      <c r="Q267" s="166"/>
      <c r="R267" s="166"/>
      <c r="S267" s="166"/>
      <c r="T267" s="166"/>
      <c r="U267" s="166"/>
      <c r="V267" s="166"/>
    </row>
    <row r="268" spans="17:22" ht="12">
      <c r="Q268" s="166"/>
      <c r="R268" s="166"/>
      <c r="S268" s="166"/>
      <c r="T268" s="166"/>
      <c r="U268" s="166"/>
      <c r="V268" s="166"/>
    </row>
    <row r="269" spans="17:22" ht="12">
      <c r="Q269" s="166"/>
      <c r="R269" s="166"/>
      <c r="S269" s="166"/>
      <c r="T269" s="166"/>
      <c r="U269" s="166"/>
      <c r="V269" s="166"/>
    </row>
    <row r="270" spans="17:22" ht="12">
      <c r="Q270" s="166"/>
      <c r="R270" s="166"/>
      <c r="S270" s="166"/>
      <c r="T270" s="166"/>
      <c r="U270" s="166"/>
      <c r="V270" s="166"/>
    </row>
    <row r="271" spans="17:22" ht="12">
      <c r="Q271" s="166"/>
      <c r="R271" s="166"/>
      <c r="S271" s="166"/>
      <c r="T271" s="166"/>
      <c r="U271" s="166"/>
      <c r="V271" s="166"/>
    </row>
    <row r="272" spans="17:22" ht="12">
      <c r="Q272" s="166"/>
      <c r="R272" s="166"/>
      <c r="S272" s="166"/>
      <c r="T272" s="166"/>
      <c r="U272" s="166"/>
      <c r="V272" s="166"/>
    </row>
    <row r="273" spans="17:22" ht="12">
      <c r="Q273" s="166"/>
      <c r="R273" s="166"/>
      <c r="S273" s="166"/>
      <c r="T273" s="166"/>
      <c r="U273" s="166"/>
      <c r="V273" s="166"/>
    </row>
    <row r="274" spans="17:22" ht="12">
      <c r="Q274" s="166"/>
      <c r="R274" s="166"/>
      <c r="S274" s="166"/>
      <c r="T274" s="166"/>
      <c r="U274" s="166"/>
      <c r="V274" s="166"/>
    </row>
    <row r="275" spans="17:22" ht="12">
      <c r="Q275" s="166"/>
      <c r="R275" s="166"/>
      <c r="S275" s="166"/>
      <c r="T275" s="166"/>
      <c r="U275" s="166"/>
      <c r="V275" s="166"/>
    </row>
    <row r="276" spans="17:22" ht="12">
      <c r="Q276" s="166"/>
      <c r="R276" s="166"/>
      <c r="S276" s="166"/>
      <c r="T276" s="166"/>
      <c r="U276" s="166"/>
      <c r="V276" s="166"/>
    </row>
    <row r="277" spans="17:22" ht="12">
      <c r="Q277" s="166"/>
      <c r="R277" s="166"/>
      <c r="S277" s="166"/>
      <c r="T277" s="166"/>
      <c r="U277" s="166"/>
      <c r="V277" s="166"/>
    </row>
    <row r="278" spans="17:22" ht="12">
      <c r="Q278" s="166"/>
      <c r="R278" s="166"/>
      <c r="S278" s="166"/>
      <c r="T278" s="166"/>
      <c r="U278" s="166"/>
      <c r="V278" s="166"/>
    </row>
    <row r="279" spans="17:22" ht="12">
      <c r="Q279" s="166"/>
      <c r="R279" s="166"/>
      <c r="S279" s="166"/>
      <c r="T279" s="166"/>
      <c r="U279" s="166"/>
      <c r="V279" s="166"/>
    </row>
    <row r="280" spans="17:22" ht="12">
      <c r="Q280" s="166"/>
      <c r="R280" s="166"/>
      <c r="S280" s="166"/>
      <c r="T280" s="166"/>
      <c r="U280" s="166"/>
      <c r="V280" s="166"/>
    </row>
    <row r="281" spans="17:22" ht="12">
      <c r="Q281" s="166"/>
      <c r="R281" s="166"/>
      <c r="S281" s="166"/>
      <c r="T281" s="166"/>
      <c r="U281" s="166"/>
      <c r="V281" s="166"/>
    </row>
    <row r="282" spans="17:22" ht="12">
      <c r="Q282" s="166"/>
      <c r="R282" s="166"/>
      <c r="S282" s="166"/>
      <c r="T282" s="166"/>
      <c r="U282" s="166"/>
      <c r="V282" s="166"/>
    </row>
    <row r="283" spans="17:22" ht="12">
      <c r="Q283" s="166"/>
      <c r="R283" s="166"/>
      <c r="S283" s="166"/>
      <c r="T283" s="166"/>
      <c r="U283" s="166"/>
      <c r="V283" s="166"/>
    </row>
    <row r="284" spans="17:22" ht="12">
      <c r="Q284" s="166"/>
      <c r="R284" s="166"/>
      <c r="S284" s="166"/>
      <c r="T284" s="166"/>
      <c r="U284" s="166"/>
      <c r="V284" s="166"/>
    </row>
    <row r="285" spans="17:22" ht="12">
      <c r="Q285" s="166"/>
      <c r="R285" s="166"/>
      <c r="S285" s="166"/>
      <c r="T285" s="166"/>
      <c r="U285" s="166"/>
      <c r="V285" s="166"/>
    </row>
    <row r="286" spans="17:22" ht="12">
      <c r="Q286" s="166"/>
      <c r="R286" s="166"/>
      <c r="S286" s="166"/>
      <c r="T286" s="166"/>
      <c r="U286" s="166"/>
      <c r="V286" s="166"/>
    </row>
    <row r="287" spans="17:22" ht="12">
      <c r="Q287" s="166"/>
      <c r="R287" s="166"/>
      <c r="S287" s="166"/>
      <c r="T287" s="166"/>
      <c r="U287" s="166"/>
      <c r="V287" s="166"/>
    </row>
    <row r="288" spans="17:22" ht="12">
      <c r="Q288" s="166"/>
      <c r="R288" s="166"/>
      <c r="S288" s="166"/>
      <c r="T288" s="166"/>
      <c r="U288" s="166"/>
      <c r="V288" s="166"/>
    </row>
    <row r="289" spans="17:22" ht="12">
      <c r="Q289" s="166"/>
      <c r="R289" s="166"/>
      <c r="S289" s="166"/>
      <c r="T289" s="166"/>
      <c r="U289" s="166"/>
      <c r="V289" s="166"/>
    </row>
    <row r="290" spans="17:22" ht="12">
      <c r="Q290" s="166"/>
      <c r="R290" s="166"/>
      <c r="S290" s="166"/>
      <c r="T290" s="166"/>
      <c r="U290" s="166"/>
      <c r="V290" s="166"/>
    </row>
    <row r="291" spans="17:22" ht="12">
      <c r="Q291" s="166"/>
      <c r="R291" s="166"/>
      <c r="S291" s="166"/>
      <c r="T291" s="166"/>
      <c r="U291" s="166"/>
      <c r="V291" s="166"/>
    </row>
    <row r="292" spans="17:22" ht="12">
      <c r="Q292" s="166"/>
      <c r="R292" s="166"/>
      <c r="S292" s="166"/>
      <c r="T292" s="166"/>
      <c r="U292" s="166"/>
      <c r="V292" s="166"/>
    </row>
    <row r="293" spans="17:22" ht="12">
      <c r="Q293" s="166"/>
      <c r="R293" s="166"/>
      <c r="S293" s="166"/>
      <c r="T293" s="166"/>
      <c r="U293" s="166"/>
      <c r="V293" s="166"/>
    </row>
    <row r="294" spans="17:22" ht="12">
      <c r="Q294" s="166"/>
      <c r="R294" s="166"/>
      <c r="S294" s="166"/>
      <c r="T294" s="166"/>
      <c r="U294" s="166"/>
      <c r="V294" s="166"/>
    </row>
    <row r="295" spans="17:22" ht="12">
      <c r="Q295" s="166"/>
      <c r="R295" s="166"/>
      <c r="S295" s="166"/>
      <c r="T295" s="166"/>
      <c r="U295" s="166"/>
      <c r="V295" s="166"/>
    </row>
    <row r="296" spans="17:22" ht="12">
      <c r="Q296" s="166"/>
      <c r="R296" s="166"/>
      <c r="S296" s="166"/>
      <c r="T296" s="166"/>
      <c r="U296" s="166"/>
      <c r="V296" s="166"/>
    </row>
    <row r="297" spans="17:22" ht="12">
      <c r="Q297" s="166"/>
      <c r="R297" s="166"/>
      <c r="S297" s="166"/>
      <c r="T297" s="166"/>
      <c r="U297" s="166"/>
      <c r="V297" s="166"/>
    </row>
    <row r="298" spans="17:22" ht="12">
      <c r="Q298" s="166"/>
      <c r="R298" s="166"/>
      <c r="S298" s="166"/>
      <c r="T298" s="166"/>
      <c r="U298" s="166"/>
      <c r="V298" s="166"/>
    </row>
    <row r="299" spans="17:22" ht="12">
      <c r="Q299" s="166"/>
      <c r="R299" s="166"/>
      <c r="S299" s="166"/>
      <c r="T299" s="166"/>
      <c r="U299" s="166"/>
      <c r="V299" s="166"/>
    </row>
    <row r="300" spans="17:22" ht="12">
      <c r="Q300" s="166"/>
      <c r="R300" s="166"/>
      <c r="S300" s="166"/>
      <c r="T300" s="166"/>
      <c r="U300" s="166"/>
      <c r="V300" s="166"/>
    </row>
    <row r="301" spans="17:22" ht="12">
      <c r="Q301" s="166"/>
      <c r="R301" s="166"/>
      <c r="S301" s="166"/>
      <c r="T301" s="166"/>
      <c r="U301" s="166"/>
      <c r="V301" s="166"/>
    </row>
    <row r="302" spans="17:22" ht="12">
      <c r="Q302" s="166"/>
      <c r="R302" s="166"/>
      <c r="S302" s="166"/>
      <c r="T302" s="166"/>
      <c r="U302" s="166"/>
      <c r="V302" s="166"/>
    </row>
    <row r="303" spans="17:22" ht="12">
      <c r="Q303" s="166"/>
      <c r="R303" s="166"/>
      <c r="S303" s="166"/>
      <c r="T303" s="166"/>
      <c r="U303" s="166"/>
      <c r="V303" s="166"/>
    </row>
    <row r="304" spans="17:22" ht="12">
      <c r="Q304" s="166"/>
      <c r="R304" s="166"/>
      <c r="S304" s="166"/>
      <c r="T304" s="166"/>
      <c r="U304" s="166"/>
      <c r="V304" s="166"/>
    </row>
    <row r="305" spans="17:22" ht="12">
      <c r="Q305" s="166"/>
      <c r="R305" s="166"/>
      <c r="S305" s="166"/>
      <c r="T305" s="166"/>
      <c r="U305" s="166"/>
      <c r="V305" s="166"/>
    </row>
    <row r="306" spans="17:22" ht="12">
      <c r="Q306" s="166"/>
      <c r="R306" s="166"/>
      <c r="S306" s="166"/>
      <c r="T306" s="166"/>
      <c r="U306" s="166"/>
      <c r="V306" s="166"/>
    </row>
    <row r="307" spans="17:22" ht="12">
      <c r="Q307" s="166"/>
      <c r="R307" s="166"/>
      <c r="S307" s="166"/>
      <c r="T307" s="166"/>
      <c r="U307" s="166"/>
      <c r="V307" s="166"/>
    </row>
    <row r="308" spans="17:22" ht="12">
      <c r="Q308" s="166"/>
      <c r="R308" s="166"/>
      <c r="S308" s="166"/>
      <c r="T308" s="166"/>
      <c r="U308" s="166"/>
      <c r="V308" s="166"/>
    </row>
    <row r="309" spans="17:22" ht="12">
      <c r="Q309" s="166"/>
      <c r="R309" s="166"/>
      <c r="S309" s="166"/>
      <c r="T309" s="166"/>
      <c r="U309" s="166"/>
      <c r="V309" s="166"/>
    </row>
    <row r="310" spans="17:22" ht="12">
      <c r="Q310" s="166"/>
      <c r="R310" s="166"/>
      <c r="S310" s="166"/>
      <c r="T310" s="166"/>
      <c r="U310" s="166"/>
      <c r="V310" s="166"/>
    </row>
    <row r="311" spans="17:22" ht="12">
      <c r="Q311" s="166"/>
      <c r="R311" s="166"/>
      <c r="S311" s="166"/>
      <c r="T311" s="166"/>
      <c r="U311" s="166"/>
      <c r="V311" s="166"/>
    </row>
    <row r="312" spans="17:22" ht="12">
      <c r="Q312" s="166"/>
      <c r="R312" s="166"/>
      <c r="S312" s="166"/>
      <c r="T312" s="166"/>
      <c r="U312" s="166"/>
      <c r="V312" s="166"/>
    </row>
    <row r="313" spans="17:22" ht="12">
      <c r="Q313" s="166"/>
      <c r="R313" s="166"/>
      <c r="S313" s="166"/>
      <c r="T313" s="166"/>
      <c r="U313" s="166"/>
      <c r="V313" s="166"/>
    </row>
    <row r="314" spans="17:22" ht="12">
      <c r="Q314" s="166"/>
      <c r="R314" s="166"/>
      <c r="S314" s="166"/>
      <c r="T314" s="166"/>
      <c r="U314" s="166"/>
      <c r="V314" s="166"/>
    </row>
    <row r="315" spans="17:22" ht="12">
      <c r="Q315" s="166"/>
      <c r="R315" s="166"/>
      <c r="S315" s="166"/>
      <c r="T315" s="166"/>
      <c r="U315" s="166"/>
      <c r="V315" s="166"/>
    </row>
    <row r="316" spans="17:22" ht="12">
      <c r="Q316" s="166"/>
      <c r="R316" s="166"/>
      <c r="S316" s="166"/>
      <c r="T316" s="166"/>
      <c r="U316" s="166"/>
      <c r="V316" s="166"/>
    </row>
    <row r="317" spans="17:22" ht="12">
      <c r="Q317" s="166"/>
      <c r="R317" s="166"/>
      <c r="S317" s="166"/>
      <c r="T317" s="166"/>
      <c r="U317" s="166"/>
      <c r="V317" s="166"/>
    </row>
    <row r="318" spans="17:22" ht="12">
      <c r="Q318" s="166"/>
      <c r="R318" s="166"/>
      <c r="S318" s="166"/>
      <c r="T318" s="166"/>
      <c r="U318" s="166"/>
      <c r="V318" s="166"/>
    </row>
    <row r="319" spans="17:22" ht="12">
      <c r="Q319" s="166"/>
      <c r="R319" s="166"/>
      <c r="S319" s="166"/>
      <c r="T319" s="166"/>
      <c r="U319" s="166"/>
      <c r="V319" s="166"/>
    </row>
    <row r="320" spans="17:22" ht="12">
      <c r="Q320" s="166"/>
      <c r="R320" s="166"/>
      <c r="S320" s="166"/>
      <c r="T320" s="166"/>
      <c r="U320" s="166"/>
      <c r="V320" s="166"/>
    </row>
    <row r="321" spans="17:22" ht="12">
      <c r="Q321" s="166"/>
      <c r="R321" s="166"/>
      <c r="S321" s="166"/>
      <c r="T321" s="166"/>
      <c r="U321" s="166"/>
      <c r="V321" s="166"/>
    </row>
    <row r="322" spans="17:22" ht="12">
      <c r="Q322" s="166"/>
      <c r="R322" s="166"/>
      <c r="S322" s="166"/>
      <c r="T322" s="166"/>
      <c r="U322" s="166"/>
      <c r="V322" s="166"/>
    </row>
    <row r="323" spans="17:22" ht="12">
      <c r="Q323" s="166"/>
      <c r="R323" s="166"/>
      <c r="S323" s="166"/>
      <c r="T323" s="166"/>
      <c r="U323" s="166"/>
      <c r="V323" s="166"/>
    </row>
    <row r="324" spans="17:22" ht="12">
      <c r="Q324" s="166"/>
      <c r="R324" s="166"/>
      <c r="S324" s="166"/>
      <c r="T324" s="166"/>
      <c r="U324" s="166"/>
      <c r="V324" s="166"/>
    </row>
    <row r="325" spans="17:22" ht="12">
      <c r="Q325" s="166"/>
      <c r="R325" s="166"/>
      <c r="S325" s="166"/>
      <c r="T325" s="166"/>
      <c r="U325" s="166"/>
      <c r="V325" s="166"/>
    </row>
    <row r="326" spans="17:22" ht="12">
      <c r="Q326" s="166"/>
      <c r="R326" s="166"/>
      <c r="S326" s="166"/>
      <c r="T326" s="166"/>
      <c r="U326" s="166"/>
      <c r="V326" s="166"/>
    </row>
    <row r="327" spans="17:22" ht="12">
      <c r="Q327" s="166"/>
      <c r="R327" s="166"/>
      <c r="S327" s="166"/>
      <c r="T327" s="166"/>
      <c r="U327" s="166"/>
      <c r="V327" s="166"/>
    </row>
    <row r="328" spans="17:22" ht="12">
      <c r="Q328" s="166"/>
      <c r="R328" s="166"/>
      <c r="S328" s="166"/>
      <c r="T328" s="166"/>
      <c r="U328" s="166"/>
      <c r="V328" s="166"/>
    </row>
    <row r="329" spans="17:22" ht="12">
      <c r="Q329" s="166"/>
      <c r="R329" s="166"/>
      <c r="S329" s="166"/>
      <c r="T329" s="166"/>
      <c r="U329" s="166"/>
      <c r="V329" s="166"/>
    </row>
    <row r="330" spans="17:22" ht="12">
      <c r="Q330" s="166"/>
      <c r="R330" s="166"/>
      <c r="S330" s="166"/>
      <c r="T330" s="166"/>
      <c r="U330" s="166"/>
      <c r="V330" s="166"/>
    </row>
    <row r="331" spans="17:22" ht="12">
      <c r="Q331" s="166"/>
      <c r="R331" s="166"/>
      <c r="S331" s="166"/>
      <c r="T331" s="166"/>
      <c r="U331" s="166"/>
      <c r="V331" s="166"/>
    </row>
    <row r="332" spans="17:22" ht="12">
      <c r="Q332" s="166"/>
      <c r="R332" s="166"/>
      <c r="S332" s="166"/>
      <c r="T332" s="166"/>
      <c r="U332" s="166"/>
      <c r="V332" s="166"/>
    </row>
    <row r="333" spans="17:22" ht="12">
      <c r="Q333" s="166"/>
      <c r="R333" s="166"/>
      <c r="S333" s="166"/>
      <c r="T333" s="166"/>
      <c r="U333" s="166"/>
      <c r="V333" s="166"/>
    </row>
    <row r="334" spans="17:22" ht="12">
      <c r="Q334" s="166"/>
      <c r="R334" s="166"/>
      <c r="S334" s="166"/>
      <c r="T334" s="166"/>
      <c r="U334" s="166"/>
      <c r="V334" s="166"/>
    </row>
    <row r="335" spans="17:22" ht="12">
      <c r="Q335" s="166"/>
      <c r="R335" s="166"/>
      <c r="S335" s="166"/>
      <c r="T335" s="166"/>
      <c r="U335" s="166"/>
      <c r="V335" s="166"/>
    </row>
    <row r="336" spans="17:22" ht="12">
      <c r="Q336" s="166"/>
      <c r="R336" s="166"/>
      <c r="S336" s="166"/>
      <c r="T336" s="166"/>
      <c r="U336" s="166"/>
      <c r="V336" s="166"/>
    </row>
    <row r="337" spans="17:22" ht="12">
      <c r="Q337" s="166"/>
      <c r="R337" s="166"/>
      <c r="S337" s="166"/>
      <c r="T337" s="166"/>
      <c r="U337" s="166"/>
      <c r="V337" s="166"/>
    </row>
    <row r="338" spans="17:22" ht="12">
      <c r="Q338" s="166"/>
      <c r="R338" s="166"/>
      <c r="S338" s="166"/>
      <c r="T338" s="166"/>
      <c r="U338" s="166"/>
      <c r="V338" s="166"/>
    </row>
    <row r="339" spans="17:22" ht="12">
      <c r="Q339" s="166"/>
      <c r="R339" s="166"/>
      <c r="S339" s="166"/>
      <c r="T339" s="166"/>
      <c r="U339" s="166"/>
      <c r="V339" s="166"/>
    </row>
    <row r="340" spans="17:22" ht="12">
      <c r="Q340" s="166"/>
      <c r="R340" s="166"/>
      <c r="S340" s="166"/>
      <c r="T340" s="166"/>
      <c r="U340" s="166"/>
      <c r="V340" s="166"/>
    </row>
    <row r="341" spans="17:22" ht="12">
      <c r="Q341" s="166"/>
      <c r="R341" s="166"/>
      <c r="S341" s="166"/>
      <c r="T341" s="166"/>
      <c r="U341" s="166"/>
      <c r="V341" s="166"/>
    </row>
    <row r="342" spans="17:22" ht="12">
      <c r="Q342" s="166"/>
      <c r="R342" s="166"/>
      <c r="S342" s="166"/>
      <c r="T342" s="166"/>
      <c r="U342" s="166"/>
      <c r="V342" s="166"/>
    </row>
    <row r="343" spans="17:22" ht="12">
      <c r="Q343" s="166"/>
      <c r="R343" s="166"/>
      <c r="S343" s="166"/>
      <c r="T343" s="166"/>
      <c r="U343" s="166"/>
      <c r="V343" s="166"/>
    </row>
    <row r="344" spans="17:22" ht="12">
      <c r="Q344" s="166"/>
      <c r="R344" s="166"/>
      <c r="S344" s="166"/>
      <c r="T344" s="166"/>
      <c r="U344" s="166"/>
      <c r="V344" s="166"/>
    </row>
    <row r="345" spans="17:22" ht="12">
      <c r="Q345" s="166"/>
      <c r="R345" s="166"/>
      <c r="S345" s="166"/>
      <c r="T345" s="166"/>
      <c r="U345" s="166"/>
      <c r="V345" s="166"/>
    </row>
    <row r="346" spans="17:22" ht="12">
      <c r="Q346" s="166"/>
      <c r="R346" s="166"/>
      <c r="S346" s="166"/>
      <c r="T346" s="166"/>
      <c r="U346" s="166"/>
      <c r="V346" s="166"/>
    </row>
    <row r="347" spans="17:22" ht="12">
      <c r="Q347" s="166"/>
      <c r="R347" s="166"/>
      <c r="S347" s="166"/>
      <c r="T347" s="166"/>
      <c r="U347" s="166"/>
      <c r="V347" s="166"/>
    </row>
    <row r="348" spans="17:22" ht="12">
      <c r="Q348" s="166"/>
      <c r="R348" s="166"/>
      <c r="S348" s="166"/>
      <c r="T348" s="166"/>
      <c r="U348" s="166"/>
      <c r="V348" s="166"/>
    </row>
    <row r="349" spans="17:22" ht="12">
      <c r="Q349" s="166"/>
      <c r="R349" s="166"/>
      <c r="S349" s="166"/>
      <c r="T349" s="166"/>
      <c r="U349" s="166"/>
      <c r="V349" s="166"/>
    </row>
    <row r="350" spans="17:22" ht="12">
      <c r="Q350" s="166"/>
      <c r="R350" s="166"/>
      <c r="S350" s="166"/>
      <c r="T350" s="166"/>
      <c r="U350" s="166"/>
      <c r="V350" s="166"/>
    </row>
    <row r="351" spans="17:22" ht="12">
      <c r="Q351" s="166"/>
      <c r="R351" s="166"/>
      <c r="S351" s="166"/>
      <c r="T351" s="166"/>
      <c r="U351" s="166"/>
      <c r="V351" s="166"/>
    </row>
    <row r="352" spans="17:22" ht="12">
      <c r="Q352" s="166"/>
      <c r="R352" s="166"/>
      <c r="S352" s="166"/>
      <c r="T352" s="166"/>
      <c r="U352" s="166"/>
      <c r="V352" s="166"/>
    </row>
    <row r="353" spans="17:22" ht="12">
      <c r="Q353" s="166"/>
      <c r="R353" s="166"/>
      <c r="S353" s="166"/>
      <c r="T353" s="166"/>
      <c r="U353" s="166"/>
      <c r="V353" s="166"/>
    </row>
    <row r="354" spans="17:22" ht="12">
      <c r="Q354" s="166"/>
      <c r="R354" s="166"/>
      <c r="S354" s="166"/>
      <c r="T354" s="166"/>
      <c r="U354" s="166"/>
      <c r="V354" s="166"/>
    </row>
    <row r="355" spans="17:22" ht="12">
      <c r="Q355" s="166"/>
      <c r="R355" s="166"/>
      <c r="S355" s="166"/>
      <c r="T355" s="166"/>
      <c r="U355" s="166"/>
      <c r="V355" s="166"/>
    </row>
    <row r="356" spans="17:22" ht="12">
      <c r="Q356" s="166"/>
      <c r="R356" s="166"/>
      <c r="S356" s="166"/>
      <c r="T356" s="166"/>
      <c r="U356" s="166"/>
      <c r="V356" s="166"/>
    </row>
    <row r="357" spans="17:22" ht="12">
      <c r="Q357" s="166"/>
      <c r="R357" s="166"/>
      <c r="S357" s="166"/>
      <c r="T357" s="166"/>
      <c r="U357" s="166"/>
      <c r="V357" s="166"/>
    </row>
    <row r="358" spans="17:22" ht="12">
      <c r="Q358" s="166"/>
      <c r="R358" s="166"/>
      <c r="S358" s="166"/>
      <c r="T358" s="166"/>
      <c r="U358" s="166"/>
      <c r="V358" s="166"/>
    </row>
    <row r="359" spans="17:22" ht="12">
      <c r="Q359" s="166"/>
      <c r="R359" s="166"/>
      <c r="S359" s="166"/>
      <c r="T359" s="166"/>
      <c r="U359" s="166"/>
      <c r="V359" s="166"/>
    </row>
    <row r="360" spans="17:22" ht="12">
      <c r="Q360" s="166"/>
      <c r="R360" s="166"/>
      <c r="S360" s="166"/>
      <c r="T360" s="166"/>
      <c r="U360" s="166"/>
      <c r="V360" s="166"/>
    </row>
    <row r="361" spans="17:22" ht="12">
      <c r="Q361" s="166"/>
      <c r="R361" s="166"/>
      <c r="S361" s="166"/>
      <c r="T361" s="166"/>
      <c r="U361" s="166"/>
      <c r="V361" s="166"/>
    </row>
    <row r="362" spans="17:22" ht="12">
      <c r="Q362" s="166"/>
      <c r="R362" s="166"/>
      <c r="S362" s="166"/>
      <c r="T362" s="166"/>
      <c r="U362" s="166"/>
      <c r="V362" s="166"/>
    </row>
    <row r="363" spans="17:22" ht="12">
      <c r="Q363" s="166"/>
      <c r="R363" s="166"/>
      <c r="S363" s="166"/>
      <c r="T363" s="166"/>
      <c r="U363" s="166"/>
      <c r="V363" s="166"/>
    </row>
    <row r="364" spans="17:22" ht="12">
      <c r="Q364" s="166"/>
      <c r="R364" s="166"/>
      <c r="S364" s="166"/>
      <c r="T364" s="166"/>
      <c r="U364" s="166"/>
      <c r="V364" s="166"/>
    </row>
    <row r="365" spans="17:22" ht="12">
      <c r="Q365" s="166"/>
      <c r="R365" s="166"/>
      <c r="S365" s="166"/>
      <c r="T365" s="166"/>
      <c r="U365" s="166"/>
      <c r="V365" s="166"/>
    </row>
    <row r="366" spans="17:22" ht="12">
      <c r="Q366" s="166"/>
      <c r="R366" s="166"/>
      <c r="S366" s="166"/>
      <c r="T366" s="166"/>
      <c r="U366" s="166"/>
      <c r="V366" s="166"/>
    </row>
    <row r="367" spans="17:22" ht="12">
      <c r="Q367" s="166"/>
      <c r="R367" s="166"/>
      <c r="S367" s="166"/>
      <c r="T367" s="166"/>
      <c r="U367" s="166"/>
      <c r="V367" s="166"/>
    </row>
    <row r="368" spans="17:22" ht="12">
      <c r="Q368" s="166"/>
      <c r="R368" s="166"/>
      <c r="S368" s="166"/>
      <c r="T368" s="166"/>
      <c r="U368" s="166"/>
      <c r="V368" s="166"/>
    </row>
    <row r="369" spans="17:22" ht="12">
      <c r="Q369" s="166"/>
      <c r="R369" s="166"/>
      <c r="S369" s="166"/>
      <c r="T369" s="166"/>
      <c r="U369" s="166"/>
      <c r="V369" s="166"/>
    </row>
    <row r="370" spans="17:22" ht="12">
      <c r="Q370" s="166"/>
      <c r="R370" s="166"/>
      <c r="S370" s="166"/>
      <c r="T370" s="166"/>
      <c r="U370" s="166"/>
      <c r="V370" s="166"/>
    </row>
    <row r="371" spans="17:22" ht="12">
      <c r="Q371" s="166"/>
      <c r="R371" s="166"/>
      <c r="S371" s="166"/>
      <c r="T371" s="166"/>
      <c r="U371" s="166"/>
      <c r="V371" s="166"/>
    </row>
    <row r="372" spans="17:22" ht="12">
      <c r="Q372" s="166"/>
      <c r="R372" s="166"/>
      <c r="S372" s="166"/>
      <c r="T372" s="166"/>
      <c r="U372" s="166"/>
      <c r="V372" s="166"/>
    </row>
    <row r="373" spans="17:22" ht="12">
      <c r="Q373" s="166"/>
      <c r="R373" s="166"/>
      <c r="S373" s="166"/>
      <c r="T373" s="166"/>
      <c r="U373" s="166"/>
      <c r="V373" s="166"/>
    </row>
    <row r="374" spans="17:22" ht="12">
      <c r="Q374" s="166"/>
      <c r="R374" s="166"/>
      <c r="S374" s="166"/>
      <c r="T374" s="166"/>
      <c r="U374" s="166"/>
      <c r="V374" s="166"/>
    </row>
    <row r="375" spans="17:22" ht="12">
      <c r="Q375" s="166"/>
      <c r="R375" s="166"/>
      <c r="S375" s="166"/>
      <c r="T375" s="166"/>
      <c r="U375" s="166"/>
      <c r="V375" s="166"/>
    </row>
    <row r="376" spans="17:22" ht="12">
      <c r="Q376" s="166"/>
      <c r="R376" s="166"/>
      <c r="S376" s="166"/>
      <c r="T376" s="166"/>
      <c r="U376" s="166"/>
      <c r="V376" s="166"/>
    </row>
    <row r="377" spans="17:22" ht="12">
      <c r="Q377" s="166"/>
      <c r="R377" s="166"/>
      <c r="S377" s="166"/>
      <c r="T377" s="166"/>
      <c r="U377" s="166"/>
      <c r="V377" s="166"/>
    </row>
    <row r="378" spans="17:22" ht="12">
      <c r="Q378" s="166"/>
      <c r="R378" s="166"/>
      <c r="S378" s="166"/>
      <c r="T378" s="166"/>
      <c r="U378" s="166"/>
      <c r="V378" s="166"/>
    </row>
    <row r="379" spans="17:22" ht="12">
      <c r="Q379" s="166"/>
      <c r="R379" s="166"/>
      <c r="S379" s="166"/>
      <c r="T379" s="166"/>
      <c r="U379" s="166"/>
      <c r="V379" s="166"/>
    </row>
    <row r="380" spans="17:22" ht="12">
      <c r="Q380" s="166"/>
      <c r="R380" s="166"/>
      <c r="S380" s="166"/>
      <c r="T380" s="166"/>
      <c r="U380" s="166"/>
      <c r="V380" s="166"/>
    </row>
    <row r="381" spans="17:22" ht="12">
      <c r="Q381" s="166"/>
      <c r="R381" s="166"/>
      <c r="S381" s="166"/>
      <c r="T381" s="166"/>
      <c r="U381" s="166"/>
      <c r="V381" s="166"/>
    </row>
    <row r="382" spans="17:22" ht="12">
      <c r="Q382" s="166"/>
      <c r="R382" s="166"/>
      <c r="S382" s="166"/>
      <c r="T382" s="166"/>
      <c r="U382" s="166"/>
      <c r="V382" s="166"/>
    </row>
    <row r="383" spans="17:22" ht="12">
      <c r="Q383" s="166"/>
      <c r="R383" s="166"/>
      <c r="S383" s="166"/>
      <c r="T383" s="166"/>
      <c r="U383" s="166"/>
      <c r="V383" s="166"/>
    </row>
    <row r="384" spans="17:22" ht="12">
      <c r="Q384" s="166"/>
      <c r="R384" s="166"/>
      <c r="S384" s="166"/>
      <c r="T384" s="166"/>
      <c r="U384" s="166"/>
      <c r="V384" s="166"/>
    </row>
    <row r="385" spans="17:22" ht="12">
      <c r="Q385" s="166"/>
      <c r="R385" s="166"/>
      <c r="S385" s="166"/>
      <c r="T385" s="166"/>
      <c r="U385" s="166"/>
      <c r="V385" s="166"/>
    </row>
    <row r="386" spans="17:22" ht="12">
      <c r="Q386" s="166"/>
      <c r="R386" s="166"/>
      <c r="S386" s="166"/>
      <c r="T386" s="166"/>
      <c r="U386" s="166"/>
      <c r="V386" s="166"/>
    </row>
    <row r="387" spans="17:22" ht="12">
      <c r="Q387" s="166"/>
      <c r="R387" s="166"/>
      <c r="S387" s="166"/>
      <c r="T387" s="166"/>
      <c r="U387" s="166"/>
      <c r="V387" s="166"/>
    </row>
    <row r="388" spans="17:22" ht="12">
      <c r="Q388" s="166"/>
      <c r="R388" s="166"/>
      <c r="S388" s="166"/>
      <c r="T388" s="166"/>
      <c r="U388" s="166"/>
      <c r="V388" s="166"/>
    </row>
    <row r="389" spans="17:22" ht="12">
      <c r="Q389" s="166"/>
      <c r="R389" s="166"/>
      <c r="S389" s="166"/>
      <c r="T389" s="166"/>
      <c r="U389" s="166"/>
      <c r="V389" s="166"/>
    </row>
    <row r="390" spans="17:22" ht="12">
      <c r="Q390" s="166"/>
      <c r="R390" s="166"/>
      <c r="S390" s="166"/>
      <c r="T390" s="166"/>
      <c r="U390" s="166"/>
      <c r="V390" s="166"/>
    </row>
    <row r="391" spans="17:22" ht="12">
      <c r="Q391" s="166"/>
      <c r="R391" s="166"/>
      <c r="S391" s="166"/>
      <c r="T391" s="166"/>
      <c r="U391" s="166"/>
      <c r="V391" s="166"/>
    </row>
    <row r="392" spans="17:22" ht="12">
      <c r="Q392" s="166"/>
      <c r="R392" s="166"/>
      <c r="S392" s="166"/>
      <c r="T392" s="166"/>
      <c r="U392" s="166"/>
      <c r="V392" s="166"/>
    </row>
    <row r="393" spans="17:22" ht="12">
      <c r="Q393" s="166"/>
      <c r="R393" s="166"/>
      <c r="S393" s="166"/>
      <c r="T393" s="166"/>
      <c r="U393" s="166"/>
      <c r="V393" s="166"/>
    </row>
    <row r="394" spans="17:22" ht="12">
      <c r="Q394" s="166"/>
      <c r="R394" s="166"/>
      <c r="S394" s="166"/>
      <c r="T394" s="166"/>
      <c r="U394" s="166"/>
      <c r="V394" s="166"/>
    </row>
    <row r="395" spans="17:22" ht="12">
      <c r="Q395" s="166"/>
      <c r="R395" s="166"/>
      <c r="S395" s="166"/>
      <c r="T395" s="166"/>
      <c r="U395" s="166"/>
      <c r="V395" s="166"/>
    </row>
    <row r="396" spans="17:22" ht="12">
      <c r="Q396" s="166"/>
      <c r="R396" s="166"/>
      <c r="S396" s="166"/>
      <c r="T396" s="166"/>
      <c r="U396" s="166"/>
      <c r="V396" s="166"/>
    </row>
    <row r="397" spans="17:22" ht="12">
      <c r="Q397" s="166"/>
      <c r="R397" s="166"/>
      <c r="S397" s="166"/>
      <c r="T397" s="166"/>
      <c r="U397" s="166"/>
      <c r="V397" s="166"/>
    </row>
    <row r="398" spans="17:22" ht="12">
      <c r="Q398" s="166"/>
      <c r="R398" s="166"/>
      <c r="S398" s="166"/>
      <c r="T398" s="166"/>
      <c r="U398" s="166"/>
      <c r="V398" s="166"/>
    </row>
    <row r="399" spans="17:22" ht="12">
      <c r="Q399" s="166"/>
      <c r="R399" s="166"/>
      <c r="S399" s="166"/>
      <c r="T399" s="166"/>
      <c r="U399" s="166"/>
      <c r="V399" s="166"/>
    </row>
    <row r="400" spans="17:22" ht="12">
      <c r="Q400" s="166"/>
      <c r="R400" s="166"/>
      <c r="S400" s="166"/>
      <c r="T400" s="166"/>
      <c r="U400" s="166"/>
      <c r="V400" s="166"/>
    </row>
    <row r="401" spans="17:22" ht="12">
      <c r="Q401" s="166"/>
      <c r="R401" s="166"/>
      <c r="S401" s="166"/>
      <c r="T401" s="166"/>
      <c r="U401" s="166"/>
      <c r="V401" s="166"/>
    </row>
    <row r="402" spans="17:22" ht="12">
      <c r="Q402" s="166"/>
      <c r="R402" s="166"/>
      <c r="S402" s="166"/>
      <c r="T402" s="166"/>
      <c r="U402" s="166"/>
      <c r="V402" s="166"/>
    </row>
    <row r="403" spans="17:22" ht="12">
      <c r="Q403" s="166"/>
      <c r="R403" s="166"/>
      <c r="S403" s="166"/>
      <c r="T403" s="166"/>
      <c r="U403" s="166"/>
      <c r="V403" s="166"/>
    </row>
    <row r="404" spans="17:22" ht="12">
      <c r="Q404" s="166"/>
      <c r="R404" s="166"/>
      <c r="S404" s="166"/>
      <c r="T404" s="166"/>
      <c r="U404" s="166"/>
      <c r="V404" s="166"/>
    </row>
    <row r="405" spans="17:22" ht="12">
      <c r="Q405" s="166"/>
      <c r="R405" s="166"/>
      <c r="S405" s="166"/>
      <c r="T405" s="166"/>
      <c r="U405" s="166"/>
      <c r="V405" s="166"/>
    </row>
    <row r="406" spans="17:22" ht="12">
      <c r="Q406" s="166"/>
      <c r="R406" s="166"/>
      <c r="S406" s="166"/>
      <c r="T406" s="166"/>
      <c r="U406" s="166"/>
      <c r="V406" s="166"/>
    </row>
    <row r="407" spans="17:22" ht="12">
      <c r="Q407" s="166"/>
      <c r="R407" s="166"/>
      <c r="S407" s="166"/>
      <c r="T407" s="166"/>
      <c r="U407" s="166"/>
      <c r="V407" s="166"/>
    </row>
    <row r="408" spans="17:22" ht="12">
      <c r="Q408" s="166"/>
      <c r="R408" s="166"/>
      <c r="S408" s="166"/>
      <c r="T408" s="166"/>
      <c r="U408" s="166"/>
      <c r="V408" s="166"/>
    </row>
    <row r="409" spans="17:22" ht="12">
      <c r="Q409" s="166"/>
      <c r="R409" s="166"/>
      <c r="S409" s="166"/>
      <c r="T409" s="166"/>
      <c r="U409" s="166"/>
      <c r="V409" s="166"/>
    </row>
    <row r="410" spans="17:22" ht="12">
      <c r="Q410" s="166"/>
      <c r="R410" s="166"/>
      <c r="S410" s="166"/>
      <c r="T410" s="166"/>
      <c r="U410" s="166"/>
      <c r="V410" s="166"/>
    </row>
    <row r="411" spans="17:22" ht="12">
      <c r="Q411" s="166"/>
      <c r="R411" s="166"/>
      <c r="S411" s="166"/>
      <c r="T411" s="166"/>
      <c r="U411" s="166"/>
      <c r="V411" s="166"/>
    </row>
    <row r="412" spans="17:22" ht="12">
      <c r="Q412" s="166"/>
      <c r="R412" s="166"/>
      <c r="S412" s="166"/>
      <c r="T412" s="166"/>
      <c r="U412" s="166"/>
      <c r="V412" s="166"/>
    </row>
    <row r="413" spans="17:22" ht="12">
      <c r="Q413" s="166"/>
      <c r="R413" s="166"/>
      <c r="S413" s="166"/>
      <c r="T413" s="166"/>
      <c r="U413" s="166"/>
      <c r="V413" s="166"/>
    </row>
    <row r="414" spans="17:22" ht="12">
      <c r="Q414" s="166"/>
      <c r="R414" s="166"/>
      <c r="S414" s="166"/>
      <c r="T414" s="166"/>
      <c r="U414" s="166"/>
      <c r="V414" s="166"/>
    </row>
    <row r="415" spans="17:22" ht="12">
      <c r="Q415" s="166"/>
      <c r="R415" s="166"/>
      <c r="S415" s="166"/>
      <c r="T415" s="166"/>
      <c r="U415" s="166"/>
      <c r="V415" s="166"/>
    </row>
    <row r="416" spans="17:22" ht="12">
      <c r="Q416" s="166"/>
      <c r="R416" s="166"/>
      <c r="S416" s="166"/>
      <c r="T416" s="166"/>
      <c r="U416" s="166"/>
      <c r="V416" s="166"/>
    </row>
    <row r="417" spans="17:22" ht="12">
      <c r="Q417" s="166"/>
      <c r="R417" s="166"/>
      <c r="S417" s="166"/>
      <c r="T417" s="166"/>
      <c r="U417" s="166"/>
      <c r="V417" s="166"/>
    </row>
    <row r="418" spans="17:22" ht="12">
      <c r="Q418" s="166"/>
      <c r="R418" s="166"/>
      <c r="S418" s="166"/>
      <c r="T418" s="166"/>
      <c r="U418" s="166"/>
      <c r="V418" s="166"/>
    </row>
    <row r="419" spans="17:22" ht="12">
      <c r="Q419" s="166"/>
      <c r="R419" s="166"/>
      <c r="S419" s="166"/>
      <c r="T419" s="166"/>
      <c r="U419" s="166"/>
      <c r="V419" s="166"/>
    </row>
    <row r="420" spans="17:22" ht="12">
      <c r="Q420" s="166"/>
      <c r="R420" s="166"/>
      <c r="S420" s="166"/>
      <c r="T420" s="166"/>
      <c r="U420" s="166"/>
      <c r="V420" s="166"/>
    </row>
    <row r="421" spans="17:22" ht="12">
      <c r="Q421" s="166"/>
      <c r="R421" s="166"/>
      <c r="S421" s="166"/>
      <c r="T421" s="166"/>
      <c r="U421" s="166"/>
      <c r="V421" s="166"/>
    </row>
    <row r="422" spans="17:22" ht="12">
      <c r="Q422" s="166"/>
      <c r="R422" s="166"/>
      <c r="S422" s="166"/>
      <c r="T422" s="166"/>
      <c r="U422" s="166"/>
      <c r="V422" s="166"/>
    </row>
    <row r="423" spans="17:22" ht="12">
      <c r="Q423" s="166"/>
      <c r="R423" s="166"/>
      <c r="S423" s="166"/>
      <c r="T423" s="166"/>
      <c r="U423" s="166"/>
      <c r="V423" s="166"/>
    </row>
    <row r="424" spans="17:22" ht="12">
      <c r="Q424" s="166"/>
      <c r="R424" s="166"/>
      <c r="S424" s="166"/>
      <c r="T424" s="166"/>
      <c r="U424" s="166"/>
      <c r="V424" s="166"/>
    </row>
    <row r="425" spans="17:22" ht="12">
      <c r="Q425" s="166"/>
      <c r="R425" s="166"/>
      <c r="S425" s="166"/>
      <c r="T425" s="166"/>
      <c r="U425" s="166"/>
      <c r="V425" s="166"/>
    </row>
    <row r="426" spans="17:22" ht="12">
      <c r="Q426" s="166"/>
      <c r="R426" s="166"/>
      <c r="S426" s="166"/>
      <c r="T426" s="166"/>
      <c r="U426" s="166"/>
      <c r="V426" s="166"/>
    </row>
    <row r="427" spans="17:22" ht="12">
      <c r="Q427" s="166"/>
      <c r="R427" s="166"/>
      <c r="S427" s="166"/>
      <c r="T427" s="166"/>
      <c r="U427" s="166"/>
      <c r="V427" s="166"/>
    </row>
    <row r="428" spans="17:22" ht="12">
      <c r="Q428" s="166"/>
      <c r="R428" s="166"/>
      <c r="S428" s="166"/>
      <c r="T428" s="166"/>
      <c r="U428" s="166"/>
      <c r="V428" s="166"/>
    </row>
    <row r="429" spans="17:22" ht="12">
      <c r="Q429" s="166"/>
      <c r="R429" s="166"/>
      <c r="S429" s="166"/>
      <c r="T429" s="166"/>
      <c r="U429" s="166"/>
      <c r="V429" s="166"/>
    </row>
    <row r="430" spans="17:22" ht="12">
      <c r="Q430" s="166"/>
      <c r="R430" s="166"/>
      <c r="S430" s="166"/>
      <c r="T430" s="166"/>
      <c r="U430" s="166"/>
      <c r="V430" s="166"/>
    </row>
    <row r="431" spans="17:22" ht="12">
      <c r="Q431" s="166"/>
      <c r="R431" s="166"/>
      <c r="S431" s="166"/>
      <c r="T431" s="166"/>
      <c r="U431" s="166"/>
      <c r="V431" s="166"/>
    </row>
    <row r="432" spans="17:22" ht="12">
      <c r="Q432" s="166"/>
      <c r="R432" s="166"/>
      <c r="S432" s="166"/>
      <c r="T432" s="166"/>
      <c r="U432" s="166"/>
      <c r="V432" s="166"/>
    </row>
    <row r="433" spans="17:22" ht="12">
      <c r="Q433" s="166"/>
      <c r="R433" s="166"/>
      <c r="S433" s="166"/>
      <c r="T433" s="166"/>
      <c r="U433" s="166"/>
      <c r="V433" s="166"/>
    </row>
    <row r="434" spans="17:22" ht="12">
      <c r="Q434" s="166"/>
      <c r="R434" s="166"/>
      <c r="S434" s="166"/>
      <c r="T434" s="166"/>
      <c r="U434" s="166"/>
      <c r="V434" s="166"/>
    </row>
    <row r="435" spans="17:22" ht="12">
      <c r="Q435" s="166"/>
      <c r="R435" s="166"/>
      <c r="S435" s="166"/>
      <c r="T435" s="166"/>
      <c r="U435" s="166"/>
      <c r="V435" s="166"/>
    </row>
    <row r="436" spans="17:22" ht="12">
      <c r="Q436" s="166"/>
      <c r="R436" s="166"/>
      <c r="S436" s="166"/>
      <c r="T436" s="166"/>
      <c r="U436" s="166"/>
      <c r="V436" s="166"/>
    </row>
    <row r="437" spans="17:22" ht="12">
      <c r="Q437" s="166"/>
      <c r="R437" s="166"/>
      <c r="S437" s="166"/>
      <c r="T437" s="166"/>
      <c r="U437" s="166"/>
      <c r="V437" s="166"/>
    </row>
    <row r="438" spans="17:22" ht="12">
      <c r="Q438" s="166"/>
      <c r="R438" s="166"/>
      <c r="S438" s="166"/>
      <c r="T438" s="166"/>
      <c r="U438" s="166"/>
      <c r="V438" s="166"/>
    </row>
    <row r="439" spans="17:22" ht="12">
      <c r="Q439" s="166"/>
      <c r="R439" s="166"/>
      <c r="S439" s="166"/>
      <c r="T439" s="166"/>
      <c r="U439" s="166"/>
      <c r="V439" s="166"/>
    </row>
    <row r="440" spans="17:22" ht="12">
      <c r="Q440" s="166"/>
      <c r="R440" s="166"/>
      <c r="S440" s="166"/>
      <c r="T440" s="166"/>
      <c r="U440" s="166"/>
      <c r="V440" s="166"/>
    </row>
    <row r="441" spans="17:22" ht="12">
      <c r="Q441" s="166"/>
      <c r="R441" s="166"/>
      <c r="S441" s="166"/>
      <c r="T441" s="166"/>
      <c r="U441" s="166"/>
      <c r="V441" s="166"/>
    </row>
    <row r="442" spans="17:22" ht="12">
      <c r="Q442" s="166"/>
      <c r="R442" s="166"/>
      <c r="S442" s="166"/>
      <c r="T442" s="166"/>
      <c r="U442" s="166"/>
      <c r="V442" s="166"/>
    </row>
    <row r="443" spans="17:22" ht="12">
      <c r="Q443" s="166"/>
      <c r="R443" s="166"/>
      <c r="S443" s="166"/>
      <c r="T443" s="166"/>
      <c r="U443" s="166"/>
      <c r="V443" s="166"/>
    </row>
    <row r="444" spans="17:22" ht="12">
      <c r="Q444" s="166"/>
      <c r="R444" s="166"/>
      <c r="S444" s="166"/>
      <c r="T444" s="166"/>
      <c r="U444" s="166"/>
      <c r="V444" s="166"/>
    </row>
    <row r="445" spans="17:22" ht="12">
      <c r="Q445" s="166"/>
      <c r="R445" s="166"/>
      <c r="S445" s="166"/>
      <c r="T445" s="166"/>
      <c r="U445" s="166"/>
      <c r="V445" s="166"/>
    </row>
    <row r="446" spans="17:22" ht="12">
      <c r="Q446" s="166"/>
      <c r="R446" s="166"/>
      <c r="S446" s="166"/>
      <c r="T446" s="166"/>
      <c r="U446" s="166"/>
      <c r="V446" s="166"/>
    </row>
    <row r="447" spans="17:22" ht="12">
      <c r="Q447" s="166"/>
      <c r="R447" s="166"/>
      <c r="S447" s="166"/>
      <c r="T447" s="166"/>
      <c r="U447" s="166"/>
      <c r="V447" s="166"/>
    </row>
    <row r="448" spans="17:22" ht="12">
      <c r="Q448" s="166"/>
      <c r="R448" s="166"/>
      <c r="S448" s="166"/>
      <c r="T448" s="166"/>
      <c r="U448" s="166"/>
      <c r="V448" s="166"/>
    </row>
    <row r="449" spans="17:22" ht="12">
      <c r="Q449" s="166"/>
      <c r="R449" s="166"/>
      <c r="S449" s="166"/>
      <c r="T449" s="166"/>
      <c r="U449" s="166"/>
      <c r="V449" s="166"/>
    </row>
    <row r="450" spans="17:22" ht="12">
      <c r="Q450" s="166"/>
      <c r="R450" s="166"/>
      <c r="S450" s="166"/>
      <c r="T450" s="166"/>
      <c r="U450" s="166"/>
      <c r="V450" s="166"/>
    </row>
    <row r="451" spans="17:22" ht="12">
      <c r="Q451" s="166"/>
      <c r="R451" s="166"/>
      <c r="S451" s="166"/>
      <c r="T451" s="166"/>
      <c r="U451" s="166"/>
      <c r="V451" s="166"/>
    </row>
    <row r="452" spans="17:22" ht="12">
      <c r="Q452" s="166"/>
      <c r="R452" s="166"/>
      <c r="S452" s="166"/>
      <c r="T452" s="166"/>
      <c r="U452" s="166"/>
      <c r="V452" s="166"/>
    </row>
    <row r="453" spans="17:22" ht="12">
      <c r="Q453" s="166"/>
      <c r="R453" s="166"/>
      <c r="S453" s="166"/>
      <c r="T453" s="166"/>
      <c r="U453" s="166"/>
      <c r="V453" s="166"/>
    </row>
    <row r="454" spans="17:22" ht="12">
      <c r="Q454" s="166"/>
      <c r="R454" s="166"/>
      <c r="S454" s="166"/>
      <c r="T454" s="166"/>
      <c r="U454" s="166"/>
      <c r="V454" s="166"/>
    </row>
    <row r="455" spans="17:22" ht="12">
      <c r="Q455" s="166"/>
      <c r="R455" s="166"/>
      <c r="S455" s="166"/>
      <c r="T455" s="166"/>
      <c r="U455" s="166"/>
      <c r="V455" s="166"/>
    </row>
    <row r="456" spans="17:22" ht="12">
      <c r="Q456" s="166"/>
      <c r="R456" s="166"/>
      <c r="S456" s="166"/>
      <c r="T456" s="166"/>
      <c r="U456" s="166"/>
      <c r="V456" s="166"/>
    </row>
    <row r="457" spans="17:22" ht="12">
      <c r="Q457" s="166"/>
      <c r="R457" s="166"/>
      <c r="S457" s="166"/>
      <c r="T457" s="166"/>
      <c r="U457" s="166"/>
      <c r="V457" s="166"/>
    </row>
    <row r="458" spans="17:22" ht="12">
      <c r="Q458" s="166"/>
      <c r="R458" s="166"/>
      <c r="S458" s="166"/>
      <c r="T458" s="166"/>
      <c r="U458" s="166"/>
      <c r="V458" s="166"/>
    </row>
    <row r="459" spans="17:22" ht="12">
      <c r="Q459" s="166"/>
      <c r="R459" s="166"/>
      <c r="S459" s="166"/>
      <c r="T459" s="166"/>
      <c r="U459" s="166"/>
      <c r="V459" s="166"/>
    </row>
    <row r="460" spans="17:22" ht="12">
      <c r="Q460" s="166"/>
      <c r="R460" s="166"/>
      <c r="S460" s="166"/>
      <c r="T460" s="166"/>
      <c r="U460" s="166"/>
      <c r="V460" s="166"/>
    </row>
    <row r="461" spans="17:22" ht="12">
      <c r="Q461" s="166"/>
      <c r="R461" s="166"/>
      <c r="S461" s="166"/>
      <c r="T461" s="166"/>
      <c r="U461" s="166"/>
      <c r="V461" s="166"/>
    </row>
    <row r="462" spans="17:22" ht="12">
      <c r="Q462" s="166"/>
      <c r="R462" s="166"/>
      <c r="S462" s="166"/>
      <c r="T462" s="166"/>
      <c r="U462" s="166"/>
      <c r="V462" s="166"/>
    </row>
    <row r="463" spans="17:22" ht="12">
      <c r="Q463" s="166"/>
      <c r="R463" s="166"/>
      <c r="S463" s="166"/>
      <c r="T463" s="166"/>
      <c r="U463" s="166"/>
      <c r="V463" s="166"/>
    </row>
    <row r="464" spans="17:22" ht="12">
      <c r="Q464" s="166"/>
      <c r="R464" s="166"/>
      <c r="S464" s="166"/>
      <c r="T464" s="166"/>
      <c r="U464" s="166"/>
      <c r="V464" s="166"/>
    </row>
    <row r="465" spans="17:22" ht="12">
      <c r="Q465" s="166"/>
      <c r="R465" s="166"/>
      <c r="S465" s="166"/>
      <c r="T465" s="166"/>
      <c r="U465" s="166"/>
      <c r="V465" s="166"/>
    </row>
    <row r="466" spans="17:22" ht="12">
      <c r="Q466" s="166"/>
      <c r="R466" s="166"/>
      <c r="S466" s="166"/>
      <c r="T466" s="166"/>
      <c r="U466" s="166"/>
      <c r="V466" s="166"/>
    </row>
    <row r="467" spans="17:22" ht="12">
      <c r="Q467" s="166"/>
      <c r="R467" s="166"/>
      <c r="S467" s="166"/>
      <c r="T467" s="166"/>
      <c r="U467" s="166"/>
      <c r="V467" s="166"/>
    </row>
    <row r="468" spans="17:22" ht="12">
      <c r="Q468" s="166"/>
      <c r="R468" s="166"/>
      <c r="S468" s="166"/>
      <c r="T468" s="166"/>
      <c r="U468" s="166"/>
      <c r="V468" s="166"/>
    </row>
    <row r="469" spans="17:22" ht="12">
      <c r="Q469" s="166"/>
      <c r="R469" s="166"/>
      <c r="S469" s="166"/>
      <c r="T469" s="166"/>
      <c r="U469" s="166"/>
      <c r="V469" s="166"/>
    </row>
    <row r="470" spans="17:22" ht="12">
      <c r="Q470" s="166"/>
      <c r="R470" s="166"/>
      <c r="S470" s="166"/>
      <c r="T470" s="166"/>
      <c r="U470" s="166"/>
      <c r="V470" s="166"/>
    </row>
    <row r="471" spans="17:22" ht="12">
      <c r="Q471" s="166"/>
      <c r="R471" s="166"/>
      <c r="S471" s="166"/>
      <c r="T471" s="166"/>
      <c r="U471" s="166"/>
      <c r="V471" s="166"/>
    </row>
    <row r="472" spans="17:22" ht="12">
      <c r="Q472" s="166"/>
      <c r="R472" s="166"/>
      <c r="S472" s="166"/>
      <c r="T472" s="166"/>
      <c r="U472" s="166"/>
      <c r="V472" s="166"/>
    </row>
    <row r="473" spans="17:22" ht="12">
      <c r="Q473" s="166"/>
      <c r="R473" s="166"/>
      <c r="S473" s="166"/>
      <c r="T473" s="166"/>
      <c r="U473" s="166"/>
      <c r="V473" s="166"/>
    </row>
    <row r="474" spans="17:22" ht="12">
      <c r="Q474" s="166"/>
      <c r="R474" s="166"/>
      <c r="S474" s="166"/>
      <c r="T474" s="166"/>
      <c r="U474" s="166"/>
      <c r="V474" s="166"/>
    </row>
    <row r="475" spans="17:22" ht="12">
      <c r="Q475" s="166"/>
      <c r="R475" s="166"/>
      <c r="S475" s="166"/>
      <c r="T475" s="166"/>
      <c r="U475" s="166"/>
      <c r="V475" s="166"/>
    </row>
    <row r="476" spans="17:22" ht="12">
      <c r="Q476" s="166"/>
      <c r="R476" s="166"/>
      <c r="S476" s="166"/>
      <c r="T476" s="166"/>
      <c r="U476" s="166"/>
      <c r="V476" s="166"/>
    </row>
    <row r="477" spans="17:22" ht="12">
      <c r="Q477" s="166"/>
      <c r="R477" s="166"/>
      <c r="S477" s="166"/>
      <c r="T477" s="166"/>
      <c r="U477" s="166"/>
      <c r="V477" s="166"/>
    </row>
    <row r="478" spans="17:22" ht="12">
      <c r="Q478" s="166"/>
      <c r="R478" s="166"/>
      <c r="S478" s="166"/>
      <c r="T478" s="166"/>
      <c r="U478" s="166"/>
      <c r="V478" s="166"/>
    </row>
    <row r="479" spans="17:22" ht="12">
      <c r="Q479" s="166"/>
      <c r="R479" s="166"/>
      <c r="S479" s="166"/>
      <c r="T479" s="166"/>
      <c r="U479" s="166"/>
      <c r="V479" s="166"/>
    </row>
    <row r="480" spans="17:22" ht="12">
      <c r="Q480" s="166"/>
      <c r="R480" s="166"/>
      <c r="S480" s="166"/>
      <c r="T480" s="166"/>
      <c r="U480" s="166"/>
      <c r="V480" s="166"/>
    </row>
    <row r="481" spans="17:22" ht="12">
      <c r="Q481" s="166"/>
      <c r="R481" s="166"/>
      <c r="S481" s="166"/>
      <c r="T481" s="166"/>
      <c r="U481" s="166"/>
      <c r="V481" s="166"/>
    </row>
    <row r="482" spans="17:22" ht="12">
      <c r="Q482" s="166"/>
      <c r="R482" s="166"/>
      <c r="S482" s="166"/>
      <c r="T482" s="166"/>
      <c r="U482" s="166"/>
      <c r="V482" s="166"/>
    </row>
    <row r="483" spans="17:22" ht="12">
      <c r="Q483" s="166"/>
      <c r="R483" s="166"/>
      <c r="S483" s="166"/>
      <c r="T483" s="166"/>
      <c r="U483" s="166"/>
      <c r="V483" s="166"/>
    </row>
    <row r="484" spans="17:22" ht="12">
      <c r="Q484" s="166"/>
      <c r="R484" s="166"/>
      <c r="S484" s="166"/>
      <c r="T484" s="166"/>
      <c r="U484" s="166"/>
      <c r="V484" s="166"/>
    </row>
    <row r="485" spans="17:22" ht="12">
      <c r="Q485" s="166"/>
      <c r="R485" s="166"/>
      <c r="S485" s="166"/>
      <c r="T485" s="166"/>
      <c r="U485" s="166"/>
      <c r="V485" s="166"/>
    </row>
    <row r="486" spans="17:22" ht="12">
      <c r="Q486" s="166"/>
      <c r="R486" s="166"/>
      <c r="S486" s="166"/>
      <c r="T486" s="166"/>
      <c r="U486" s="166"/>
      <c r="V486" s="166"/>
    </row>
    <row r="487" spans="17:22" ht="12">
      <c r="Q487" s="166"/>
      <c r="R487" s="166"/>
      <c r="S487" s="166"/>
      <c r="T487" s="166"/>
      <c r="U487" s="166"/>
      <c r="V487" s="166"/>
    </row>
    <row r="488" spans="17:22" ht="12">
      <c r="Q488" s="166"/>
      <c r="R488" s="166"/>
      <c r="S488" s="166"/>
      <c r="T488" s="166"/>
      <c r="U488" s="166"/>
      <c r="V488" s="166"/>
    </row>
    <row r="489" spans="17:22" ht="12">
      <c r="Q489" s="166"/>
      <c r="R489" s="166"/>
      <c r="S489" s="166"/>
      <c r="T489" s="166"/>
      <c r="U489" s="166"/>
      <c r="V489" s="166"/>
    </row>
    <row r="490" spans="17:22" ht="12">
      <c r="Q490" s="166"/>
      <c r="R490" s="166"/>
      <c r="S490" s="166"/>
      <c r="T490" s="166"/>
      <c r="U490" s="166"/>
      <c r="V490" s="166"/>
    </row>
    <row r="491" spans="17:22" ht="12">
      <c r="Q491" s="166"/>
      <c r="R491" s="166"/>
      <c r="S491" s="166"/>
      <c r="T491" s="166"/>
      <c r="U491" s="166"/>
      <c r="V491" s="166"/>
    </row>
    <row r="492" spans="17:22" ht="12">
      <c r="Q492" s="166"/>
      <c r="R492" s="166"/>
      <c r="S492" s="166"/>
      <c r="T492" s="166"/>
      <c r="U492" s="166"/>
      <c r="V492" s="166"/>
    </row>
    <row r="493" spans="17:22" ht="12">
      <c r="Q493" s="166"/>
      <c r="R493" s="166"/>
      <c r="S493" s="166"/>
      <c r="T493" s="166"/>
      <c r="U493" s="166"/>
      <c r="V493" s="166"/>
    </row>
    <row r="494" spans="17:22" ht="12">
      <c r="Q494" s="166"/>
      <c r="R494" s="166"/>
      <c r="S494" s="166"/>
      <c r="T494" s="166"/>
      <c r="U494" s="166"/>
      <c r="V494" s="166"/>
    </row>
    <row r="495" spans="17:22" ht="12">
      <c r="Q495" s="166"/>
      <c r="R495" s="166"/>
      <c r="S495" s="166"/>
      <c r="T495" s="166"/>
      <c r="U495" s="166"/>
      <c r="V495" s="166"/>
    </row>
    <row r="496" spans="17:22" ht="12">
      <c r="Q496" s="166"/>
      <c r="R496" s="166"/>
      <c r="S496" s="166"/>
      <c r="T496" s="166"/>
      <c r="U496" s="166"/>
      <c r="V496" s="166"/>
    </row>
    <row r="497" spans="17:22" ht="12">
      <c r="Q497" s="166"/>
      <c r="R497" s="166"/>
      <c r="S497" s="166"/>
      <c r="T497" s="166"/>
      <c r="U497" s="166"/>
      <c r="V497" s="166"/>
    </row>
    <row r="498" spans="17:22" ht="12">
      <c r="Q498" s="166"/>
      <c r="R498" s="166"/>
      <c r="S498" s="166"/>
      <c r="T498" s="166"/>
      <c r="U498" s="166"/>
      <c r="V498" s="166"/>
    </row>
    <row r="499" spans="17:22" ht="12">
      <c r="Q499" s="166"/>
      <c r="R499" s="166"/>
      <c r="S499" s="166"/>
      <c r="T499" s="166"/>
      <c r="U499" s="166"/>
      <c r="V499" s="166"/>
    </row>
    <row r="500" spans="17:22" ht="12">
      <c r="Q500" s="166"/>
      <c r="R500" s="166"/>
      <c r="S500" s="166"/>
      <c r="T500" s="166"/>
      <c r="U500" s="166"/>
      <c r="V500" s="166"/>
    </row>
    <row r="501" spans="17:22" ht="12">
      <c r="Q501" s="166"/>
      <c r="R501" s="166"/>
      <c r="S501" s="166"/>
      <c r="T501" s="166"/>
      <c r="U501" s="166"/>
      <c r="V501" s="166"/>
    </row>
    <row r="502" spans="17:22" ht="12">
      <c r="Q502" s="166"/>
      <c r="R502" s="166"/>
      <c r="S502" s="166"/>
      <c r="T502" s="166"/>
      <c r="U502" s="166"/>
      <c r="V502" s="166"/>
    </row>
    <row r="503" spans="17:22" ht="12">
      <c r="Q503" s="166"/>
      <c r="R503" s="166"/>
      <c r="S503" s="166"/>
      <c r="T503" s="166"/>
      <c r="U503" s="166"/>
      <c r="V503" s="166"/>
    </row>
    <row r="504" spans="17:22" ht="12">
      <c r="Q504" s="166"/>
      <c r="R504" s="166"/>
      <c r="S504" s="166"/>
      <c r="T504" s="166"/>
      <c r="U504" s="166"/>
      <c r="V504" s="166"/>
    </row>
    <row r="505" spans="17:22" ht="12">
      <c r="Q505" s="166"/>
      <c r="R505" s="166"/>
      <c r="S505" s="166"/>
      <c r="T505" s="166"/>
      <c r="U505" s="166"/>
      <c r="V505" s="166"/>
    </row>
    <row r="506" spans="17:22" ht="12">
      <c r="Q506" s="166"/>
      <c r="R506" s="166"/>
      <c r="S506" s="166"/>
      <c r="T506" s="166"/>
      <c r="U506" s="166"/>
      <c r="V506" s="166"/>
    </row>
    <row r="507" spans="17:22" ht="12">
      <c r="Q507" s="166"/>
      <c r="R507" s="166"/>
      <c r="S507" s="166"/>
      <c r="T507" s="166"/>
      <c r="U507" s="166"/>
      <c r="V507" s="166"/>
    </row>
    <row r="508" spans="17:22" ht="12">
      <c r="Q508" s="166"/>
      <c r="R508" s="166"/>
      <c r="S508" s="166"/>
      <c r="T508" s="166"/>
      <c r="U508" s="166"/>
      <c r="V508" s="166"/>
    </row>
    <row r="509" spans="17:22" ht="12">
      <c r="Q509" s="166"/>
      <c r="R509" s="166"/>
      <c r="S509" s="166"/>
      <c r="T509" s="166"/>
      <c r="U509" s="166"/>
      <c r="V509" s="166"/>
    </row>
    <row r="510" spans="17:22" ht="12">
      <c r="Q510" s="166"/>
      <c r="R510" s="166"/>
      <c r="S510" s="166"/>
      <c r="T510" s="166"/>
      <c r="U510" s="166"/>
      <c r="V510" s="166"/>
    </row>
    <row r="511" spans="17:22" ht="12">
      <c r="Q511" s="166"/>
      <c r="R511" s="166"/>
      <c r="S511" s="166"/>
      <c r="T511" s="166"/>
      <c r="U511" s="166"/>
      <c r="V511" s="166"/>
    </row>
    <row r="512" spans="17:22" ht="12">
      <c r="Q512" s="166"/>
      <c r="R512" s="166"/>
      <c r="S512" s="166"/>
      <c r="T512" s="166"/>
      <c r="U512" s="166"/>
      <c r="V512" s="166"/>
    </row>
    <row r="513" spans="17:22" ht="12">
      <c r="Q513" s="166"/>
      <c r="R513" s="166"/>
      <c r="S513" s="166"/>
      <c r="T513" s="166"/>
      <c r="U513" s="166"/>
      <c r="V513" s="166"/>
    </row>
    <row r="514" spans="17:22" ht="12">
      <c r="Q514" s="166"/>
      <c r="R514" s="166"/>
      <c r="S514" s="166"/>
      <c r="T514" s="166"/>
      <c r="U514" s="166"/>
      <c r="V514" s="166"/>
    </row>
    <row r="515" spans="17:22" ht="12">
      <c r="Q515" s="166"/>
      <c r="R515" s="166"/>
      <c r="S515" s="166"/>
      <c r="T515" s="166"/>
      <c r="U515" s="166"/>
      <c r="V515" s="166"/>
    </row>
    <row r="516" spans="17:22" ht="12">
      <c r="Q516" s="166"/>
      <c r="R516" s="166"/>
      <c r="S516" s="166"/>
      <c r="T516" s="166"/>
      <c r="U516" s="166"/>
      <c r="V516" s="166"/>
    </row>
    <row r="517" spans="17:22" ht="12">
      <c r="Q517" s="166"/>
      <c r="R517" s="166"/>
      <c r="S517" s="166"/>
      <c r="T517" s="166"/>
      <c r="U517" s="166"/>
      <c r="V517" s="166"/>
    </row>
    <row r="518" spans="17:22" ht="12">
      <c r="Q518" s="166"/>
      <c r="R518" s="166"/>
      <c r="S518" s="166"/>
      <c r="T518" s="166"/>
      <c r="U518" s="166"/>
      <c r="V518" s="166"/>
    </row>
    <row r="519" spans="17:22" ht="12">
      <c r="Q519" s="166"/>
      <c r="R519" s="166"/>
      <c r="S519" s="166"/>
      <c r="T519" s="166"/>
      <c r="U519" s="166"/>
      <c r="V519" s="166"/>
    </row>
    <row r="520" spans="17:22" ht="12">
      <c r="Q520" s="166"/>
      <c r="R520" s="166"/>
      <c r="S520" s="166"/>
      <c r="T520" s="166"/>
      <c r="U520" s="166"/>
      <c r="V520" s="166"/>
    </row>
    <row r="521" spans="17:22" ht="12">
      <c r="Q521" s="166"/>
      <c r="R521" s="166"/>
      <c r="S521" s="166"/>
      <c r="T521" s="166"/>
      <c r="U521" s="166"/>
      <c r="V521" s="166"/>
    </row>
    <row r="522" spans="17:22" ht="12">
      <c r="Q522" s="166"/>
      <c r="R522" s="166"/>
      <c r="S522" s="166"/>
      <c r="T522" s="166"/>
      <c r="U522" s="166"/>
      <c r="V522" s="166"/>
    </row>
    <row r="523" spans="17:22" ht="12">
      <c r="Q523" s="166"/>
      <c r="R523" s="166"/>
      <c r="S523" s="166"/>
      <c r="T523" s="166"/>
      <c r="U523" s="166"/>
      <c r="V523" s="166"/>
    </row>
    <row r="524" spans="17:22" ht="12">
      <c r="Q524" s="166"/>
      <c r="R524" s="166"/>
      <c r="S524" s="166"/>
      <c r="T524" s="166"/>
      <c r="U524" s="166"/>
      <c r="V524" s="166"/>
    </row>
    <row r="525" spans="17:22" ht="12">
      <c r="Q525" s="166"/>
      <c r="R525" s="166"/>
      <c r="S525" s="166"/>
      <c r="T525" s="166"/>
      <c r="U525" s="166"/>
      <c r="V525" s="166"/>
    </row>
    <row r="526" spans="17:22" ht="12">
      <c r="Q526" s="166"/>
      <c r="R526" s="166"/>
      <c r="S526" s="166"/>
      <c r="T526" s="166"/>
      <c r="U526" s="166"/>
      <c r="V526" s="166"/>
    </row>
    <row r="527" spans="17:22" ht="12">
      <c r="Q527" s="166"/>
      <c r="R527" s="166"/>
      <c r="S527" s="166"/>
      <c r="T527" s="166"/>
      <c r="U527" s="166"/>
      <c r="V527" s="166"/>
    </row>
    <row r="528" spans="17:22" ht="12">
      <c r="Q528" s="166"/>
      <c r="R528" s="166"/>
      <c r="S528" s="166"/>
      <c r="T528" s="166"/>
      <c r="U528" s="166"/>
      <c r="V528" s="166"/>
    </row>
    <row r="529" spans="17:22" ht="12">
      <c r="Q529" s="166"/>
      <c r="R529" s="166"/>
      <c r="S529" s="166"/>
      <c r="T529" s="166"/>
      <c r="U529" s="166"/>
      <c r="V529" s="166"/>
    </row>
    <row r="530" spans="17:22" ht="12">
      <c r="Q530" s="166"/>
      <c r="R530" s="166"/>
      <c r="S530" s="166"/>
      <c r="T530" s="166"/>
      <c r="U530" s="166"/>
      <c r="V530" s="166"/>
    </row>
    <row r="531" spans="17:22" ht="12">
      <c r="Q531" s="166"/>
      <c r="R531" s="166"/>
      <c r="S531" s="166"/>
      <c r="T531" s="166"/>
      <c r="U531" s="166"/>
      <c r="V531" s="166"/>
    </row>
    <row r="532" spans="17:22" ht="12">
      <c r="Q532" s="166"/>
      <c r="R532" s="166"/>
      <c r="S532" s="166"/>
      <c r="T532" s="166"/>
      <c r="U532" s="166"/>
      <c r="V532" s="166"/>
    </row>
    <row r="533" spans="17:22" ht="12">
      <c r="Q533" s="166"/>
      <c r="R533" s="166"/>
      <c r="S533" s="166"/>
      <c r="T533" s="166"/>
      <c r="U533" s="166"/>
      <c r="V533" s="166"/>
    </row>
    <row r="534" spans="17:22" ht="12">
      <c r="Q534" s="166"/>
      <c r="R534" s="166"/>
      <c r="S534" s="166"/>
      <c r="T534" s="166"/>
      <c r="U534" s="166"/>
      <c r="V534" s="166"/>
    </row>
    <row r="535" spans="17:22" ht="12">
      <c r="Q535" s="166"/>
      <c r="R535" s="166"/>
      <c r="S535" s="166"/>
      <c r="T535" s="166"/>
      <c r="U535" s="166"/>
      <c r="V535" s="166"/>
    </row>
    <row r="536" spans="17:22" ht="12">
      <c r="Q536" s="166"/>
      <c r="R536" s="166"/>
      <c r="S536" s="166"/>
      <c r="T536" s="166"/>
      <c r="U536" s="166"/>
      <c r="V536" s="166"/>
    </row>
    <row r="537" spans="17:22" ht="12">
      <c r="Q537" s="166"/>
      <c r="R537" s="166"/>
      <c r="S537" s="166"/>
      <c r="T537" s="166"/>
      <c r="U537" s="166"/>
      <c r="V537" s="166"/>
    </row>
    <row r="538" spans="17:22" ht="12">
      <c r="Q538" s="166"/>
      <c r="R538" s="166"/>
      <c r="S538" s="166"/>
      <c r="T538" s="166"/>
      <c r="U538" s="166"/>
      <c r="V538" s="166"/>
    </row>
    <row r="539" spans="17:22" ht="12">
      <c r="Q539" s="166"/>
      <c r="R539" s="166"/>
      <c r="S539" s="166"/>
      <c r="T539" s="166"/>
      <c r="U539" s="166"/>
      <c r="V539" s="166"/>
    </row>
    <row r="540" spans="17:22" ht="12">
      <c r="Q540" s="166"/>
      <c r="R540" s="166"/>
      <c r="S540" s="166"/>
      <c r="T540" s="166"/>
      <c r="U540" s="166"/>
      <c r="V540" s="166"/>
    </row>
    <row r="541" spans="17:22" ht="12">
      <c r="Q541" s="166"/>
      <c r="R541" s="166"/>
      <c r="S541" s="166"/>
      <c r="T541" s="166"/>
      <c r="U541" s="166"/>
      <c r="V541" s="166"/>
    </row>
    <row r="542" spans="17:22" ht="12">
      <c r="Q542" s="166"/>
      <c r="R542" s="166"/>
      <c r="S542" s="166"/>
      <c r="T542" s="166"/>
      <c r="U542" s="166"/>
      <c r="V542" s="166"/>
    </row>
    <row r="543" spans="17:22" ht="12">
      <c r="Q543" s="166"/>
      <c r="R543" s="166"/>
      <c r="S543" s="166"/>
      <c r="T543" s="166"/>
      <c r="U543" s="166"/>
      <c r="V543" s="166"/>
    </row>
    <row r="544" spans="17:22" ht="12">
      <c r="Q544" s="166"/>
      <c r="R544" s="166"/>
      <c r="S544" s="166"/>
      <c r="T544" s="166"/>
      <c r="U544" s="166"/>
      <c r="V544" s="166"/>
    </row>
    <row r="545" spans="17:22" ht="12">
      <c r="Q545" s="166"/>
      <c r="R545" s="166"/>
      <c r="S545" s="166"/>
      <c r="T545" s="166"/>
      <c r="U545" s="166"/>
      <c r="V545" s="166"/>
    </row>
    <row r="546" spans="17:22" ht="12">
      <c r="Q546" s="166"/>
      <c r="R546" s="166"/>
      <c r="S546" s="166"/>
      <c r="T546" s="166"/>
      <c r="U546" s="166"/>
      <c r="V546" s="166"/>
    </row>
    <row r="547" spans="17:22" ht="12">
      <c r="Q547" s="166"/>
      <c r="R547" s="166"/>
      <c r="S547" s="166"/>
      <c r="T547" s="166"/>
      <c r="U547" s="166"/>
      <c r="V547" s="166"/>
    </row>
    <row r="548" spans="17:22" ht="12">
      <c r="Q548" s="166"/>
      <c r="R548" s="166"/>
      <c r="S548" s="166"/>
      <c r="T548" s="166"/>
      <c r="U548" s="166"/>
      <c r="V548" s="166"/>
    </row>
    <row r="549" spans="17:22" ht="12">
      <c r="Q549" s="166"/>
      <c r="R549" s="166"/>
      <c r="S549" s="166"/>
      <c r="T549" s="166"/>
      <c r="U549" s="166"/>
      <c r="V549" s="166"/>
    </row>
    <row r="550" spans="17:22" ht="12">
      <c r="Q550" s="166"/>
      <c r="R550" s="166"/>
      <c r="S550" s="166"/>
      <c r="T550" s="166"/>
      <c r="U550" s="166"/>
      <c r="V550" s="166"/>
    </row>
    <row r="551" spans="17:22" ht="12">
      <c r="Q551" s="166"/>
      <c r="R551" s="166"/>
      <c r="S551" s="166"/>
      <c r="T551" s="166"/>
      <c r="U551" s="166"/>
      <c r="V551" s="166"/>
    </row>
    <row r="552" spans="17:22" ht="12">
      <c r="Q552" s="166"/>
      <c r="R552" s="166"/>
      <c r="S552" s="166"/>
      <c r="T552" s="166"/>
      <c r="U552" s="166"/>
      <c r="V552" s="166"/>
    </row>
    <row r="553" spans="17:22" ht="12">
      <c r="Q553" s="166"/>
      <c r="R553" s="166"/>
      <c r="S553" s="166"/>
      <c r="T553" s="166"/>
      <c r="U553" s="166"/>
      <c r="V553" s="166"/>
    </row>
    <row r="554" spans="17:22" ht="12">
      <c r="Q554" s="166"/>
      <c r="R554" s="166"/>
      <c r="S554" s="166"/>
      <c r="T554" s="166"/>
      <c r="U554" s="166"/>
      <c r="V554" s="166"/>
    </row>
    <row r="555" spans="17:22" ht="12">
      <c r="Q555" s="166"/>
      <c r="R555" s="166"/>
      <c r="S555" s="166"/>
      <c r="T555" s="166"/>
      <c r="U555" s="166"/>
      <c r="V555" s="166"/>
    </row>
    <row r="556" spans="17:22" ht="12">
      <c r="Q556" s="166"/>
      <c r="R556" s="166"/>
      <c r="S556" s="166"/>
      <c r="T556" s="166"/>
      <c r="U556" s="166"/>
      <c r="V556" s="166"/>
    </row>
    <row r="557" spans="17:22" ht="12">
      <c r="Q557" s="166"/>
      <c r="R557" s="166"/>
      <c r="S557" s="166"/>
      <c r="T557" s="166"/>
      <c r="U557" s="166"/>
      <c r="V557" s="166"/>
    </row>
    <row r="558" spans="17:22" ht="12">
      <c r="Q558" s="166"/>
      <c r="R558" s="166"/>
      <c r="S558" s="166"/>
      <c r="T558" s="166"/>
      <c r="U558" s="166"/>
      <c r="V558" s="166"/>
    </row>
    <row r="559" spans="17:22" ht="12">
      <c r="Q559" s="166"/>
      <c r="R559" s="166"/>
      <c r="S559" s="166"/>
      <c r="T559" s="166"/>
      <c r="U559" s="166"/>
      <c r="V559" s="166"/>
    </row>
    <row r="560" spans="17:22" ht="12">
      <c r="Q560" s="166"/>
      <c r="R560" s="166"/>
      <c r="S560" s="166"/>
      <c r="T560" s="166"/>
      <c r="U560" s="166"/>
      <c r="V560" s="166"/>
    </row>
    <row r="561" spans="17:22" ht="12">
      <c r="Q561" s="166"/>
      <c r="R561" s="166"/>
      <c r="S561" s="166"/>
      <c r="T561" s="166"/>
      <c r="U561" s="166"/>
      <c r="V561" s="166"/>
    </row>
    <row r="562" spans="17:22" ht="12">
      <c r="Q562" s="166"/>
      <c r="R562" s="166"/>
      <c r="S562" s="166"/>
      <c r="T562" s="166"/>
      <c r="U562" s="166"/>
      <c r="V562" s="166"/>
    </row>
    <row r="563" spans="17:22" ht="12">
      <c r="Q563" s="166"/>
      <c r="R563" s="166"/>
      <c r="S563" s="166"/>
      <c r="T563" s="166"/>
      <c r="U563" s="166"/>
      <c r="V563" s="166"/>
    </row>
    <row r="564" spans="17:22" ht="12">
      <c r="Q564" s="166"/>
      <c r="R564" s="166"/>
      <c r="S564" s="166"/>
      <c r="T564" s="166"/>
      <c r="U564" s="166"/>
      <c r="V564" s="166"/>
    </row>
    <row r="565" spans="17:22" ht="12">
      <c r="Q565" s="166"/>
      <c r="R565" s="166"/>
      <c r="S565" s="166"/>
      <c r="T565" s="166"/>
      <c r="U565" s="166"/>
      <c r="V565" s="166"/>
    </row>
    <row r="566" spans="17:22" ht="12">
      <c r="Q566" s="166"/>
      <c r="R566" s="166"/>
      <c r="S566" s="166"/>
      <c r="T566" s="166"/>
      <c r="U566" s="166"/>
      <c r="V566" s="166"/>
    </row>
    <row r="567" spans="17:22" ht="12">
      <c r="Q567" s="166"/>
      <c r="R567" s="166"/>
      <c r="S567" s="166"/>
      <c r="T567" s="166"/>
      <c r="U567" s="166"/>
      <c r="V567" s="166"/>
    </row>
    <row r="568" spans="17:22" ht="12">
      <c r="Q568" s="166"/>
      <c r="R568" s="166"/>
      <c r="S568" s="166"/>
      <c r="T568" s="166"/>
      <c r="U568" s="166"/>
      <c r="V568" s="166"/>
    </row>
    <row r="569" spans="17:22" ht="12">
      <c r="Q569" s="166"/>
      <c r="R569" s="166"/>
      <c r="S569" s="166"/>
      <c r="T569" s="166"/>
      <c r="U569" s="166"/>
      <c r="V569" s="166"/>
    </row>
    <row r="570" spans="17:22" ht="12">
      <c r="Q570" s="166"/>
      <c r="R570" s="166"/>
      <c r="S570" s="166"/>
      <c r="T570" s="166"/>
      <c r="U570" s="166"/>
      <c r="V570" s="166"/>
    </row>
    <row r="571" spans="17:22" ht="12">
      <c r="Q571" s="166"/>
      <c r="R571" s="166"/>
      <c r="S571" s="166"/>
      <c r="T571" s="166"/>
      <c r="U571" s="166"/>
      <c r="V571" s="166"/>
    </row>
    <row r="572" spans="17:22" ht="12">
      <c r="Q572" s="166"/>
      <c r="R572" s="166"/>
      <c r="S572" s="166"/>
      <c r="T572" s="166"/>
      <c r="U572" s="166"/>
      <c r="V572" s="166"/>
    </row>
    <row r="573" spans="17:22" ht="12">
      <c r="Q573" s="166"/>
      <c r="R573" s="166"/>
      <c r="S573" s="166"/>
      <c r="T573" s="166"/>
      <c r="U573" s="166"/>
      <c r="V573" s="166"/>
    </row>
    <row r="574" spans="17:22" ht="12">
      <c r="Q574" s="166"/>
      <c r="R574" s="166"/>
      <c r="S574" s="166"/>
      <c r="T574" s="166"/>
      <c r="U574" s="166"/>
      <c r="V574" s="166"/>
    </row>
    <row r="575" spans="17:22" ht="12">
      <c r="Q575" s="166"/>
      <c r="R575" s="166"/>
      <c r="S575" s="166"/>
      <c r="T575" s="166"/>
      <c r="U575" s="166"/>
      <c r="V575" s="166"/>
    </row>
    <row r="576" spans="17:22" ht="12">
      <c r="Q576" s="166"/>
      <c r="R576" s="166"/>
      <c r="S576" s="166"/>
      <c r="T576" s="166"/>
      <c r="U576" s="166"/>
      <c r="V576" s="166"/>
    </row>
    <row r="577" spans="17:22" ht="12">
      <c r="Q577" s="166"/>
      <c r="R577" s="166"/>
      <c r="S577" s="166"/>
      <c r="T577" s="166"/>
      <c r="U577" s="166"/>
      <c r="V577" s="166"/>
    </row>
    <row r="578" spans="17:22" ht="12">
      <c r="Q578" s="166"/>
      <c r="R578" s="166"/>
      <c r="S578" s="166"/>
      <c r="T578" s="166"/>
      <c r="U578" s="166"/>
      <c r="V578" s="166"/>
    </row>
    <row r="579" spans="17:22" ht="12">
      <c r="Q579" s="166"/>
      <c r="R579" s="166"/>
      <c r="S579" s="166"/>
      <c r="T579" s="166"/>
      <c r="U579" s="166"/>
      <c r="V579" s="166"/>
    </row>
    <row r="580" spans="17:22" ht="12">
      <c r="Q580" s="166"/>
      <c r="R580" s="166"/>
      <c r="S580" s="166"/>
      <c r="T580" s="166"/>
      <c r="U580" s="166"/>
      <c r="V580" s="166"/>
    </row>
    <row r="581" spans="17:22" ht="12">
      <c r="Q581" s="166"/>
      <c r="R581" s="166"/>
      <c r="S581" s="166"/>
      <c r="T581" s="166"/>
      <c r="U581" s="166"/>
      <c r="V581" s="166"/>
    </row>
    <row r="582" spans="17:22" ht="12">
      <c r="Q582" s="166"/>
      <c r="R582" s="166"/>
      <c r="S582" s="166"/>
      <c r="T582" s="166"/>
      <c r="U582" s="166"/>
      <c r="V582" s="166"/>
    </row>
    <row r="583" spans="17:22" ht="12">
      <c r="Q583" s="166"/>
      <c r="R583" s="166"/>
      <c r="S583" s="166"/>
      <c r="T583" s="166"/>
      <c r="U583" s="166"/>
      <c r="V583" s="166"/>
    </row>
    <row r="584" spans="17:22" ht="12">
      <c r="Q584" s="166"/>
      <c r="R584" s="166"/>
      <c r="S584" s="166"/>
      <c r="T584" s="166"/>
      <c r="U584" s="166"/>
      <c r="V584" s="166"/>
    </row>
    <row r="585" spans="17:22" ht="12">
      <c r="Q585" s="166"/>
      <c r="R585" s="166"/>
      <c r="S585" s="166"/>
      <c r="T585" s="166"/>
      <c r="U585" s="166"/>
      <c r="V585" s="166"/>
    </row>
    <row r="586" spans="17:22" ht="12">
      <c r="Q586" s="166"/>
      <c r="R586" s="166"/>
      <c r="S586" s="166"/>
      <c r="T586" s="166"/>
      <c r="U586" s="166"/>
      <c r="V586" s="166"/>
    </row>
    <row r="587" spans="17:22" ht="12">
      <c r="Q587" s="166"/>
      <c r="R587" s="166"/>
      <c r="S587" s="166"/>
      <c r="T587" s="166"/>
      <c r="U587" s="166"/>
      <c r="V587" s="166"/>
    </row>
    <row r="588" spans="17:22" ht="12">
      <c r="Q588" s="166"/>
      <c r="R588" s="166"/>
      <c r="S588" s="166"/>
      <c r="T588" s="166"/>
      <c r="U588" s="166"/>
      <c r="V588" s="166"/>
    </row>
    <row r="589" spans="17:22" ht="12">
      <c r="Q589" s="166"/>
      <c r="R589" s="166"/>
      <c r="S589" s="166"/>
      <c r="T589" s="166"/>
      <c r="U589" s="166"/>
      <c r="V589" s="166"/>
    </row>
    <row r="590" spans="17:22" ht="12">
      <c r="Q590" s="166"/>
      <c r="R590" s="166"/>
      <c r="S590" s="166"/>
      <c r="T590" s="166"/>
      <c r="U590" s="166"/>
      <c r="V590" s="166"/>
    </row>
    <row r="591" spans="17:22" ht="12">
      <c r="Q591" s="166"/>
      <c r="R591" s="166"/>
      <c r="S591" s="166"/>
      <c r="T591" s="166"/>
      <c r="U591" s="166"/>
      <c r="V591" s="166"/>
    </row>
    <row r="592" spans="17:22" ht="12">
      <c r="Q592" s="166"/>
      <c r="R592" s="166"/>
      <c r="S592" s="166"/>
      <c r="T592" s="166"/>
      <c r="U592" s="166"/>
      <c r="V592" s="166"/>
    </row>
    <row r="593" spans="17:22" ht="12">
      <c r="Q593" s="166"/>
      <c r="R593" s="166"/>
      <c r="S593" s="166"/>
      <c r="T593" s="166"/>
      <c r="U593" s="166"/>
      <c r="V593" s="166"/>
    </row>
    <row r="594" spans="17:22" ht="12">
      <c r="Q594" s="166"/>
      <c r="R594" s="166"/>
      <c r="S594" s="166"/>
      <c r="T594" s="166"/>
      <c r="U594" s="166"/>
      <c r="V594" s="166"/>
    </row>
    <row r="595" spans="17:22" ht="12">
      <c r="Q595" s="166"/>
      <c r="R595" s="166"/>
      <c r="S595" s="166"/>
      <c r="T595" s="166"/>
      <c r="U595" s="166"/>
      <c r="V595" s="166"/>
    </row>
    <row r="596" spans="17:22" ht="12">
      <c r="Q596" s="166"/>
      <c r="R596" s="166"/>
      <c r="S596" s="166"/>
      <c r="T596" s="166"/>
      <c r="U596" s="166"/>
      <c r="V596" s="166"/>
    </row>
    <row r="597" spans="17:22" ht="12">
      <c r="Q597" s="166"/>
      <c r="R597" s="166"/>
      <c r="S597" s="166"/>
      <c r="T597" s="166"/>
      <c r="U597" s="166"/>
      <c r="V597" s="166"/>
    </row>
    <row r="598" spans="17:22" ht="12">
      <c r="Q598" s="166"/>
      <c r="R598" s="166"/>
      <c r="S598" s="166"/>
      <c r="T598" s="166"/>
      <c r="U598" s="166"/>
      <c r="V598" s="166"/>
    </row>
    <row r="599" spans="17:22" ht="12">
      <c r="Q599" s="166"/>
      <c r="R599" s="166"/>
      <c r="S599" s="166"/>
      <c r="T599" s="166"/>
      <c r="U599" s="166"/>
      <c r="V599" s="166"/>
    </row>
    <row r="600" spans="17:22" ht="12">
      <c r="Q600" s="166"/>
      <c r="R600" s="166"/>
      <c r="S600" s="166"/>
      <c r="T600" s="166"/>
      <c r="U600" s="166"/>
      <c r="V600" s="166"/>
    </row>
    <row r="601" spans="17:22" ht="12">
      <c r="Q601" s="166"/>
      <c r="R601" s="166"/>
      <c r="S601" s="166"/>
      <c r="T601" s="166"/>
      <c r="U601" s="166"/>
      <c r="V601" s="166"/>
    </row>
    <row r="602" spans="17:22" ht="12">
      <c r="Q602" s="166"/>
      <c r="R602" s="166"/>
      <c r="S602" s="166"/>
      <c r="T602" s="166"/>
      <c r="U602" s="166"/>
      <c r="V602" s="166"/>
    </row>
    <row r="603" spans="17:22" ht="12">
      <c r="Q603" s="166"/>
      <c r="R603" s="166"/>
      <c r="S603" s="166"/>
      <c r="T603" s="166"/>
      <c r="U603" s="166"/>
      <c r="V603" s="166"/>
    </row>
    <row r="604" spans="17:22" ht="12">
      <c r="Q604" s="166"/>
      <c r="R604" s="166"/>
      <c r="S604" s="166"/>
      <c r="T604" s="166"/>
      <c r="U604" s="166"/>
      <c r="V604" s="166"/>
    </row>
    <row r="605" spans="17:22" ht="12">
      <c r="Q605" s="166"/>
      <c r="R605" s="166"/>
      <c r="S605" s="166"/>
      <c r="T605" s="166"/>
      <c r="U605" s="166"/>
      <c r="V605" s="166"/>
    </row>
    <row r="606" spans="17:22" ht="12">
      <c r="Q606" s="166"/>
      <c r="R606" s="166"/>
      <c r="S606" s="166"/>
      <c r="T606" s="166"/>
      <c r="U606" s="166"/>
      <c r="V606" s="166"/>
    </row>
    <row r="607" spans="17:22" ht="12">
      <c r="Q607" s="166"/>
      <c r="R607" s="166"/>
      <c r="S607" s="166"/>
      <c r="T607" s="166"/>
      <c r="U607" s="166"/>
      <c r="V607" s="166"/>
    </row>
    <row r="608" spans="17:22" ht="12">
      <c r="Q608" s="166"/>
      <c r="R608" s="166"/>
      <c r="S608" s="166"/>
      <c r="T608" s="166"/>
      <c r="U608" s="166"/>
      <c r="V608" s="166"/>
    </row>
    <row r="609" spans="17:22" ht="12">
      <c r="Q609" s="166"/>
      <c r="R609" s="166"/>
      <c r="S609" s="166"/>
      <c r="T609" s="166"/>
      <c r="U609" s="166"/>
      <c r="V609" s="166"/>
    </row>
    <row r="610" spans="17:22" ht="12">
      <c r="Q610" s="166"/>
      <c r="R610" s="166"/>
      <c r="S610" s="166"/>
      <c r="T610" s="166"/>
      <c r="U610" s="166"/>
      <c r="V610" s="166"/>
    </row>
    <row r="611" spans="17:22" ht="12">
      <c r="Q611" s="166"/>
      <c r="R611" s="166"/>
      <c r="S611" s="166"/>
      <c r="T611" s="166"/>
      <c r="U611" s="166"/>
      <c r="V611" s="166"/>
    </row>
    <row r="612" spans="17:22" ht="12">
      <c r="Q612" s="166"/>
      <c r="R612" s="166"/>
      <c r="S612" s="166"/>
      <c r="T612" s="166"/>
      <c r="U612" s="166"/>
      <c r="V612" s="166"/>
    </row>
    <row r="613" spans="17:22" ht="12">
      <c r="Q613" s="166"/>
      <c r="R613" s="166"/>
      <c r="S613" s="166"/>
      <c r="T613" s="166"/>
      <c r="U613" s="166"/>
      <c r="V613" s="166"/>
    </row>
    <row r="614" spans="17:22" ht="12">
      <c r="Q614" s="166"/>
      <c r="R614" s="166"/>
      <c r="S614" s="166"/>
      <c r="T614" s="166"/>
      <c r="U614" s="166"/>
      <c r="V614" s="166"/>
    </row>
    <row r="615" spans="17:22" ht="12">
      <c r="Q615" s="166"/>
      <c r="R615" s="166"/>
      <c r="S615" s="166"/>
      <c r="T615" s="166"/>
      <c r="U615" s="166"/>
      <c r="V615" s="166"/>
    </row>
    <row r="616" spans="17:22" ht="12">
      <c r="Q616" s="166"/>
      <c r="R616" s="166"/>
      <c r="S616" s="166"/>
      <c r="T616" s="166"/>
      <c r="U616" s="166"/>
      <c r="V616" s="166"/>
    </row>
    <row r="617" spans="17:22" ht="12">
      <c r="Q617" s="166"/>
      <c r="R617" s="166"/>
      <c r="S617" s="166"/>
      <c r="T617" s="166"/>
      <c r="U617" s="166"/>
      <c r="V617" s="166"/>
    </row>
    <row r="618" spans="17:22" ht="12">
      <c r="Q618" s="166"/>
      <c r="R618" s="166"/>
      <c r="S618" s="166"/>
      <c r="T618" s="166"/>
      <c r="U618" s="166"/>
      <c r="V618" s="166"/>
    </row>
    <row r="619" spans="17:22" ht="12">
      <c r="Q619" s="166"/>
      <c r="R619" s="166"/>
      <c r="S619" s="166"/>
      <c r="T619" s="166"/>
      <c r="U619" s="166"/>
      <c r="V619" s="166"/>
    </row>
    <row r="620" spans="17:22" ht="12">
      <c r="Q620" s="166"/>
      <c r="R620" s="166"/>
      <c r="S620" s="166"/>
      <c r="T620" s="166"/>
      <c r="U620" s="166"/>
      <c r="V620" s="166"/>
    </row>
    <row r="621" spans="17:22" ht="12">
      <c r="Q621" s="166"/>
      <c r="R621" s="166"/>
      <c r="S621" s="166"/>
      <c r="T621" s="166"/>
      <c r="U621" s="166"/>
      <c r="V621" s="166"/>
    </row>
    <row r="622" spans="17:22" ht="12">
      <c r="Q622" s="166"/>
      <c r="R622" s="166"/>
      <c r="S622" s="166"/>
      <c r="T622" s="166"/>
      <c r="U622" s="166"/>
      <c r="V622" s="166"/>
    </row>
    <row r="623" spans="17:22" ht="12">
      <c r="Q623" s="166"/>
      <c r="R623" s="166"/>
      <c r="S623" s="166"/>
      <c r="T623" s="166"/>
      <c r="U623" s="166"/>
      <c r="V623" s="166"/>
    </row>
    <row r="624" spans="17:22" ht="12">
      <c r="Q624" s="166"/>
      <c r="R624" s="166"/>
      <c r="S624" s="166"/>
      <c r="T624" s="166"/>
      <c r="U624" s="166"/>
      <c r="V624" s="166"/>
    </row>
    <row r="625" spans="17:22" ht="12">
      <c r="Q625" s="166"/>
      <c r="R625" s="166"/>
      <c r="S625" s="166"/>
      <c r="T625" s="166"/>
      <c r="U625" s="166"/>
      <c r="V625" s="166"/>
    </row>
    <row r="626" spans="17:22" ht="12">
      <c r="Q626" s="166"/>
      <c r="R626" s="166"/>
      <c r="S626" s="166"/>
      <c r="T626" s="166"/>
      <c r="U626" s="166"/>
      <c r="V626" s="166"/>
    </row>
    <row r="627" spans="17:22" ht="12">
      <c r="Q627" s="166"/>
      <c r="R627" s="166"/>
      <c r="S627" s="166"/>
      <c r="T627" s="166"/>
      <c r="U627" s="166"/>
      <c r="V627" s="166"/>
    </row>
    <row r="628" spans="17:22" ht="12">
      <c r="Q628" s="166"/>
      <c r="R628" s="166"/>
      <c r="S628" s="166"/>
      <c r="T628" s="166"/>
      <c r="U628" s="166"/>
      <c r="V628" s="166"/>
    </row>
    <row r="629" spans="17:22" ht="12">
      <c r="Q629" s="166"/>
      <c r="R629" s="166"/>
      <c r="S629" s="166"/>
      <c r="T629" s="166"/>
      <c r="U629" s="166"/>
      <c r="V629" s="166"/>
    </row>
    <row r="630" spans="17:22" ht="12">
      <c r="Q630" s="166"/>
      <c r="R630" s="166"/>
      <c r="S630" s="166"/>
      <c r="T630" s="166"/>
      <c r="U630" s="166"/>
      <c r="V630" s="166"/>
    </row>
    <row r="631" spans="17:22" ht="12">
      <c r="Q631" s="166"/>
      <c r="R631" s="166"/>
      <c r="S631" s="166"/>
      <c r="T631" s="166"/>
      <c r="U631" s="166"/>
      <c r="V631" s="166"/>
    </row>
    <row r="632" spans="17:22" ht="12">
      <c r="Q632" s="166"/>
      <c r="R632" s="166"/>
      <c r="S632" s="166"/>
      <c r="T632" s="166"/>
      <c r="U632" s="166"/>
      <c r="V632" s="166"/>
    </row>
    <row r="633" spans="17:22" ht="12">
      <c r="Q633" s="166"/>
      <c r="R633" s="166"/>
      <c r="S633" s="166"/>
      <c r="T633" s="166"/>
      <c r="U633" s="166"/>
      <c r="V633" s="166"/>
    </row>
    <row r="634" spans="17:22" ht="12">
      <c r="Q634" s="166"/>
      <c r="R634" s="166"/>
      <c r="S634" s="166"/>
      <c r="T634" s="166"/>
      <c r="U634" s="166"/>
      <c r="V634" s="166"/>
    </row>
    <row r="635" spans="17:22" ht="12">
      <c r="Q635" s="166"/>
      <c r="R635" s="166"/>
      <c r="S635" s="166"/>
      <c r="T635" s="166"/>
      <c r="U635" s="166"/>
      <c r="V635" s="166"/>
    </row>
    <row r="636" spans="17:22" ht="12">
      <c r="Q636" s="166"/>
      <c r="R636" s="166"/>
      <c r="S636" s="166"/>
      <c r="T636" s="166"/>
      <c r="U636" s="166"/>
      <c r="V636" s="166"/>
    </row>
    <row r="637" spans="17:22" ht="12">
      <c r="Q637" s="166"/>
      <c r="R637" s="166"/>
      <c r="S637" s="166"/>
      <c r="T637" s="166"/>
      <c r="U637" s="166"/>
      <c r="V637" s="166"/>
    </row>
    <row r="638" spans="17:22" ht="12">
      <c r="Q638" s="166"/>
      <c r="R638" s="166"/>
      <c r="S638" s="166"/>
      <c r="T638" s="166"/>
      <c r="U638" s="166"/>
      <c r="V638" s="166"/>
    </row>
    <row r="639" spans="17:22" ht="12">
      <c r="Q639" s="166"/>
      <c r="R639" s="166"/>
      <c r="S639" s="166"/>
      <c r="T639" s="166"/>
      <c r="U639" s="166"/>
      <c r="V639" s="166"/>
    </row>
    <row r="640" spans="17:22" ht="12">
      <c r="Q640" s="166"/>
      <c r="R640" s="166"/>
      <c r="S640" s="166"/>
      <c r="T640" s="166"/>
      <c r="U640" s="166"/>
      <c r="V640" s="166"/>
    </row>
    <row r="641" spans="17:22" ht="12">
      <c r="Q641" s="166"/>
      <c r="R641" s="166"/>
      <c r="S641" s="166"/>
      <c r="T641" s="166"/>
      <c r="U641" s="166"/>
      <c r="V641" s="166"/>
    </row>
    <row r="642" spans="17:22" ht="12">
      <c r="Q642" s="166"/>
      <c r="R642" s="166"/>
      <c r="S642" s="166"/>
      <c r="T642" s="166"/>
      <c r="U642" s="166"/>
      <c r="V642" s="166"/>
    </row>
    <row r="643" spans="17:22" ht="12">
      <c r="Q643" s="166"/>
      <c r="R643" s="166"/>
      <c r="S643" s="166"/>
      <c r="T643" s="166"/>
      <c r="U643" s="166"/>
      <c r="V643" s="166"/>
    </row>
    <row r="644" spans="17:22" ht="12">
      <c r="Q644" s="166"/>
      <c r="R644" s="166"/>
      <c r="S644" s="166"/>
      <c r="T644" s="166"/>
      <c r="U644" s="166"/>
      <c r="V644" s="166"/>
    </row>
    <row r="645" spans="17:22" ht="12">
      <c r="Q645" s="166"/>
      <c r="R645" s="166"/>
      <c r="S645" s="166"/>
      <c r="T645" s="166"/>
      <c r="U645" s="166"/>
      <c r="V645" s="166"/>
    </row>
    <row r="646" spans="17:22" ht="12">
      <c r="Q646" s="166"/>
      <c r="R646" s="166"/>
      <c r="S646" s="166"/>
      <c r="T646" s="166"/>
      <c r="U646" s="166"/>
      <c r="V646" s="166"/>
    </row>
    <row r="647" spans="17:22" ht="12">
      <c r="Q647" s="166"/>
      <c r="R647" s="166"/>
      <c r="S647" s="166"/>
      <c r="T647" s="166"/>
      <c r="U647" s="166"/>
      <c r="V647" s="166"/>
    </row>
    <row r="648" spans="17:22" ht="12">
      <c r="Q648" s="166"/>
      <c r="R648" s="166"/>
      <c r="S648" s="166"/>
      <c r="T648" s="166"/>
      <c r="U648" s="166"/>
      <c r="V648" s="166"/>
    </row>
    <row r="649" spans="17:22" ht="12">
      <c r="Q649" s="166"/>
      <c r="R649" s="166"/>
      <c r="S649" s="166"/>
      <c r="T649" s="166"/>
      <c r="U649" s="166"/>
      <c r="V649" s="166"/>
    </row>
    <row r="650" spans="17:22" ht="12">
      <c r="Q650" s="166"/>
      <c r="R650" s="166"/>
      <c r="S650" s="166"/>
      <c r="T650" s="166"/>
      <c r="U650" s="166"/>
      <c r="V650" s="166"/>
    </row>
    <row r="651" spans="17:22" ht="12">
      <c r="Q651" s="166"/>
      <c r="R651" s="166"/>
      <c r="S651" s="166"/>
      <c r="T651" s="166"/>
      <c r="U651" s="166"/>
      <c r="V651" s="166"/>
    </row>
    <row r="652" spans="17:22" ht="12">
      <c r="Q652" s="166"/>
      <c r="R652" s="166"/>
      <c r="S652" s="166"/>
      <c r="T652" s="166"/>
      <c r="U652" s="166"/>
      <c r="V652" s="166"/>
    </row>
    <row r="653" spans="17:22" ht="12">
      <c r="Q653" s="166"/>
      <c r="R653" s="166"/>
      <c r="S653" s="166"/>
      <c r="T653" s="166"/>
      <c r="U653" s="166"/>
      <c r="V653" s="166"/>
    </row>
    <row r="654" spans="17:22" ht="12">
      <c r="Q654" s="166"/>
      <c r="R654" s="166"/>
      <c r="S654" s="166"/>
      <c r="T654" s="166"/>
      <c r="U654" s="166"/>
      <c r="V654" s="166"/>
    </row>
    <row r="655" spans="17:22" ht="12">
      <c r="Q655" s="166"/>
      <c r="R655" s="166"/>
      <c r="S655" s="166"/>
      <c r="T655" s="166"/>
      <c r="U655" s="166"/>
      <c r="V655" s="166"/>
    </row>
    <row r="656" spans="17:22" ht="12">
      <c r="Q656" s="166"/>
      <c r="R656" s="166"/>
      <c r="S656" s="166"/>
      <c r="T656" s="166"/>
      <c r="U656" s="166"/>
      <c r="V656" s="166"/>
    </row>
    <row r="657" spans="17:22" ht="12">
      <c r="Q657" s="166"/>
      <c r="R657" s="166"/>
      <c r="S657" s="166"/>
      <c r="T657" s="166"/>
      <c r="U657" s="166"/>
      <c r="V657" s="166"/>
    </row>
    <row r="658" spans="17:22" ht="12">
      <c r="Q658" s="166"/>
      <c r="R658" s="166"/>
      <c r="S658" s="166"/>
      <c r="T658" s="166"/>
      <c r="U658" s="166"/>
      <c r="V658" s="166"/>
    </row>
    <row r="659" spans="17:22" ht="12">
      <c r="Q659" s="166"/>
      <c r="R659" s="166"/>
      <c r="S659" s="166"/>
      <c r="T659" s="166"/>
      <c r="U659" s="166"/>
      <c r="V659" s="166"/>
    </row>
    <row r="660" spans="17:22" ht="12">
      <c r="Q660" s="166"/>
      <c r="R660" s="166"/>
      <c r="S660" s="166"/>
      <c r="T660" s="166"/>
      <c r="U660" s="166"/>
      <c r="V660" s="166"/>
    </row>
    <row r="661" spans="17:22" ht="12">
      <c r="Q661" s="166"/>
      <c r="R661" s="166"/>
      <c r="S661" s="166"/>
      <c r="T661" s="166"/>
      <c r="U661" s="166"/>
      <c r="V661" s="166"/>
    </row>
    <row r="662" spans="17:22" ht="12">
      <c r="Q662" s="166"/>
      <c r="R662" s="166"/>
      <c r="S662" s="166"/>
      <c r="T662" s="166"/>
      <c r="U662" s="166"/>
      <c r="V662" s="166"/>
    </row>
    <row r="663" spans="17:22" ht="12">
      <c r="Q663" s="166"/>
      <c r="R663" s="166"/>
      <c r="S663" s="166"/>
      <c r="T663" s="166"/>
      <c r="U663" s="166"/>
      <c r="V663" s="166"/>
    </row>
    <row r="664" spans="17:22" ht="12">
      <c r="Q664" s="166"/>
      <c r="R664" s="166"/>
      <c r="S664" s="166"/>
      <c r="T664" s="166"/>
      <c r="U664" s="166"/>
      <c r="V664" s="166"/>
    </row>
    <row r="665" spans="17:22" ht="12">
      <c r="Q665" s="166"/>
      <c r="R665" s="166"/>
      <c r="S665" s="166"/>
      <c r="T665" s="166"/>
      <c r="U665" s="166"/>
      <c r="V665" s="166"/>
    </row>
    <row r="666" spans="17:22" ht="12">
      <c r="Q666" s="166"/>
      <c r="R666" s="166"/>
      <c r="S666" s="166"/>
      <c r="T666" s="166"/>
      <c r="U666" s="166"/>
      <c r="V666" s="166"/>
    </row>
    <row r="667" spans="17:22" ht="12">
      <c r="Q667" s="166"/>
      <c r="R667" s="166"/>
      <c r="S667" s="166"/>
      <c r="T667" s="166"/>
      <c r="U667" s="166"/>
      <c r="V667" s="166"/>
    </row>
    <row r="668" spans="17:22" ht="12">
      <c r="Q668" s="166"/>
      <c r="R668" s="166"/>
      <c r="S668" s="166"/>
      <c r="T668" s="166"/>
      <c r="U668" s="166"/>
      <c r="V668" s="166"/>
    </row>
    <row r="669" spans="17:22" ht="12">
      <c r="Q669" s="166"/>
      <c r="R669" s="166"/>
      <c r="S669" s="166"/>
      <c r="T669" s="166"/>
      <c r="U669" s="166"/>
      <c r="V669" s="166"/>
    </row>
    <row r="670" spans="17:22" ht="12">
      <c r="Q670" s="166"/>
      <c r="R670" s="166"/>
      <c r="S670" s="166"/>
      <c r="T670" s="166"/>
      <c r="U670" s="166"/>
      <c r="V670" s="166"/>
    </row>
    <row r="671" spans="17:22" ht="12">
      <c r="Q671" s="166"/>
      <c r="R671" s="166"/>
      <c r="S671" s="166"/>
      <c r="T671" s="166"/>
      <c r="U671" s="166"/>
      <c r="V671" s="166"/>
    </row>
    <row r="672" spans="17:22" ht="12">
      <c r="Q672" s="166"/>
      <c r="R672" s="166"/>
      <c r="S672" s="166"/>
      <c r="T672" s="166"/>
      <c r="U672" s="166"/>
      <c r="V672" s="166"/>
    </row>
    <row r="673" spans="17:22" ht="12">
      <c r="Q673" s="166"/>
      <c r="R673" s="166"/>
      <c r="S673" s="166"/>
      <c r="T673" s="166"/>
      <c r="U673" s="166"/>
      <c r="V673" s="166"/>
    </row>
    <row r="674" spans="17:22" ht="12">
      <c r="Q674" s="166"/>
      <c r="R674" s="166"/>
      <c r="S674" s="166"/>
      <c r="T674" s="166"/>
      <c r="U674" s="166"/>
      <c r="V674" s="166"/>
    </row>
    <row r="675" spans="17:22" ht="12">
      <c r="Q675" s="166"/>
      <c r="R675" s="166"/>
      <c r="S675" s="166"/>
      <c r="T675" s="166"/>
      <c r="U675" s="166"/>
      <c r="V675" s="166"/>
    </row>
    <row r="676" spans="17:22" ht="12">
      <c r="Q676" s="166"/>
      <c r="R676" s="166"/>
      <c r="S676" s="166"/>
      <c r="T676" s="166"/>
      <c r="U676" s="166"/>
      <c r="V676" s="166"/>
    </row>
    <row r="677" spans="17:22" ht="12">
      <c r="Q677" s="166"/>
      <c r="R677" s="166"/>
      <c r="S677" s="166"/>
      <c r="T677" s="166"/>
      <c r="U677" s="166"/>
      <c r="V677" s="166"/>
    </row>
    <row r="678" spans="17:22" ht="12">
      <c r="Q678" s="166"/>
      <c r="R678" s="166"/>
      <c r="S678" s="166"/>
      <c r="T678" s="166"/>
      <c r="U678" s="166"/>
      <c r="V678" s="166"/>
    </row>
    <row r="679" spans="17:22" ht="12">
      <c r="Q679" s="166"/>
      <c r="R679" s="166"/>
      <c r="S679" s="166"/>
      <c r="T679" s="166"/>
      <c r="U679" s="166"/>
      <c r="V679" s="166"/>
    </row>
    <row r="680" spans="17:22" ht="12">
      <c r="Q680" s="166"/>
      <c r="R680" s="166"/>
      <c r="S680" s="166"/>
      <c r="T680" s="166"/>
      <c r="U680" s="166"/>
      <c r="V680" s="166"/>
    </row>
    <row r="681" spans="17:22" ht="12">
      <c r="Q681" s="166"/>
      <c r="R681" s="166"/>
      <c r="S681" s="166"/>
      <c r="T681" s="166"/>
      <c r="U681" s="166"/>
      <c r="V681" s="166"/>
    </row>
    <row r="682" spans="17:22" ht="12">
      <c r="Q682" s="166"/>
      <c r="R682" s="166"/>
      <c r="S682" s="166"/>
      <c r="T682" s="166"/>
      <c r="U682" s="166"/>
      <c r="V682" s="166"/>
    </row>
    <row r="683" spans="17:22" ht="12">
      <c r="Q683" s="166"/>
      <c r="R683" s="166"/>
      <c r="S683" s="166"/>
      <c r="T683" s="166"/>
      <c r="U683" s="166"/>
      <c r="V683" s="166"/>
    </row>
    <row r="684" spans="17:22" ht="12">
      <c r="Q684" s="166"/>
      <c r="R684" s="166"/>
      <c r="S684" s="166"/>
      <c r="T684" s="166"/>
      <c r="U684" s="166"/>
      <c r="V684" s="166"/>
    </row>
    <row r="685" spans="17:22" ht="12">
      <c r="Q685" s="166"/>
      <c r="R685" s="166"/>
      <c r="S685" s="166"/>
      <c r="T685" s="166"/>
      <c r="U685" s="166"/>
      <c r="V685" s="166"/>
    </row>
    <row r="686" spans="17:22" ht="12">
      <c r="Q686" s="166"/>
      <c r="R686" s="166"/>
      <c r="S686" s="166"/>
      <c r="T686" s="166"/>
      <c r="U686" s="166"/>
      <c r="V686" s="166"/>
    </row>
    <row r="687" spans="17:22" ht="12">
      <c r="Q687" s="166"/>
      <c r="R687" s="166"/>
      <c r="S687" s="166"/>
      <c r="T687" s="166"/>
      <c r="U687" s="166"/>
      <c r="V687" s="166"/>
    </row>
    <row r="688" spans="17:22" ht="12">
      <c r="Q688" s="166"/>
      <c r="R688" s="166"/>
      <c r="S688" s="166"/>
      <c r="T688" s="166"/>
      <c r="U688" s="166"/>
      <c r="V688" s="166"/>
    </row>
    <row r="689" spans="17:22" ht="12">
      <c r="Q689" s="166"/>
      <c r="R689" s="166"/>
      <c r="S689" s="166"/>
      <c r="T689" s="166"/>
      <c r="U689" s="166"/>
      <c r="V689" s="166"/>
    </row>
    <row r="690" spans="17:22" ht="12">
      <c r="Q690" s="166"/>
      <c r="R690" s="166"/>
      <c r="S690" s="166"/>
      <c r="T690" s="166"/>
      <c r="U690" s="166"/>
      <c r="V690" s="166"/>
    </row>
    <row r="691" spans="17:22" ht="12">
      <c r="Q691" s="166"/>
      <c r="R691" s="166"/>
      <c r="S691" s="166"/>
      <c r="T691" s="166"/>
      <c r="U691" s="166"/>
      <c r="V691" s="166"/>
    </row>
    <row r="692" spans="17:22" ht="12">
      <c r="Q692" s="166"/>
      <c r="R692" s="166"/>
      <c r="S692" s="166"/>
      <c r="T692" s="166"/>
      <c r="U692" s="166"/>
      <c r="V692" s="166"/>
    </row>
    <row r="693" spans="17:22" ht="12">
      <c r="Q693" s="166"/>
      <c r="R693" s="166"/>
      <c r="S693" s="166"/>
      <c r="T693" s="166"/>
      <c r="U693" s="166"/>
      <c r="V693" s="166"/>
    </row>
    <row r="694" spans="17:22" ht="12">
      <c r="Q694" s="166"/>
      <c r="R694" s="166"/>
      <c r="S694" s="166"/>
      <c r="T694" s="166"/>
      <c r="U694" s="166"/>
      <c r="V694" s="166"/>
    </row>
    <row r="695" spans="17:22" ht="12">
      <c r="Q695" s="166"/>
      <c r="R695" s="166"/>
      <c r="S695" s="166"/>
      <c r="T695" s="166"/>
      <c r="U695" s="166"/>
      <c r="V695" s="166"/>
    </row>
    <row r="696" spans="17:22" ht="12">
      <c r="Q696" s="166"/>
      <c r="R696" s="166"/>
      <c r="S696" s="166"/>
      <c r="T696" s="166"/>
      <c r="U696" s="166"/>
      <c r="V696" s="166"/>
    </row>
    <row r="697" spans="17:22" ht="12">
      <c r="Q697" s="166"/>
      <c r="R697" s="166"/>
      <c r="S697" s="166"/>
      <c r="T697" s="166"/>
      <c r="U697" s="166"/>
      <c r="V697" s="166"/>
    </row>
    <row r="698" spans="17:22" ht="12">
      <c r="Q698" s="166"/>
      <c r="R698" s="166"/>
      <c r="S698" s="166"/>
      <c r="T698" s="166"/>
      <c r="U698" s="166"/>
      <c r="V698" s="166"/>
    </row>
    <row r="699" spans="17:22" ht="12">
      <c r="Q699" s="166"/>
      <c r="R699" s="166"/>
      <c r="S699" s="166"/>
      <c r="T699" s="166"/>
      <c r="U699" s="166"/>
      <c r="V699" s="166"/>
    </row>
    <row r="700" spans="17:22" ht="12">
      <c r="Q700" s="166"/>
      <c r="R700" s="166"/>
      <c r="S700" s="166"/>
      <c r="T700" s="166"/>
      <c r="U700" s="166"/>
      <c r="V700" s="166"/>
    </row>
    <row r="701" spans="17:22" ht="12">
      <c r="Q701" s="166"/>
      <c r="R701" s="166"/>
      <c r="S701" s="166"/>
      <c r="T701" s="166"/>
      <c r="U701" s="166"/>
      <c r="V701" s="166"/>
    </row>
    <row r="702" spans="17:22" ht="12">
      <c r="Q702" s="166"/>
      <c r="R702" s="166"/>
      <c r="S702" s="166"/>
      <c r="T702" s="166"/>
      <c r="U702" s="166"/>
      <c r="V702" s="166"/>
    </row>
    <row r="703" spans="17:22" ht="12">
      <c r="Q703" s="166"/>
      <c r="R703" s="166"/>
      <c r="S703" s="166"/>
      <c r="T703" s="166"/>
      <c r="U703" s="166"/>
      <c r="V703" s="166"/>
    </row>
    <row r="704" spans="17:22" ht="12">
      <c r="Q704" s="166"/>
      <c r="R704" s="166"/>
      <c r="S704" s="166"/>
      <c r="T704" s="166"/>
      <c r="U704" s="166"/>
      <c r="V704" s="166"/>
    </row>
    <row r="705" spans="17:22" ht="12">
      <c r="Q705" s="166"/>
      <c r="R705" s="166"/>
      <c r="S705" s="166"/>
      <c r="T705" s="166"/>
      <c r="U705" s="166"/>
      <c r="V705" s="166"/>
    </row>
    <row r="706" spans="17:22" ht="12">
      <c r="Q706" s="166"/>
      <c r="R706" s="166"/>
      <c r="S706" s="166"/>
      <c r="T706" s="166"/>
      <c r="U706" s="166"/>
      <c r="V706" s="166"/>
    </row>
    <row r="707" spans="17:22" ht="12">
      <c r="Q707" s="166"/>
      <c r="R707" s="166"/>
      <c r="S707" s="166"/>
      <c r="T707" s="166"/>
      <c r="U707" s="166"/>
      <c r="V707" s="166"/>
    </row>
    <row r="708" spans="17:22" ht="12">
      <c r="Q708" s="166"/>
      <c r="R708" s="166"/>
      <c r="S708" s="166"/>
      <c r="T708" s="166"/>
      <c r="U708" s="166"/>
      <c r="V708" s="166"/>
    </row>
    <row r="709" spans="17:22" ht="12">
      <c r="Q709" s="166"/>
      <c r="R709" s="166"/>
      <c r="S709" s="166"/>
      <c r="T709" s="166"/>
      <c r="U709" s="166"/>
      <c r="V709" s="166"/>
    </row>
    <row r="710" spans="17:22" ht="12">
      <c r="Q710" s="166"/>
      <c r="R710" s="166"/>
      <c r="S710" s="166"/>
      <c r="T710" s="166"/>
      <c r="U710" s="166"/>
      <c r="V710" s="166"/>
    </row>
    <row r="711" spans="17:22" ht="12">
      <c r="Q711" s="166"/>
      <c r="R711" s="166"/>
      <c r="S711" s="166"/>
      <c r="T711" s="166"/>
      <c r="U711" s="166"/>
      <c r="V711" s="166"/>
    </row>
    <row r="712" spans="17:22" ht="12">
      <c r="Q712" s="166"/>
      <c r="R712" s="166"/>
      <c r="S712" s="166"/>
      <c r="T712" s="166"/>
      <c r="U712" s="166"/>
      <c r="V712" s="166"/>
    </row>
    <row r="713" spans="17:22" ht="12">
      <c r="Q713" s="166"/>
      <c r="R713" s="166"/>
      <c r="S713" s="166"/>
      <c r="T713" s="166"/>
      <c r="U713" s="166"/>
      <c r="V713" s="166"/>
    </row>
    <row r="714" spans="17:22" ht="12">
      <c r="Q714" s="166"/>
      <c r="R714" s="166"/>
      <c r="S714" s="166"/>
      <c r="T714" s="166"/>
      <c r="U714" s="166"/>
      <c r="V714" s="166"/>
    </row>
    <row r="715" spans="17:22" ht="12">
      <c r="Q715" s="166"/>
      <c r="R715" s="166"/>
      <c r="S715" s="166"/>
      <c r="T715" s="166"/>
      <c r="U715" s="166"/>
      <c r="V715" s="166"/>
    </row>
    <row r="716" spans="17:22" ht="12">
      <c r="Q716" s="166"/>
      <c r="R716" s="166"/>
      <c r="S716" s="166"/>
      <c r="T716" s="166"/>
      <c r="U716" s="166"/>
      <c r="V716" s="166"/>
    </row>
    <row r="717" spans="17:22" ht="12">
      <c r="Q717" s="166"/>
      <c r="R717" s="166"/>
      <c r="S717" s="166"/>
      <c r="T717" s="166"/>
      <c r="U717" s="166"/>
      <c r="V717" s="166"/>
    </row>
    <row r="718" spans="17:22" ht="12">
      <c r="Q718" s="166"/>
      <c r="R718" s="166"/>
      <c r="S718" s="166"/>
      <c r="T718" s="166"/>
      <c r="U718" s="166"/>
      <c r="V718" s="166"/>
    </row>
    <row r="719" spans="17:22" ht="12">
      <c r="Q719" s="166"/>
      <c r="R719" s="166"/>
      <c r="S719" s="166"/>
      <c r="T719" s="166"/>
      <c r="U719" s="166"/>
      <c r="V719" s="166"/>
    </row>
    <row r="720" spans="17:22" ht="12">
      <c r="Q720" s="166"/>
      <c r="R720" s="166"/>
      <c r="S720" s="166"/>
      <c r="T720" s="166"/>
      <c r="U720" s="166"/>
      <c r="V720" s="166"/>
    </row>
    <row r="721" spans="17:22" ht="12">
      <c r="Q721" s="166"/>
      <c r="R721" s="166"/>
      <c r="S721" s="166"/>
      <c r="T721" s="166"/>
      <c r="U721" s="166"/>
      <c r="V721" s="166"/>
    </row>
    <row r="722" spans="17:22" ht="12">
      <c r="Q722" s="166"/>
      <c r="R722" s="166"/>
      <c r="S722" s="166"/>
      <c r="T722" s="166"/>
      <c r="U722" s="166"/>
      <c r="V722" s="166"/>
    </row>
    <row r="723" spans="17:22" ht="12">
      <c r="Q723" s="166"/>
      <c r="R723" s="166"/>
      <c r="S723" s="166"/>
      <c r="T723" s="166"/>
      <c r="U723" s="166"/>
      <c r="V723" s="166"/>
    </row>
    <row r="724" spans="17:22" ht="12">
      <c r="Q724" s="166"/>
      <c r="R724" s="166"/>
      <c r="S724" s="166"/>
      <c r="T724" s="166"/>
      <c r="U724" s="166"/>
      <c r="V724" s="166"/>
    </row>
    <row r="725" spans="17:22" ht="12">
      <c r="Q725" s="166"/>
      <c r="R725" s="166"/>
      <c r="S725" s="166"/>
      <c r="T725" s="166"/>
      <c r="U725" s="166"/>
      <c r="V725" s="166"/>
    </row>
    <row r="726" spans="17:22" ht="12">
      <c r="Q726" s="166"/>
      <c r="R726" s="166"/>
      <c r="S726" s="166"/>
      <c r="T726" s="166"/>
      <c r="U726" s="166"/>
      <c r="V726" s="166"/>
    </row>
    <row r="727" spans="17:22" ht="12">
      <c r="Q727" s="166"/>
      <c r="R727" s="166"/>
      <c r="S727" s="166"/>
      <c r="T727" s="166"/>
      <c r="U727" s="166"/>
      <c r="V727" s="166"/>
    </row>
    <row r="728" spans="17:22" ht="12">
      <c r="Q728" s="166"/>
      <c r="R728" s="166"/>
      <c r="S728" s="166"/>
      <c r="T728" s="166"/>
      <c r="U728" s="166"/>
      <c r="V728" s="166"/>
    </row>
    <row r="729" spans="17:22" ht="12">
      <c r="Q729" s="166"/>
      <c r="R729" s="166"/>
      <c r="S729" s="166"/>
      <c r="T729" s="166"/>
      <c r="U729" s="166"/>
      <c r="V729" s="166"/>
    </row>
    <row r="730" spans="17:22" ht="12">
      <c r="Q730" s="166"/>
      <c r="R730" s="166"/>
      <c r="S730" s="166"/>
      <c r="T730" s="166"/>
      <c r="U730" s="166"/>
      <c r="V730" s="166"/>
    </row>
    <row r="731" spans="17:22" ht="12">
      <c r="Q731" s="166"/>
      <c r="R731" s="166"/>
      <c r="S731" s="166"/>
      <c r="T731" s="166"/>
      <c r="U731" s="166"/>
      <c r="V731" s="166"/>
    </row>
    <row r="732" spans="17:22" ht="12">
      <c r="Q732" s="166"/>
      <c r="R732" s="166"/>
      <c r="S732" s="166"/>
      <c r="T732" s="166"/>
      <c r="U732" s="166"/>
      <c r="V732" s="166"/>
    </row>
    <row r="733" spans="17:22" ht="12">
      <c r="Q733" s="166"/>
      <c r="R733" s="166"/>
      <c r="S733" s="166"/>
      <c r="T733" s="166"/>
      <c r="U733" s="166"/>
      <c r="V733" s="166"/>
    </row>
    <row r="734" spans="17:22" ht="12">
      <c r="Q734" s="166"/>
      <c r="R734" s="166"/>
      <c r="S734" s="166"/>
      <c r="T734" s="166"/>
      <c r="U734" s="166"/>
      <c r="V734" s="166"/>
    </row>
    <row r="735" spans="17:22" ht="12">
      <c r="Q735" s="166"/>
      <c r="R735" s="166"/>
      <c r="S735" s="166"/>
      <c r="T735" s="166"/>
      <c r="U735" s="166"/>
      <c r="V735" s="166"/>
    </row>
    <row r="736" spans="17:22" ht="12">
      <c r="Q736" s="166"/>
      <c r="R736" s="166"/>
      <c r="S736" s="166"/>
      <c r="T736" s="166"/>
      <c r="U736" s="166"/>
      <c r="V736" s="166"/>
    </row>
    <row r="737" spans="17:22" ht="12">
      <c r="Q737" s="166"/>
      <c r="R737" s="166"/>
      <c r="S737" s="166"/>
      <c r="T737" s="166"/>
      <c r="U737" s="166"/>
      <c r="V737" s="166"/>
    </row>
    <row r="738" spans="17:22" ht="12">
      <c r="Q738" s="166"/>
      <c r="R738" s="166"/>
      <c r="S738" s="166"/>
      <c r="T738" s="166"/>
      <c r="U738" s="166"/>
      <c r="V738" s="166"/>
    </row>
    <row r="739" spans="17:22" ht="12">
      <c r="Q739" s="166"/>
      <c r="R739" s="166"/>
      <c r="S739" s="166"/>
      <c r="T739" s="166"/>
      <c r="U739" s="166"/>
      <c r="V739" s="166"/>
    </row>
    <row r="740" spans="17:22" ht="12">
      <c r="Q740" s="166"/>
      <c r="R740" s="166"/>
      <c r="S740" s="166"/>
      <c r="T740" s="166"/>
      <c r="U740" s="166"/>
      <c r="V740" s="166"/>
    </row>
    <row r="741" spans="17:22" ht="12">
      <c r="Q741" s="166"/>
      <c r="R741" s="166"/>
      <c r="S741" s="166"/>
      <c r="T741" s="166"/>
      <c r="U741" s="166"/>
      <c r="V741" s="166"/>
    </row>
    <row r="742" spans="17:22" ht="12">
      <c r="Q742" s="166"/>
      <c r="R742" s="166"/>
      <c r="S742" s="166"/>
      <c r="T742" s="166"/>
      <c r="U742" s="166"/>
      <c r="V742" s="166"/>
    </row>
    <row r="743" spans="17:22" ht="12">
      <c r="Q743" s="166"/>
      <c r="R743" s="166"/>
      <c r="S743" s="166"/>
      <c r="T743" s="166"/>
      <c r="U743" s="166"/>
      <c r="V743" s="166"/>
    </row>
    <row r="744" spans="17:22" ht="12">
      <c r="Q744" s="166"/>
      <c r="R744" s="166"/>
      <c r="S744" s="166"/>
      <c r="T744" s="166"/>
      <c r="U744" s="166"/>
      <c r="V744" s="166"/>
    </row>
    <row r="745" spans="17:22" ht="12">
      <c r="Q745" s="166"/>
      <c r="R745" s="166"/>
      <c r="S745" s="166"/>
      <c r="T745" s="166"/>
      <c r="U745" s="166"/>
      <c r="V745" s="166"/>
    </row>
    <row r="746" spans="17:22" ht="12">
      <c r="Q746" s="166"/>
      <c r="R746" s="166"/>
      <c r="S746" s="166"/>
      <c r="T746" s="166"/>
      <c r="U746" s="166"/>
      <c r="V746" s="166"/>
    </row>
    <row r="747" spans="17:22" ht="12">
      <c r="Q747" s="166"/>
      <c r="R747" s="166"/>
      <c r="S747" s="166"/>
      <c r="T747" s="166"/>
      <c r="U747" s="166"/>
      <c r="V747" s="166"/>
    </row>
    <row r="748" spans="17:22" ht="12">
      <c r="Q748" s="166"/>
      <c r="R748" s="166"/>
      <c r="S748" s="166"/>
      <c r="T748" s="166"/>
      <c r="U748" s="166"/>
      <c r="V748" s="166"/>
    </row>
    <row r="749" spans="17:22" ht="12">
      <c r="Q749" s="166"/>
      <c r="R749" s="166"/>
      <c r="S749" s="166"/>
      <c r="T749" s="166"/>
      <c r="U749" s="166"/>
      <c r="V749" s="166"/>
    </row>
    <row r="750" spans="17:22" ht="12">
      <c r="Q750" s="166"/>
      <c r="R750" s="166"/>
      <c r="S750" s="166"/>
      <c r="T750" s="166"/>
      <c r="U750" s="166"/>
      <c r="V750" s="166"/>
    </row>
    <row r="751" spans="17:22" ht="12">
      <c r="Q751" s="166"/>
      <c r="R751" s="166"/>
      <c r="S751" s="166"/>
      <c r="T751" s="166"/>
      <c r="U751" s="166"/>
      <c r="V751" s="166"/>
    </row>
    <row r="752" spans="17:22" ht="12">
      <c r="Q752" s="166"/>
      <c r="R752" s="166"/>
      <c r="S752" s="166"/>
      <c r="T752" s="166"/>
      <c r="U752" s="166"/>
      <c r="V752" s="166"/>
    </row>
    <row r="753" spans="17:22" ht="12">
      <c r="Q753" s="166"/>
      <c r="R753" s="166"/>
      <c r="S753" s="166"/>
      <c r="T753" s="166"/>
      <c r="U753" s="166"/>
      <c r="V753" s="166"/>
    </row>
    <row r="754" spans="17:22" ht="12">
      <c r="Q754" s="166"/>
      <c r="R754" s="166"/>
      <c r="S754" s="166"/>
      <c r="T754" s="166"/>
      <c r="U754" s="166"/>
      <c r="V754" s="166"/>
    </row>
    <row r="755" spans="17:22" ht="12">
      <c r="Q755" s="166"/>
      <c r="R755" s="166"/>
      <c r="S755" s="166"/>
      <c r="T755" s="166"/>
      <c r="U755" s="166"/>
      <c r="V755" s="166"/>
    </row>
    <row r="756" spans="17:22" ht="12">
      <c r="Q756" s="166"/>
      <c r="R756" s="166"/>
      <c r="S756" s="166"/>
      <c r="T756" s="166"/>
      <c r="U756" s="166"/>
      <c r="V756" s="166"/>
    </row>
    <row r="757" spans="17:22" ht="12">
      <c r="Q757" s="166"/>
      <c r="R757" s="166"/>
      <c r="S757" s="166"/>
      <c r="T757" s="166"/>
      <c r="U757" s="166"/>
      <c r="V757" s="166"/>
    </row>
    <row r="758" spans="17:22" ht="12">
      <c r="Q758" s="166"/>
      <c r="R758" s="166"/>
      <c r="S758" s="166"/>
      <c r="T758" s="166"/>
      <c r="U758" s="166"/>
      <c r="V758" s="166"/>
    </row>
    <row r="759" spans="17:22" ht="12">
      <c r="Q759" s="166"/>
      <c r="R759" s="166"/>
      <c r="S759" s="166"/>
      <c r="T759" s="166"/>
      <c r="U759" s="166"/>
      <c r="V759" s="166"/>
    </row>
    <row r="760" spans="17:22" ht="12">
      <c r="Q760" s="166"/>
      <c r="R760" s="166"/>
      <c r="S760" s="166"/>
      <c r="T760" s="166"/>
      <c r="U760" s="166"/>
      <c r="V760" s="166"/>
    </row>
    <row r="761" spans="17:22" ht="12">
      <c r="Q761" s="166"/>
      <c r="R761" s="166"/>
      <c r="S761" s="166"/>
      <c r="T761" s="166"/>
      <c r="U761" s="166"/>
      <c r="V761" s="166"/>
    </row>
    <row r="762" spans="17:22" ht="12">
      <c r="Q762" s="166"/>
      <c r="R762" s="166"/>
      <c r="S762" s="166"/>
      <c r="T762" s="166"/>
      <c r="U762" s="166"/>
      <c r="V762" s="166"/>
    </row>
    <row r="763" spans="17:22" ht="12">
      <c r="Q763" s="166"/>
      <c r="R763" s="166"/>
      <c r="S763" s="166"/>
      <c r="T763" s="166"/>
      <c r="U763" s="166"/>
      <c r="V763" s="166"/>
    </row>
    <row r="764" spans="17:22" ht="12">
      <c r="Q764" s="166"/>
      <c r="R764" s="166"/>
      <c r="S764" s="166"/>
      <c r="T764" s="166"/>
      <c r="U764" s="166"/>
      <c r="V764" s="166"/>
    </row>
    <row r="765" spans="17:22" ht="12">
      <c r="Q765" s="166"/>
      <c r="R765" s="166"/>
      <c r="S765" s="166"/>
      <c r="T765" s="166"/>
      <c r="U765" s="166"/>
      <c r="V765" s="166"/>
    </row>
    <row r="766" spans="17:22" ht="12">
      <c r="Q766" s="166"/>
      <c r="R766" s="166"/>
      <c r="S766" s="166"/>
      <c r="T766" s="166"/>
      <c r="U766" s="166"/>
      <c r="V766" s="166"/>
    </row>
    <row r="767" spans="17:22" ht="12">
      <c r="Q767" s="166"/>
      <c r="R767" s="166"/>
      <c r="S767" s="166"/>
      <c r="T767" s="166"/>
      <c r="U767" s="166"/>
      <c r="V767" s="166"/>
    </row>
    <row r="768" spans="17:22" ht="12">
      <c r="Q768" s="166"/>
      <c r="R768" s="166"/>
      <c r="S768" s="166"/>
      <c r="T768" s="166"/>
      <c r="U768" s="166"/>
      <c r="V768" s="166"/>
    </row>
    <row r="769" spans="17:22" ht="12">
      <c r="Q769" s="166"/>
      <c r="R769" s="166"/>
      <c r="S769" s="166"/>
      <c r="T769" s="166"/>
      <c r="U769" s="166"/>
      <c r="V769" s="166"/>
    </row>
    <row r="770" spans="17:22" ht="12">
      <c r="Q770" s="166"/>
      <c r="R770" s="166"/>
      <c r="S770" s="166"/>
      <c r="T770" s="166"/>
      <c r="U770" s="166"/>
      <c r="V770" s="166"/>
    </row>
    <row r="771" spans="17:22" ht="12">
      <c r="Q771" s="166"/>
      <c r="R771" s="166"/>
      <c r="S771" s="166"/>
      <c r="T771" s="166"/>
      <c r="U771" s="166"/>
      <c r="V771" s="166"/>
    </row>
    <row r="772" spans="17:22" ht="12">
      <c r="Q772" s="166"/>
      <c r="R772" s="166"/>
      <c r="S772" s="166"/>
      <c r="T772" s="166"/>
      <c r="U772" s="166"/>
      <c r="V772" s="166"/>
    </row>
    <row r="773" spans="17:22" ht="12">
      <c r="Q773" s="166"/>
      <c r="R773" s="166"/>
      <c r="S773" s="166"/>
      <c r="T773" s="166"/>
      <c r="U773" s="166"/>
      <c r="V773" s="166"/>
    </row>
    <row r="774" spans="17:22" ht="12">
      <c r="Q774" s="166"/>
      <c r="R774" s="166"/>
      <c r="S774" s="166"/>
      <c r="T774" s="166"/>
      <c r="U774" s="166"/>
      <c r="V774" s="166"/>
    </row>
    <row r="775" spans="17:22" ht="12">
      <c r="Q775" s="166"/>
      <c r="R775" s="166"/>
      <c r="S775" s="166"/>
      <c r="T775" s="166"/>
      <c r="U775" s="166"/>
      <c r="V775" s="166"/>
    </row>
    <row r="776" spans="17:22" ht="12">
      <c r="Q776" s="166"/>
      <c r="R776" s="166"/>
      <c r="S776" s="166"/>
      <c r="T776" s="166"/>
      <c r="U776" s="166"/>
      <c r="V776" s="166"/>
    </row>
    <row r="777" spans="17:22" ht="12">
      <c r="Q777" s="166"/>
      <c r="R777" s="166"/>
      <c r="S777" s="166"/>
      <c r="T777" s="166"/>
      <c r="U777" s="166"/>
      <c r="V777" s="166"/>
    </row>
    <row r="778" spans="17:22" ht="12">
      <c r="Q778" s="166"/>
      <c r="R778" s="166"/>
      <c r="S778" s="166"/>
      <c r="T778" s="166"/>
      <c r="U778" s="166"/>
      <c r="V778" s="166"/>
    </row>
    <row r="779" spans="17:22" ht="12">
      <c r="Q779" s="166"/>
      <c r="R779" s="166"/>
      <c r="S779" s="166"/>
      <c r="T779" s="166"/>
      <c r="U779" s="166"/>
      <c r="V779" s="166"/>
    </row>
    <row r="780" spans="17:22" ht="12">
      <c r="Q780" s="166"/>
      <c r="R780" s="166"/>
      <c r="S780" s="166"/>
      <c r="T780" s="166"/>
      <c r="U780" s="166"/>
      <c r="V780" s="166"/>
    </row>
    <row r="781" spans="17:22" ht="12">
      <c r="Q781" s="166"/>
      <c r="R781" s="166"/>
      <c r="S781" s="166"/>
      <c r="T781" s="166"/>
      <c r="U781" s="166"/>
      <c r="V781" s="166"/>
    </row>
    <row r="782" spans="17:22" ht="12">
      <c r="Q782" s="166"/>
      <c r="R782" s="166"/>
      <c r="S782" s="166"/>
      <c r="T782" s="166"/>
      <c r="U782" s="166"/>
      <c r="V782" s="166"/>
    </row>
    <row r="783" spans="17:22" ht="12">
      <c r="Q783" s="166"/>
      <c r="R783" s="166"/>
      <c r="S783" s="166"/>
      <c r="T783" s="166"/>
      <c r="U783" s="166"/>
      <c r="V783" s="166"/>
    </row>
    <row r="784" spans="17:22" ht="12">
      <c r="Q784" s="166"/>
      <c r="R784" s="166"/>
      <c r="S784" s="166"/>
      <c r="T784" s="166"/>
      <c r="U784" s="166"/>
      <c r="V784" s="166"/>
    </row>
    <row r="785" spans="17:22" ht="12">
      <c r="Q785" s="166"/>
      <c r="R785" s="166"/>
      <c r="S785" s="166"/>
      <c r="T785" s="166"/>
      <c r="U785" s="166"/>
      <c r="V785" s="166"/>
    </row>
    <row r="786" spans="17:22" ht="12">
      <c r="Q786" s="166"/>
      <c r="R786" s="166"/>
      <c r="S786" s="166"/>
      <c r="T786" s="166"/>
      <c r="U786" s="166"/>
      <c r="V786" s="166"/>
    </row>
    <row r="787" spans="17:22" ht="12">
      <c r="Q787" s="166"/>
      <c r="R787" s="166"/>
      <c r="S787" s="166"/>
      <c r="T787" s="166"/>
      <c r="U787" s="166"/>
      <c r="V787" s="166"/>
    </row>
    <row r="788" spans="17:22" ht="12">
      <c r="Q788" s="166"/>
      <c r="R788" s="166"/>
      <c r="S788" s="166"/>
      <c r="T788" s="166"/>
      <c r="U788" s="166"/>
      <c r="V788" s="166"/>
    </row>
    <row r="789" spans="17:22" ht="12">
      <c r="Q789" s="166"/>
      <c r="R789" s="166"/>
      <c r="S789" s="166"/>
      <c r="T789" s="166"/>
      <c r="U789" s="166"/>
      <c r="V789" s="166"/>
    </row>
    <row r="790" spans="17:22" ht="12">
      <c r="Q790" s="166"/>
      <c r="R790" s="166"/>
      <c r="S790" s="166"/>
      <c r="T790" s="166"/>
      <c r="U790" s="166"/>
      <c r="V790" s="166"/>
    </row>
    <row r="791" spans="17:22" ht="12">
      <c r="Q791" s="166"/>
      <c r="R791" s="166"/>
      <c r="S791" s="166"/>
      <c r="T791" s="166"/>
      <c r="U791" s="166"/>
      <c r="V791" s="166"/>
    </row>
    <row r="792" spans="17:22" ht="12">
      <c r="Q792" s="166"/>
      <c r="R792" s="166"/>
      <c r="S792" s="166"/>
      <c r="T792" s="166"/>
      <c r="U792" s="166"/>
      <c r="V792" s="166"/>
    </row>
    <row r="793" spans="17:22" ht="12">
      <c r="Q793" s="166"/>
      <c r="R793" s="166"/>
      <c r="S793" s="166"/>
      <c r="T793" s="166"/>
      <c r="U793" s="166"/>
      <c r="V793" s="166"/>
    </row>
    <row r="794" spans="17:22" ht="12">
      <c r="Q794" s="166"/>
      <c r="R794" s="166"/>
      <c r="S794" s="166"/>
      <c r="T794" s="166"/>
      <c r="U794" s="166"/>
      <c r="V794" s="166"/>
    </row>
    <row r="795" spans="17:22" ht="12">
      <c r="Q795" s="166"/>
      <c r="R795" s="166"/>
      <c r="S795" s="166"/>
      <c r="T795" s="166"/>
      <c r="U795" s="166"/>
      <c r="V795" s="166"/>
    </row>
    <row r="796" spans="17:22" ht="12">
      <c r="Q796" s="166"/>
      <c r="R796" s="166"/>
      <c r="S796" s="166"/>
      <c r="T796" s="166"/>
      <c r="U796" s="166"/>
      <c r="V796" s="166"/>
    </row>
    <row r="797" spans="17:22" ht="12">
      <c r="Q797" s="166"/>
      <c r="R797" s="166"/>
      <c r="S797" s="166"/>
      <c r="T797" s="166"/>
      <c r="U797" s="166"/>
      <c r="V797" s="166"/>
    </row>
    <row r="798" spans="17:22" ht="12">
      <c r="Q798" s="166"/>
      <c r="R798" s="166"/>
      <c r="S798" s="166"/>
      <c r="T798" s="166"/>
      <c r="U798" s="166"/>
      <c r="V798" s="166"/>
    </row>
    <row r="799" spans="17:22" ht="12">
      <c r="Q799" s="166"/>
      <c r="R799" s="166"/>
      <c r="S799" s="166"/>
      <c r="T799" s="166"/>
      <c r="U799" s="166"/>
      <c r="V799" s="166"/>
    </row>
    <row r="800" spans="17:22" ht="12">
      <c r="Q800" s="166"/>
      <c r="R800" s="166"/>
      <c r="S800" s="166"/>
      <c r="T800" s="166"/>
      <c r="U800" s="166"/>
      <c r="V800" s="166"/>
    </row>
    <row r="801" spans="17:22" ht="12">
      <c r="Q801" s="166"/>
      <c r="R801" s="166"/>
      <c r="S801" s="166"/>
      <c r="T801" s="166"/>
      <c r="U801" s="166"/>
      <c r="V801" s="166"/>
    </row>
    <row r="802" spans="17:22" ht="12">
      <c r="Q802" s="166"/>
      <c r="R802" s="166"/>
      <c r="S802" s="166"/>
      <c r="T802" s="166"/>
      <c r="U802" s="166"/>
      <c r="V802" s="166"/>
    </row>
    <row r="803" spans="17:22" ht="12">
      <c r="Q803" s="166"/>
      <c r="R803" s="166"/>
      <c r="S803" s="166"/>
      <c r="T803" s="166"/>
      <c r="U803" s="166"/>
      <c r="V803" s="166"/>
    </row>
    <row r="804" spans="17:22" ht="12">
      <c r="Q804" s="166"/>
      <c r="R804" s="166"/>
      <c r="S804" s="166"/>
      <c r="T804" s="166"/>
      <c r="U804" s="166"/>
      <c r="V804" s="166"/>
    </row>
    <row r="805" spans="17:22" ht="12">
      <c r="Q805" s="166"/>
      <c r="R805" s="166"/>
      <c r="S805" s="166"/>
      <c r="T805" s="166"/>
      <c r="U805" s="166"/>
      <c r="V805" s="166"/>
    </row>
    <row r="806" spans="17:22" ht="12">
      <c r="Q806" s="166"/>
      <c r="R806" s="166"/>
      <c r="S806" s="166"/>
      <c r="T806" s="166"/>
      <c r="U806" s="166"/>
      <c r="V806" s="166"/>
    </row>
    <row r="807" spans="17:22" ht="12">
      <c r="Q807" s="166"/>
      <c r="R807" s="166"/>
      <c r="S807" s="166"/>
      <c r="T807" s="166"/>
      <c r="U807" s="166"/>
      <c r="V807" s="166"/>
    </row>
    <row r="808" spans="17:22" ht="12">
      <c r="Q808" s="166"/>
      <c r="R808" s="166"/>
      <c r="S808" s="166"/>
      <c r="T808" s="166"/>
      <c r="U808" s="166"/>
      <c r="V808" s="166"/>
    </row>
    <row r="809" spans="17:22" ht="12">
      <c r="Q809" s="166"/>
      <c r="R809" s="166"/>
      <c r="S809" s="166"/>
      <c r="T809" s="166"/>
      <c r="U809" s="166"/>
      <c r="V809" s="166"/>
    </row>
    <row r="810" spans="17:22" ht="12">
      <c r="Q810" s="166"/>
      <c r="R810" s="166"/>
      <c r="S810" s="166"/>
      <c r="T810" s="166"/>
      <c r="U810" s="166"/>
      <c r="V810" s="166"/>
    </row>
    <row r="811" spans="17:22" ht="12">
      <c r="Q811" s="166"/>
      <c r="R811" s="166"/>
      <c r="S811" s="166"/>
      <c r="T811" s="166"/>
      <c r="U811" s="166"/>
      <c r="V811" s="166"/>
    </row>
    <row r="812" spans="17:22" ht="12">
      <c r="Q812" s="166"/>
      <c r="R812" s="166"/>
      <c r="S812" s="166"/>
      <c r="T812" s="166"/>
      <c r="U812" s="166"/>
      <c r="V812" s="166"/>
    </row>
    <row r="813" spans="17:22" ht="12">
      <c r="Q813" s="166"/>
      <c r="R813" s="166"/>
      <c r="S813" s="166"/>
      <c r="T813" s="166"/>
      <c r="U813" s="166"/>
      <c r="V813" s="166"/>
    </row>
    <row r="814" spans="17:22" ht="12">
      <c r="Q814" s="166"/>
      <c r="R814" s="166"/>
      <c r="S814" s="166"/>
      <c r="T814" s="166"/>
      <c r="U814" s="166"/>
      <c r="V814" s="166"/>
    </row>
    <row r="815" spans="17:22" ht="12">
      <c r="Q815" s="166"/>
      <c r="R815" s="166"/>
      <c r="S815" s="166"/>
      <c r="T815" s="166"/>
      <c r="U815" s="166"/>
      <c r="V815" s="166"/>
    </row>
    <row r="816" spans="17:22" ht="12">
      <c r="Q816" s="166"/>
      <c r="R816" s="166"/>
      <c r="S816" s="166"/>
      <c r="T816" s="166"/>
      <c r="U816" s="166"/>
      <c r="V816" s="166"/>
    </row>
    <row r="817" spans="17:22" ht="12">
      <c r="Q817" s="166"/>
      <c r="R817" s="166"/>
      <c r="S817" s="166"/>
      <c r="T817" s="166"/>
      <c r="U817" s="166"/>
      <c r="V817" s="166"/>
    </row>
    <row r="818" spans="17:22" ht="12">
      <c r="Q818" s="166"/>
      <c r="R818" s="166"/>
      <c r="S818" s="166"/>
      <c r="T818" s="166"/>
      <c r="U818" s="166"/>
      <c r="V818" s="166"/>
    </row>
    <row r="819" spans="17:22" ht="12">
      <c r="Q819" s="166"/>
      <c r="R819" s="166"/>
      <c r="S819" s="166"/>
      <c r="T819" s="166"/>
      <c r="U819" s="166"/>
      <c r="V819" s="166"/>
    </row>
    <row r="820" spans="17:22" ht="12">
      <c r="Q820" s="166"/>
      <c r="R820" s="166"/>
      <c r="S820" s="166"/>
      <c r="T820" s="166"/>
      <c r="U820" s="166"/>
      <c r="V820" s="166"/>
    </row>
    <row r="821" spans="17:22" ht="12">
      <c r="Q821" s="166"/>
      <c r="R821" s="166"/>
      <c r="S821" s="166"/>
      <c r="T821" s="166"/>
      <c r="U821" s="166"/>
      <c r="V821" s="166"/>
    </row>
    <row r="822" spans="17:22" ht="12">
      <c r="Q822" s="166"/>
      <c r="R822" s="166"/>
      <c r="S822" s="166"/>
      <c r="T822" s="166"/>
      <c r="U822" s="166"/>
      <c r="V822" s="166"/>
    </row>
    <row r="823" spans="17:22" ht="12">
      <c r="Q823" s="166"/>
      <c r="R823" s="166"/>
      <c r="S823" s="166"/>
      <c r="T823" s="166"/>
      <c r="U823" s="166"/>
      <c r="V823" s="166"/>
    </row>
    <row r="824" spans="17:22" ht="12">
      <c r="Q824" s="166"/>
      <c r="R824" s="166"/>
      <c r="S824" s="166"/>
      <c r="T824" s="166"/>
      <c r="U824" s="166"/>
      <c r="V824" s="166"/>
    </row>
    <row r="825" spans="17:22" ht="12">
      <c r="Q825" s="166"/>
      <c r="R825" s="166"/>
      <c r="S825" s="166"/>
      <c r="T825" s="166"/>
      <c r="U825" s="166"/>
      <c r="V825" s="166"/>
    </row>
    <row r="826" spans="17:22" ht="12">
      <c r="Q826" s="166"/>
      <c r="R826" s="166"/>
      <c r="S826" s="166"/>
      <c r="T826" s="166"/>
      <c r="U826" s="166"/>
      <c r="V826" s="166"/>
    </row>
    <row r="827" spans="17:22" ht="12">
      <c r="Q827" s="166"/>
      <c r="R827" s="166"/>
      <c r="S827" s="166"/>
      <c r="T827" s="166"/>
      <c r="U827" s="166"/>
      <c r="V827" s="166"/>
    </row>
    <row r="828" spans="17:22" ht="12">
      <c r="Q828" s="166"/>
      <c r="R828" s="166"/>
      <c r="S828" s="166"/>
      <c r="T828" s="166"/>
      <c r="U828" s="166"/>
      <c r="V828" s="166"/>
    </row>
    <row r="829" spans="17:22" ht="12">
      <c r="Q829" s="166"/>
      <c r="R829" s="166"/>
      <c r="S829" s="166"/>
      <c r="T829" s="166"/>
      <c r="U829" s="166"/>
      <c r="V829" s="166"/>
    </row>
    <row r="830" spans="17:22" ht="12">
      <c r="Q830" s="166"/>
      <c r="R830" s="166"/>
      <c r="S830" s="166"/>
      <c r="T830" s="166"/>
      <c r="U830" s="166"/>
      <c r="V830" s="166"/>
    </row>
    <row r="831" spans="17:22" ht="12">
      <c r="Q831" s="166"/>
      <c r="R831" s="166"/>
      <c r="S831" s="166"/>
      <c r="T831" s="166"/>
      <c r="U831" s="166"/>
      <c r="V831" s="166"/>
    </row>
    <row r="832" spans="17:22" ht="12">
      <c r="Q832" s="166"/>
      <c r="R832" s="166"/>
      <c r="S832" s="166"/>
      <c r="T832" s="166"/>
      <c r="U832" s="166"/>
      <c r="V832" s="166"/>
    </row>
    <row r="833" spans="17:22" ht="12">
      <c r="Q833" s="166"/>
      <c r="R833" s="166"/>
      <c r="S833" s="166"/>
      <c r="T833" s="166"/>
      <c r="U833" s="166"/>
      <c r="V833" s="166"/>
    </row>
    <row r="834" spans="17:22" ht="12">
      <c r="Q834" s="166"/>
      <c r="R834" s="166"/>
      <c r="S834" s="166"/>
      <c r="T834" s="166"/>
      <c r="U834" s="166"/>
      <c r="V834" s="166"/>
    </row>
    <row r="835" spans="17:22" ht="12">
      <c r="Q835" s="166"/>
      <c r="R835" s="166"/>
      <c r="S835" s="166"/>
      <c r="T835" s="166"/>
      <c r="U835" s="166"/>
      <c r="V835" s="166"/>
    </row>
    <row r="836" spans="17:22" ht="12">
      <c r="Q836" s="166"/>
      <c r="R836" s="166"/>
      <c r="S836" s="166"/>
      <c r="T836" s="166"/>
      <c r="U836" s="166"/>
      <c r="V836" s="166"/>
    </row>
    <row r="837" spans="17:22" ht="12">
      <c r="Q837" s="166"/>
      <c r="R837" s="166"/>
      <c r="S837" s="166"/>
      <c r="T837" s="166"/>
      <c r="U837" s="166"/>
      <c r="V837" s="166"/>
    </row>
    <row r="838" spans="17:22" ht="12">
      <c r="Q838" s="166"/>
      <c r="R838" s="166"/>
      <c r="S838" s="166"/>
      <c r="T838" s="166"/>
      <c r="U838" s="166"/>
      <c r="V838" s="166"/>
    </row>
    <row r="839" spans="17:22" ht="12">
      <c r="Q839" s="166"/>
      <c r="R839" s="166"/>
      <c r="S839" s="166"/>
      <c r="T839" s="166"/>
      <c r="U839" s="166"/>
      <c r="V839" s="166"/>
    </row>
    <row r="840" spans="17:22" ht="12">
      <c r="Q840" s="166"/>
      <c r="R840" s="166"/>
      <c r="S840" s="166"/>
      <c r="T840" s="166"/>
      <c r="U840" s="166"/>
      <c r="V840" s="166"/>
    </row>
    <row r="841" spans="17:22" ht="12">
      <c r="Q841" s="166"/>
      <c r="R841" s="166"/>
      <c r="S841" s="166"/>
      <c r="T841" s="166"/>
      <c r="U841" s="166"/>
      <c r="V841" s="166"/>
    </row>
    <row r="842" spans="17:22" ht="12">
      <c r="Q842" s="166"/>
      <c r="R842" s="166"/>
      <c r="S842" s="166"/>
      <c r="T842" s="166"/>
      <c r="U842" s="166"/>
      <c r="V842" s="166"/>
    </row>
    <row r="843" spans="17:22" ht="12">
      <c r="Q843" s="166"/>
      <c r="R843" s="166"/>
      <c r="S843" s="166"/>
      <c r="T843" s="166"/>
      <c r="U843" s="166"/>
      <c r="V843" s="166"/>
    </row>
    <row r="844" spans="17:22" ht="12">
      <c r="Q844" s="166"/>
      <c r="R844" s="166"/>
      <c r="S844" s="166"/>
      <c r="T844" s="166"/>
      <c r="U844" s="166"/>
      <c r="V844" s="166"/>
    </row>
    <row r="845" spans="17:22" ht="12">
      <c r="Q845" s="166"/>
      <c r="R845" s="166"/>
      <c r="S845" s="166"/>
      <c r="T845" s="166"/>
      <c r="U845" s="166"/>
      <c r="V845" s="166"/>
    </row>
    <row r="846" spans="17:22" ht="12">
      <c r="Q846" s="166"/>
      <c r="R846" s="166"/>
      <c r="S846" s="166"/>
      <c r="T846" s="166"/>
      <c r="U846" s="166"/>
      <c r="V846" s="166"/>
    </row>
    <row r="847" spans="17:22" ht="12">
      <c r="Q847" s="166"/>
      <c r="R847" s="166"/>
      <c r="S847" s="166"/>
      <c r="T847" s="166"/>
      <c r="U847" s="166"/>
      <c r="V847" s="166"/>
    </row>
    <row r="848" spans="17:22" ht="12">
      <c r="Q848" s="166"/>
      <c r="R848" s="166"/>
      <c r="S848" s="166"/>
      <c r="T848" s="166"/>
      <c r="U848" s="166"/>
      <c r="V848" s="166"/>
    </row>
    <row r="849" spans="17:22" ht="12">
      <c r="Q849" s="166"/>
      <c r="R849" s="166"/>
      <c r="S849" s="166"/>
      <c r="T849" s="166"/>
      <c r="U849" s="166"/>
      <c r="V849" s="166"/>
    </row>
    <row r="850" spans="17:22" ht="12">
      <c r="Q850" s="166"/>
      <c r="R850" s="166"/>
      <c r="S850" s="166"/>
      <c r="T850" s="166"/>
      <c r="U850" s="166"/>
      <c r="V850" s="166"/>
    </row>
    <row r="851" spans="17:22" ht="12">
      <c r="Q851" s="166"/>
      <c r="R851" s="166"/>
      <c r="S851" s="166"/>
      <c r="T851" s="166"/>
      <c r="U851" s="166"/>
      <c r="V851" s="166"/>
    </row>
    <row r="852" spans="17:22" ht="12">
      <c r="Q852" s="166"/>
      <c r="R852" s="166"/>
      <c r="S852" s="166"/>
      <c r="T852" s="166"/>
      <c r="U852" s="166"/>
      <c r="V852" s="166"/>
    </row>
    <row r="853" spans="17:22" ht="12">
      <c r="Q853" s="166"/>
      <c r="R853" s="166"/>
      <c r="S853" s="166"/>
      <c r="T853" s="166"/>
      <c r="U853" s="166"/>
      <c r="V853" s="166"/>
    </row>
    <row r="854" spans="17:22" ht="12">
      <c r="Q854" s="166"/>
      <c r="R854" s="166"/>
      <c r="S854" s="166"/>
      <c r="T854" s="166"/>
      <c r="U854" s="166"/>
      <c r="V854" s="166"/>
    </row>
    <row r="855" spans="17:22" ht="12">
      <c r="Q855" s="166"/>
      <c r="R855" s="166"/>
      <c r="S855" s="166"/>
      <c r="T855" s="166"/>
      <c r="U855" s="166"/>
      <c r="V855" s="166"/>
    </row>
    <row r="856" spans="17:22" ht="12">
      <c r="Q856" s="166"/>
      <c r="R856" s="166"/>
      <c r="S856" s="166"/>
      <c r="T856" s="166"/>
      <c r="U856" s="166"/>
      <c r="V856" s="166"/>
    </row>
    <row r="857" spans="17:22" ht="12">
      <c r="Q857" s="166"/>
      <c r="R857" s="166"/>
      <c r="S857" s="166"/>
      <c r="T857" s="166"/>
      <c r="U857" s="166"/>
      <c r="V857" s="166"/>
    </row>
    <row r="858" spans="17:22" ht="12">
      <c r="Q858" s="166"/>
      <c r="R858" s="166"/>
      <c r="S858" s="166"/>
      <c r="T858" s="166"/>
      <c r="U858" s="166"/>
      <c r="V858" s="166"/>
    </row>
    <row r="859" spans="17:22" ht="12">
      <c r="Q859" s="166"/>
      <c r="R859" s="166"/>
      <c r="S859" s="166"/>
      <c r="T859" s="166"/>
      <c r="U859" s="166"/>
      <c r="V859" s="166"/>
    </row>
    <row r="860" spans="17:22" ht="12">
      <c r="Q860" s="166"/>
      <c r="R860" s="166"/>
      <c r="S860" s="166"/>
      <c r="T860" s="166"/>
      <c r="U860" s="166"/>
      <c r="V860" s="166"/>
    </row>
    <row r="861" spans="17:22" ht="12">
      <c r="Q861" s="166"/>
      <c r="R861" s="166"/>
      <c r="S861" s="166"/>
      <c r="T861" s="166"/>
      <c r="U861" s="166"/>
      <c r="V861" s="166"/>
    </row>
    <row r="862" spans="17:22" ht="12">
      <c r="Q862" s="166"/>
      <c r="R862" s="166"/>
      <c r="S862" s="166"/>
      <c r="T862" s="166"/>
      <c r="U862" s="166"/>
      <c r="V862" s="166"/>
    </row>
    <row r="863" spans="17:22" ht="12">
      <c r="Q863" s="166"/>
      <c r="R863" s="166"/>
      <c r="S863" s="166"/>
      <c r="T863" s="166"/>
      <c r="U863" s="166"/>
      <c r="V863" s="166"/>
    </row>
    <row r="864" spans="17:22" ht="12">
      <c r="Q864" s="166"/>
      <c r="R864" s="166"/>
      <c r="S864" s="166"/>
      <c r="T864" s="166"/>
      <c r="U864" s="166"/>
      <c r="V864" s="166"/>
    </row>
    <row r="865" spans="17:22" ht="12">
      <c r="Q865" s="166"/>
      <c r="R865" s="166"/>
      <c r="S865" s="166"/>
      <c r="T865" s="166"/>
      <c r="U865" s="166"/>
      <c r="V865" s="166"/>
    </row>
    <row r="866" spans="17:22" ht="12">
      <c r="Q866" s="166"/>
      <c r="R866" s="166"/>
      <c r="S866" s="166"/>
      <c r="T866" s="166"/>
      <c r="U866" s="166"/>
      <c r="V866" s="166"/>
    </row>
    <row r="867" spans="17:22" ht="12">
      <c r="Q867" s="166"/>
      <c r="R867" s="166"/>
      <c r="S867" s="166"/>
      <c r="T867" s="166"/>
      <c r="U867" s="166"/>
      <c r="V867" s="166"/>
    </row>
    <row r="868" spans="17:22" ht="12">
      <c r="Q868" s="166"/>
      <c r="R868" s="166"/>
      <c r="S868" s="166"/>
      <c r="T868" s="166"/>
      <c r="U868" s="166"/>
      <c r="V868" s="166"/>
    </row>
    <row r="869" spans="17:22" ht="12">
      <c r="Q869" s="166"/>
      <c r="R869" s="166"/>
      <c r="S869" s="166"/>
      <c r="T869" s="166"/>
      <c r="U869" s="166"/>
      <c r="V869" s="166"/>
    </row>
    <row r="870" spans="17:22" ht="12">
      <c r="Q870" s="166"/>
      <c r="R870" s="166"/>
      <c r="S870" s="166"/>
      <c r="T870" s="166"/>
      <c r="U870" s="166"/>
      <c r="V870" s="166"/>
    </row>
    <row r="871" spans="17:22" ht="12">
      <c r="Q871" s="166"/>
      <c r="R871" s="166"/>
      <c r="S871" s="166"/>
      <c r="T871" s="166"/>
      <c r="U871" s="166"/>
      <c r="V871" s="166"/>
    </row>
    <row r="872" spans="17:22" ht="12">
      <c r="Q872" s="166"/>
      <c r="R872" s="166"/>
      <c r="S872" s="166"/>
      <c r="T872" s="166"/>
      <c r="U872" s="166"/>
      <c r="V872" s="166"/>
    </row>
    <row r="873" spans="17:22" ht="12">
      <c r="Q873" s="166"/>
      <c r="R873" s="166"/>
      <c r="S873" s="166"/>
      <c r="T873" s="166"/>
      <c r="U873" s="166"/>
      <c r="V873" s="166"/>
    </row>
    <row r="874" spans="17:22" ht="12">
      <c r="Q874" s="166"/>
      <c r="R874" s="166"/>
      <c r="S874" s="166"/>
      <c r="T874" s="166"/>
      <c r="U874" s="166"/>
      <c r="V874" s="166"/>
    </row>
    <row r="875" spans="17:22" ht="12">
      <c r="Q875" s="166"/>
      <c r="R875" s="166"/>
      <c r="S875" s="166"/>
      <c r="T875" s="166"/>
      <c r="U875" s="166"/>
      <c r="V875" s="166"/>
    </row>
    <row r="876" spans="17:22" ht="12">
      <c r="Q876" s="166"/>
      <c r="R876" s="166"/>
      <c r="S876" s="166"/>
      <c r="T876" s="166"/>
      <c r="U876" s="166"/>
      <c r="V876" s="166"/>
    </row>
    <row r="877" spans="17:22" ht="12">
      <c r="Q877" s="166"/>
      <c r="R877" s="166"/>
      <c r="S877" s="166"/>
      <c r="T877" s="166"/>
      <c r="U877" s="166"/>
      <c r="V877" s="166"/>
    </row>
    <row r="878" spans="17:22" ht="12">
      <c r="Q878" s="166"/>
      <c r="R878" s="166"/>
      <c r="S878" s="166"/>
      <c r="T878" s="166"/>
      <c r="U878" s="166"/>
      <c r="V878" s="166"/>
    </row>
    <row r="879" spans="17:22" ht="12">
      <c r="Q879" s="166"/>
      <c r="R879" s="166"/>
      <c r="S879" s="166"/>
      <c r="T879" s="166"/>
      <c r="U879" s="166"/>
      <c r="V879" s="166"/>
    </row>
    <row r="880" spans="17:22" ht="12">
      <c r="Q880" s="166"/>
      <c r="R880" s="166"/>
      <c r="S880" s="166"/>
      <c r="T880" s="166"/>
      <c r="U880" s="166"/>
      <c r="V880" s="166"/>
    </row>
    <row r="881" spans="17:22" ht="12">
      <c r="Q881" s="166"/>
      <c r="R881" s="166"/>
      <c r="S881" s="166"/>
      <c r="T881" s="166"/>
      <c r="U881" s="166"/>
      <c r="V881" s="166"/>
    </row>
    <row r="882" spans="17:22" ht="12">
      <c r="Q882" s="166"/>
      <c r="R882" s="166"/>
      <c r="S882" s="166"/>
      <c r="T882" s="166"/>
      <c r="U882" s="166"/>
      <c r="V882" s="166"/>
    </row>
    <row r="883" spans="17:22" ht="12">
      <c r="Q883" s="166"/>
      <c r="R883" s="166"/>
      <c r="S883" s="166"/>
      <c r="T883" s="166"/>
      <c r="U883" s="166"/>
      <c r="V883" s="166"/>
    </row>
    <row r="884" spans="17:22" ht="12">
      <c r="Q884" s="166"/>
      <c r="R884" s="166"/>
      <c r="S884" s="166"/>
      <c r="T884" s="166"/>
      <c r="U884" s="166"/>
      <c r="V884" s="166"/>
    </row>
    <row r="885" spans="17:22" ht="12">
      <c r="Q885" s="166"/>
      <c r="R885" s="166"/>
      <c r="S885" s="166"/>
      <c r="T885" s="166"/>
      <c r="U885" s="166"/>
      <c r="V885" s="166"/>
    </row>
    <row r="886" spans="17:22" ht="12">
      <c r="Q886" s="166"/>
      <c r="R886" s="166"/>
      <c r="S886" s="166"/>
      <c r="T886" s="166"/>
      <c r="U886" s="166"/>
      <c r="V886" s="166"/>
    </row>
    <row r="887" spans="17:22" ht="12">
      <c r="Q887" s="166"/>
      <c r="R887" s="166"/>
      <c r="S887" s="166"/>
      <c r="T887" s="166"/>
      <c r="U887" s="166"/>
      <c r="V887" s="166"/>
    </row>
    <row r="888" spans="17:22" ht="12">
      <c r="Q888" s="166"/>
      <c r="R888" s="166"/>
      <c r="S888" s="166"/>
      <c r="T888" s="166"/>
      <c r="U888" s="166"/>
      <c r="V888" s="166"/>
    </row>
    <row r="889" spans="17:22" ht="12">
      <c r="Q889" s="166"/>
      <c r="R889" s="166"/>
      <c r="S889" s="166"/>
      <c r="T889" s="166"/>
      <c r="U889" s="166"/>
      <c r="V889" s="166"/>
    </row>
    <row r="890" spans="17:22" ht="12">
      <c r="Q890" s="166"/>
      <c r="R890" s="166"/>
      <c r="S890" s="166"/>
      <c r="T890" s="166"/>
      <c r="U890" s="166"/>
      <c r="V890" s="166"/>
    </row>
    <row r="891" spans="17:22" ht="12">
      <c r="Q891" s="166"/>
      <c r="R891" s="166"/>
      <c r="S891" s="166"/>
      <c r="T891" s="166"/>
      <c r="U891" s="166"/>
      <c r="V891" s="166"/>
    </row>
    <row r="892" spans="17:22" ht="12">
      <c r="Q892" s="166"/>
      <c r="R892" s="166"/>
      <c r="S892" s="166"/>
      <c r="T892" s="166"/>
      <c r="U892" s="166"/>
      <c r="V892" s="166"/>
    </row>
    <row r="893" spans="17:22" ht="12">
      <c r="Q893" s="166"/>
      <c r="R893" s="166"/>
      <c r="S893" s="166"/>
      <c r="T893" s="166"/>
      <c r="U893" s="166"/>
      <c r="V893" s="166"/>
    </row>
    <row r="894" spans="17:22" ht="12">
      <c r="Q894" s="166"/>
      <c r="R894" s="166"/>
      <c r="S894" s="166"/>
      <c r="T894" s="166"/>
      <c r="U894" s="166"/>
      <c r="V894" s="166"/>
    </row>
    <row r="895" spans="17:22" ht="12">
      <c r="Q895" s="166"/>
      <c r="R895" s="166"/>
      <c r="S895" s="166"/>
      <c r="T895" s="166"/>
      <c r="U895" s="166"/>
      <c r="V895" s="166"/>
    </row>
    <row r="896" spans="17:22" ht="12">
      <c r="Q896" s="166"/>
      <c r="R896" s="166"/>
      <c r="S896" s="166"/>
      <c r="T896" s="166"/>
      <c r="U896" s="166"/>
      <c r="V896" s="166"/>
    </row>
    <row r="897" spans="17:22" ht="12">
      <c r="Q897" s="166"/>
      <c r="R897" s="166"/>
      <c r="S897" s="166"/>
      <c r="T897" s="166"/>
      <c r="U897" s="166"/>
      <c r="V897" s="166"/>
    </row>
    <row r="898" spans="17:22" ht="12">
      <c r="Q898" s="166"/>
      <c r="R898" s="166"/>
      <c r="S898" s="166"/>
      <c r="T898" s="166"/>
      <c r="U898" s="166"/>
      <c r="V898" s="166"/>
    </row>
    <row r="899" spans="17:22" ht="12">
      <c r="Q899" s="166"/>
      <c r="R899" s="166"/>
      <c r="S899" s="166"/>
      <c r="T899" s="166"/>
      <c r="U899" s="166"/>
      <c r="V899" s="166"/>
    </row>
    <row r="900" spans="17:22" ht="12">
      <c r="Q900" s="166"/>
      <c r="R900" s="166"/>
      <c r="S900" s="166"/>
      <c r="T900" s="166"/>
      <c r="U900" s="166"/>
      <c r="V900" s="166"/>
    </row>
    <row r="901" spans="17:22" ht="12">
      <c r="Q901" s="166"/>
      <c r="R901" s="166"/>
      <c r="S901" s="166"/>
      <c r="T901" s="166"/>
      <c r="U901" s="166"/>
      <c r="V901" s="166"/>
    </row>
    <row r="902" spans="17:22" ht="12">
      <c r="Q902" s="166"/>
      <c r="R902" s="166"/>
      <c r="S902" s="166"/>
      <c r="T902" s="166"/>
      <c r="U902" s="166"/>
      <c r="V902" s="166"/>
    </row>
    <row r="903" spans="17:22" ht="12">
      <c r="Q903" s="166"/>
      <c r="R903" s="166"/>
      <c r="S903" s="166"/>
      <c r="T903" s="166"/>
      <c r="U903" s="166"/>
      <c r="V903" s="166"/>
    </row>
    <row r="904" spans="17:22" ht="12">
      <c r="Q904" s="166"/>
      <c r="R904" s="166"/>
      <c r="S904" s="166"/>
      <c r="T904" s="166"/>
      <c r="U904" s="166"/>
      <c r="V904" s="166"/>
    </row>
    <row r="905" spans="17:22" ht="12">
      <c r="Q905" s="166"/>
      <c r="R905" s="166"/>
      <c r="S905" s="166"/>
      <c r="T905" s="166"/>
      <c r="U905" s="166"/>
      <c r="V905" s="166"/>
    </row>
    <row r="906" spans="17:22" ht="12">
      <c r="Q906" s="166"/>
      <c r="R906" s="166"/>
      <c r="S906" s="166"/>
      <c r="T906" s="166"/>
      <c r="U906" s="166"/>
      <c r="V906" s="166"/>
    </row>
    <row r="907" spans="17:22" ht="12">
      <c r="Q907" s="166"/>
      <c r="R907" s="166"/>
      <c r="S907" s="166"/>
      <c r="T907" s="166"/>
      <c r="U907" s="166"/>
      <c r="V907" s="166"/>
    </row>
    <row r="908" spans="17:22" ht="12">
      <c r="Q908" s="166"/>
      <c r="R908" s="166"/>
      <c r="S908" s="166"/>
      <c r="T908" s="166"/>
      <c r="U908" s="166"/>
      <c r="V908" s="166"/>
    </row>
    <row r="909" spans="17:22" ht="12">
      <c r="Q909" s="166"/>
      <c r="R909" s="166"/>
      <c r="S909" s="166"/>
      <c r="T909" s="166"/>
      <c r="U909" s="166"/>
      <c r="V909" s="166"/>
    </row>
    <row r="910" spans="17:22" ht="12">
      <c r="Q910" s="166"/>
      <c r="R910" s="166"/>
      <c r="S910" s="166"/>
      <c r="T910" s="166"/>
      <c r="U910" s="166"/>
      <c r="V910" s="166"/>
    </row>
    <row r="911" spans="17:22" ht="12">
      <c r="Q911" s="166"/>
      <c r="R911" s="166"/>
      <c r="S911" s="166"/>
      <c r="T911" s="166"/>
      <c r="U911" s="166"/>
      <c r="V911" s="166"/>
    </row>
    <row r="912" spans="17:22" ht="12">
      <c r="Q912" s="166"/>
      <c r="R912" s="166"/>
      <c r="S912" s="166"/>
      <c r="T912" s="166"/>
      <c r="U912" s="166"/>
      <c r="V912" s="166"/>
    </row>
    <row r="913" spans="17:22" ht="12">
      <c r="Q913" s="166"/>
      <c r="R913" s="166"/>
      <c r="S913" s="166"/>
      <c r="T913" s="166"/>
      <c r="U913" s="166"/>
      <c r="V913" s="166"/>
    </row>
    <row r="914" spans="17:22" ht="12">
      <c r="Q914" s="166"/>
      <c r="R914" s="166"/>
      <c r="S914" s="166"/>
      <c r="T914" s="166"/>
      <c r="U914" s="166"/>
      <c r="V914" s="166"/>
    </row>
    <row r="915" spans="17:22" ht="12">
      <c r="Q915" s="166"/>
      <c r="R915" s="166"/>
      <c r="S915" s="166"/>
      <c r="T915" s="166"/>
      <c r="U915" s="166"/>
      <c r="V915" s="166"/>
    </row>
    <row r="916" spans="17:22" ht="12">
      <c r="Q916" s="166"/>
      <c r="R916" s="166"/>
      <c r="S916" s="166"/>
      <c r="T916" s="166"/>
      <c r="U916" s="166"/>
      <c r="V916" s="166"/>
    </row>
    <row r="917" spans="17:22" ht="12">
      <c r="Q917" s="166"/>
      <c r="R917" s="166"/>
      <c r="S917" s="166"/>
      <c r="T917" s="166"/>
      <c r="U917" s="166"/>
      <c r="V917" s="166"/>
    </row>
    <row r="918" spans="17:22" ht="12">
      <c r="Q918" s="166"/>
      <c r="R918" s="166"/>
      <c r="S918" s="166"/>
      <c r="T918" s="166"/>
      <c r="U918" s="166"/>
      <c r="V918" s="166"/>
    </row>
    <row r="919" spans="17:22" ht="12">
      <c r="Q919" s="166"/>
      <c r="R919" s="166"/>
      <c r="S919" s="166"/>
      <c r="T919" s="166"/>
      <c r="U919" s="166"/>
      <c r="V919" s="166"/>
    </row>
    <row r="920" spans="17:22" ht="12">
      <c r="Q920" s="166"/>
      <c r="R920" s="166"/>
      <c r="S920" s="166"/>
      <c r="T920" s="166"/>
      <c r="U920" s="166"/>
      <c r="V920" s="166"/>
    </row>
    <row r="921" spans="17:22" ht="12">
      <c r="Q921" s="166"/>
      <c r="R921" s="166"/>
      <c r="S921" s="166"/>
      <c r="T921" s="166"/>
      <c r="U921" s="166"/>
      <c r="V921" s="166"/>
    </row>
    <row r="922" spans="17:22" ht="12">
      <c r="Q922" s="166"/>
      <c r="R922" s="166"/>
      <c r="S922" s="166"/>
      <c r="T922" s="166"/>
      <c r="U922" s="166"/>
      <c r="V922" s="166"/>
    </row>
    <row r="923" spans="17:22" ht="12">
      <c r="Q923" s="166"/>
      <c r="R923" s="166"/>
      <c r="S923" s="166"/>
      <c r="T923" s="166"/>
      <c r="U923" s="166"/>
      <c r="V923" s="166"/>
    </row>
    <row r="924" spans="17:22" ht="12">
      <c r="Q924" s="166"/>
      <c r="R924" s="166"/>
      <c r="S924" s="166"/>
      <c r="T924" s="166"/>
      <c r="U924" s="166"/>
      <c r="V924" s="166"/>
    </row>
    <row r="925" spans="17:22" ht="12">
      <c r="Q925" s="166"/>
      <c r="R925" s="166"/>
      <c r="S925" s="166"/>
      <c r="T925" s="166"/>
      <c r="U925" s="166"/>
      <c r="V925" s="166"/>
    </row>
    <row r="926" spans="17:22" ht="12">
      <c r="Q926" s="166"/>
      <c r="R926" s="166"/>
      <c r="S926" s="166"/>
      <c r="T926" s="166"/>
      <c r="U926" s="166"/>
      <c r="V926" s="166"/>
    </row>
    <row r="927" spans="17:22" ht="12">
      <c r="Q927" s="166"/>
      <c r="R927" s="166"/>
      <c r="S927" s="166"/>
      <c r="T927" s="166"/>
      <c r="U927" s="166"/>
      <c r="V927" s="166"/>
    </row>
    <row r="928" spans="17:22" ht="12">
      <c r="Q928" s="166"/>
      <c r="R928" s="166"/>
      <c r="S928" s="166"/>
      <c r="T928" s="166"/>
      <c r="U928" s="166"/>
      <c r="V928" s="166"/>
    </row>
    <row r="929" spans="17:22" ht="12">
      <c r="Q929" s="166"/>
      <c r="R929" s="166"/>
      <c r="S929" s="166"/>
      <c r="T929" s="166"/>
      <c r="U929" s="166"/>
      <c r="V929" s="166"/>
    </row>
    <row r="930" spans="17:22" ht="12">
      <c r="Q930" s="166"/>
      <c r="R930" s="166"/>
      <c r="S930" s="166"/>
      <c r="T930" s="166"/>
      <c r="U930" s="166"/>
      <c r="V930" s="166"/>
    </row>
    <row r="931" spans="17:22" ht="12">
      <c r="Q931" s="166"/>
      <c r="R931" s="166"/>
      <c r="S931" s="166"/>
      <c r="T931" s="166"/>
      <c r="U931" s="166"/>
      <c r="V931" s="166"/>
    </row>
    <row r="932" spans="17:22" ht="12">
      <c r="Q932" s="166"/>
      <c r="R932" s="166"/>
      <c r="S932" s="166"/>
      <c r="T932" s="166"/>
      <c r="U932" s="166"/>
      <c r="V932" s="166"/>
    </row>
    <row r="933" spans="17:22" ht="12">
      <c r="Q933" s="166"/>
      <c r="R933" s="166"/>
      <c r="S933" s="166"/>
      <c r="T933" s="166"/>
      <c r="U933" s="166"/>
      <c r="V933" s="166"/>
    </row>
    <row r="934" spans="17:22" ht="12">
      <c r="Q934" s="166"/>
      <c r="R934" s="166"/>
      <c r="S934" s="166"/>
      <c r="T934" s="166"/>
      <c r="U934" s="166"/>
      <c r="V934" s="166"/>
    </row>
    <row r="935" spans="17:22" ht="12">
      <c r="Q935" s="166"/>
      <c r="R935" s="166"/>
      <c r="S935" s="166"/>
      <c r="T935" s="166"/>
      <c r="U935" s="166"/>
      <c r="V935" s="166"/>
    </row>
    <row r="936" spans="17:22" ht="12">
      <c r="Q936" s="166"/>
      <c r="R936" s="166"/>
      <c r="S936" s="166"/>
      <c r="T936" s="166"/>
      <c r="U936" s="166"/>
      <c r="V936" s="166"/>
    </row>
    <row r="937" spans="17:22" ht="12">
      <c r="Q937" s="166"/>
      <c r="R937" s="166"/>
      <c r="S937" s="166"/>
      <c r="T937" s="166"/>
      <c r="U937" s="166"/>
      <c r="V937" s="166"/>
    </row>
    <row r="938" spans="17:22" ht="12">
      <c r="Q938" s="166"/>
      <c r="R938" s="166"/>
      <c r="S938" s="166"/>
      <c r="T938" s="166"/>
      <c r="U938" s="166"/>
      <c r="V938" s="166"/>
    </row>
    <row r="939" spans="17:22" ht="12">
      <c r="Q939" s="166"/>
      <c r="R939" s="166"/>
      <c r="S939" s="166"/>
      <c r="T939" s="166"/>
      <c r="U939" s="166"/>
      <c r="V939" s="166"/>
    </row>
    <row r="940" spans="17:22" ht="12">
      <c r="Q940" s="166"/>
      <c r="R940" s="166"/>
      <c r="S940" s="166"/>
      <c r="T940" s="166"/>
      <c r="U940" s="166"/>
      <c r="V940" s="166"/>
    </row>
    <row r="941" spans="17:22" ht="12">
      <c r="Q941" s="166"/>
      <c r="R941" s="166"/>
      <c r="S941" s="166"/>
      <c r="T941" s="166"/>
      <c r="U941" s="166"/>
      <c r="V941" s="166"/>
    </row>
    <row r="942" spans="17:22" ht="12">
      <c r="Q942" s="166"/>
      <c r="R942" s="166"/>
      <c r="S942" s="166"/>
      <c r="T942" s="166"/>
      <c r="U942" s="166"/>
      <c r="V942" s="166"/>
    </row>
    <row r="943" spans="17:22" ht="12">
      <c r="Q943" s="166"/>
      <c r="R943" s="166"/>
      <c r="S943" s="166"/>
      <c r="T943" s="166"/>
      <c r="U943" s="166"/>
      <c r="V943" s="166"/>
    </row>
    <row r="944" spans="17:22" ht="12">
      <c r="Q944" s="166"/>
      <c r="R944" s="166"/>
      <c r="S944" s="166"/>
      <c r="T944" s="166"/>
      <c r="U944" s="166"/>
      <c r="V944" s="166"/>
    </row>
    <row r="945" spans="17:22" ht="12">
      <c r="Q945" s="166"/>
      <c r="R945" s="166"/>
      <c r="S945" s="166"/>
      <c r="T945" s="166"/>
      <c r="U945" s="166"/>
      <c r="V945" s="166"/>
    </row>
    <row r="946" spans="17:22" ht="12">
      <c r="Q946" s="166"/>
      <c r="R946" s="166"/>
      <c r="S946" s="166"/>
      <c r="T946" s="166"/>
      <c r="U946" s="166"/>
      <c r="V946" s="166"/>
    </row>
    <row r="947" spans="17:22" ht="12">
      <c r="Q947" s="166"/>
      <c r="R947" s="166"/>
      <c r="S947" s="166"/>
      <c r="T947" s="166"/>
      <c r="U947" s="166"/>
      <c r="V947" s="166"/>
    </row>
    <row r="948" spans="17:22" ht="12">
      <c r="Q948" s="166"/>
      <c r="R948" s="166"/>
      <c r="S948" s="166"/>
      <c r="T948" s="166"/>
      <c r="U948" s="166"/>
      <c r="V948" s="166"/>
    </row>
    <row r="949" spans="17:22" ht="12">
      <c r="Q949" s="166"/>
      <c r="R949" s="166"/>
      <c r="S949" s="166"/>
      <c r="T949" s="166"/>
      <c r="U949" s="166"/>
      <c r="V949" s="166"/>
    </row>
    <row r="950" spans="17:22" ht="12">
      <c r="Q950" s="166"/>
      <c r="R950" s="166"/>
      <c r="S950" s="166"/>
      <c r="T950" s="166"/>
      <c r="U950" s="166"/>
      <c r="V950" s="166"/>
    </row>
    <row r="951" spans="17:22" ht="12">
      <c r="Q951" s="166"/>
      <c r="R951" s="166"/>
      <c r="S951" s="166"/>
      <c r="T951" s="166"/>
      <c r="U951" s="166"/>
      <c r="V951" s="166"/>
    </row>
    <row r="952" spans="17:22" ht="12">
      <c r="Q952" s="166"/>
      <c r="R952" s="166"/>
      <c r="S952" s="166"/>
      <c r="T952" s="166"/>
      <c r="U952" s="166"/>
      <c r="V952" s="166"/>
    </row>
    <row r="953" spans="17:22" ht="12">
      <c r="Q953" s="166"/>
      <c r="R953" s="166"/>
      <c r="S953" s="166"/>
      <c r="T953" s="166"/>
      <c r="U953" s="166"/>
      <c r="V953" s="166"/>
    </row>
    <row r="954" spans="17:22" ht="12">
      <c r="Q954" s="166"/>
      <c r="R954" s="166"/>
      <c r="S954" s="166"/>
      <c r="T954" s="166"/>
      <c r="U954" s="166"/>
      <c r="V954" s="166"/>
    </row>
    <row r="955" spans="17:22" ht="12">
      <c r="Q955" s="166"/>
      <c r="R955" s="166"/>
      <c r="S955" s="166"/>
      <c r="T955" s="166"/>
      <c r="U955" s="166"/>
      <c r="V955" s="166"/>
    </row>
    <row r="956" spans="17:22" ht="12">
      <c r="Q956" s="166"/>
      <c r="R956" s="166"/>
      <c r="S956" s="166"/>
      <c r="T956" s="166"/>
      <c r="U956" s="166"/>
      <c r="V956" s="166"/>
    </row>
    <row r="957" spans="17:22" ht="12">
      <c r="Q957" s="166"/>
      <c r="R957" s="166"/>
      <c r="S957" s="166"/>
      <c r="T957" s="166"/>
      <c r="U957" s="166"/>
      <c r="V957" s="166"/>
    </row>
    <row r="958" spans="17:22" ht="12">
      <c r="Q958" s="166"/>
      <c r="R958" s="166"/>
      <c r="S958" s="166"/>
      <c r="T958" s="166"/>
      <c r="U958" s="166"/>
      <c r="V958" s="166"/>
    </row>
    <row r="959" spans="17:22" ht="12">
      <c r="Q959" s="166"/>
      <c r="R959" s="166"/>
      <c r="S959" s="166"/>
      <c r="T959" s="166"/>
      <c r="U959" s="166"/>
      <c r="V959" s="166"/>
    </row>
    <row r="960" spans="17:22" ht="12">
      <c r="Q960" s="166"/>
      <c r="R960" s="166"/>
      <c r="S960" s="166"/>
      <c r="T960" s="166"/>
      <c r="U960" s="166"/>
      <c r="V960" s="166"/>
    </row>
    <row r="961" spans="17:22" ht="12">
      <c r="Q961" s="166"/>
      <c r="R961" s="166"/>
      <c r="S961" s="166"/>
      <c r="T961" s="166"/>
      <c r="U961" s="166"/>
      <c r="V961" s="166"/>
    </row>
    <row r="962" spans="17:22" ht="12">
      <c r="Q962" s="166"/>
      <c r="R962" s="166"/>
      <c r="S962" s="166"/>
      <c r="T962" s="166"/>
      <c r="U962" s="166"/>
      <c r="V962" s="166"/>
    </row>
    <row r="963" spans="17:22" ht="12">
      <c r="Q963" s="166"/>
      <c r="R963" s="166"/>
      <c r="S963" s="166"/>
      <c r="T963" s="166"/>
      <c r="U963" s="166"/>
      <c r="V963" s="166"/>
    </row>
    <row r="964" spans="17:22" ht="12">
      <c r="Q964" s="166"/>
      <c r="R964" s="166"/>
      <c r="S964" s="166"/>
      <c r="T964" s="166"/>
      <c r="U964" s="166"/>
      <c r="V964" s="166"/>
    </row>
    <row r="965" spans="17:22" ht="12">
      <c r="Q965" s="166"/>
      <c r="R965" s="166"/>
      <c r="S965" s="166"/>
      <c r="T965" s="166"/>
      <c r="U965" s="166"/>
      <c r="V965" s="166"/>
    </row>
    <row r="966" spans="17:22" ht="12">
      <c r="Q966" s="166"/>
      <c r="R966" s="166"/>
      <c r="S966" s="166"/>
      <c r="T966" s="166"/>
      <c r="U966" s="166"/>
      <c r="V966" s="166"/>
    </row>
    <row r="967" spans="17:22" ht="12">
      <c r="Q967" s="166"/>
      <c r="R967" s="166"/>
      <c r="S967" s="166"/>
      <c r="T967" s="166"/>
      <c r="U967" s="166"/>
      <c r="V967" s="166"/>
    </row>
    <row r="968" spans="17:22" ht="12">
      <c r="Q968" s="166"/>
      <c r="R968" s="166"/>
      <c r="S968" s="166"/>
      <c r="T968" s="166"/>
      <c r="U968" s="166"/>
      <c r="V968" s="166"/>
    </row>
    <row r="969" spans="17:22" ht="12">
      <c r="Q969" s="166"/>
      <c r="R969" s="166"/>
      <c r="S969" s="166"/>
      <c r="T969" s="166"/>
      <c r="U969" s="166"/>
      <c r="V969" s="166"/>
    </row>
    <row r="970" spans="17:22" ht="12">
      <c r="Q970" s="166"/>
      <c r="R970" s="166"/>
      <c r="S970" s="166"/>
      <c r="T970" s="166"/>
      <c r="U970" s="166"/>
      <c r="V970" s="166"/>
    </row>
    <row r="971" spans="17:22" ht="12">
      <c r="Q971" s="166"/>
      <c r="R971" s="166"/>
      <c r="S971" s="166"/>
      <c r="T971" s="166"/>
      <c r="U971" s="166"/>
      <c r="V971" s="166"/>
    </row>
    <row r="972" spans="17:22" ht="12">
      <c r="Q972" s="166"/>
      <c r="R972" s="166"/>
      <c r="S972" s="166"/>
      <c r="T972" s="166"/>
      <c r="U972" s="166"/>
      <c r="V972" s="166"/>
    </row>
    <row r="973" spans="17:22" ht="12">
      <c r="Q973" s="166"/>
      <c r="R973" s="166"/>
      <c r="S973" s="166"/>
      <c r="T973" s="166"/>
      <c r="U973" s="166"/>
      <c r="V973" s="166"/>
    </row>
    <row r="974" spans="17:22" ht="12">
      <c r="Q974" s="166"/>
      <c r="R974" s="166"/>
      <c r="S974" s="166"/>
      <c r="T974" s="166"/>
      <c r="U974" s="166"/>
      <c r="V974" s="166"/>
    </row>
    <row r="975" spans="17:22" ht="12">
      <c r="Q975" s="166"/>
      <c r="R975" s="166"/>
      <c r="S975" s="166"/>
      <c r="T975" s="166"/>
      <c r="U975" s="166"/>
      <c r="V975" s="166"/>
    </row>
    <row r="976" spans="17:22" ht="12">
      <c r="Q976" s="166"/>
      <c r="R976" s="166"/>
      <c r="S976" s="166"/>
      <c r="T976" s="166"/>
      <c r="U976" s="166"/>
      <c r="V976" s="166"/>
    </row>
    <row r="977" spans="17:22" ht="12">
      <c r="Q977" s="166"/>
      <c r="R977" s="166"/>
      <c r="S977" s="166"/>
      <c r="T977" s="166"/>
      <c r="U977" s="166"/>
      <c r="V977" s="166"/>
    </row>
    <row r="978" spans="17:22" ht="12">
      <c r="Q978" s="166"/>
      <c r="R978" s="166"/>
      <c r="S978" s="166"/>
      <c r="T978" s="166"/>
      <c r="U978" s="166"/>
      <c r="V978" s="166"/>
    </row>
    <row r="979" spans="17:22" ht="12">
      <c r="Q979" s="166"/>
      <c r="R979" s="166"/>
      <c r="S979" s="166"/>
      <c r="T979" s="166"/>
      <c r="U979" s="166"/>
      <c r="V979" s="166"/>
    </row>
    <row r="980" spans="17:22" ht="12">
      <c r="Q980" s="166"/>
      <c r="R980" s="166"/>
      <c r="S980" s="166"/>
      <c r="T980" s="166"/>
      <c r="U980" s="166"/>
      <c r="V980" s="166"/>
    </row>
    <row r="981" spans="17:22" ht="12">
      <c r="Q981" s="166"/>
      <c r="R981" s="166"/>
      <c r="S981" s="166"/>
      <c r="T981" s="166"/>
      <c r="U981" s="166"/>
      <c r="V981" s="166"/>
    </row>
    <row r="982" spans="17:22" ht="12">
      <c r="Q982" s="166"/>
      <c r="R982" s="166"/>
      <c r="S982" s="166"/>
      <c r="T982" s="166"/>
      <c r="U982" s="166"/>
      <c r="V982" s="166"/>
    </row>
    <row r="983" spans="17:22" ht="12">
      <c r="Q983" s="166"/>
      <c r="R983" s="166"/>
      <c r="S983" s="166"/>
      <c r="T983" s="166"/>
      <c r="U983" s="166"/>
      <c r="V983" s="166"/>
    </row>
    <row r="984" spans="17:22" ht="12">
      <c r="Q984" s="166"/>
      <c r="R984" s="166"/>
      <c r="S984" s="166"/>
      <c r="T984" s="166"/>
      <c r="U984" s="166"/>
      <c r="V984" s="166"/>
    </row>
    <row r="985" spans="17:22" ht="12">
      <c r="Q985" s="166"/>
      <c r="R985" s="166"/>
      <c r="S985" s="166"/>
      <c r="T985" s="166"/>
      <c r="U985" s="166"/>
      <c r="V985" s="166"/>
    </row>
    <row r="986" spans="17:22" ht="12">
      <c r="Q986" s="166"/>
      <c r="R986" s="166"/>
      <c r="S986" s="166"/>
      <c r="T986" s="166"/>
      <c r="U986" s="166"/>
      <c r="V986" s="166"/>
    </row>
    <row r="987" spans="17:22" ht="12">
      <c r="Q987" s="166"/>
      <c r="R987" s="166"/>
      <c r="S987" s="166"/>
      <c r="T987" s="166"/>
      <c r="U987" s="166"/>
      <c r="V987" s="166"/>
    </row>
    <row r="988" spans="17:22" ht="12">
      <c r="Q988" s="166"/>
      <c r="R988" s="166"/>
      <c r="S988" s="166"/>
      <c r="T988" s="166"/>
      <c r="U988" s="166"/>
      <c r="V988" s="166"/>
    </row>
    <row r="989" spans="17:22" ht="12">
      <c r="Q989" s="166"/>
      <c r="R989" s="166"/>
      <c r="S989" s="166"/>
      <c r="T989" s="166"/>
      <c r="U989" s="166"/>
      <c r="V989" s="166"/>
    </row>
    <row r="990" spans="17:22" ht="12">
      <c r="Q990" s="166"/>
      <c r="R990" s="166"/>
      <c r="S990" s="166"/>
      <c r="T990" s="166"/>
      <c r="U990" s="166"/>
      <c r="V990" s="166"/>
    </row>
    <row r="991" spans="17:22" ht="12">
      <c r="Q991" s="166"/>
      <c r="R991" s="166"/>
      <c r="S991" s="166"/>
      <c r="T991" s="166"/>
      <c r="U991" s="166"/>
      <c r="V991" s="166"/>
    </row>
    <row r="992" spans="17:22" ht="12">
      <c r="Q992" s="166"/>
      <c r="R992" s="166"/>
      <c r="S992" s="166"/>
      <c r="T992" s="166"/>
      <c r="U992" s="166"/>
      <c r="V992" s="166"/>
    </row>
    <row r="993" spans="17:22" ht="12">
      <c r="Q993" s="166"/>
      <c r="R993" s="166"/>
      <c r="S993" s="166"/>
      <c r="T993" s="166"/>
      <c r="U993" s="166"/>
      <c r="V993" s="166"/>
    </row>
    <row r="994" spans="17:22" ht="12">
      <c r="Q994" s="166"/>
      <c r="R994" s="166"/>
      <c r="S994" s="166"/>
      <c r="T994" s="166"/>
      <c r="U994" s="166"/>
      <c r="V994" s="166"/>
    </row>
    <row r="995" spans="17:22" ht="12">
      <c r="Q995" s="166"/>
      <c r="R995" s="166"/>
      <c r="S995" s="166"/>
      <c r="T995" s="166"/>
      <c r="U995" s="166"/>
      <c r="V995" s="166"/>
    </row>
    <row r="996" spans="17:22" ht="12">
      <c r="Q996" s="166"/>
      <c r="R996" s="166"/>
      <c r="S996" s="166"/>
      <c r="T996" s="166"/>
      <c r="U996" s="166"/>
      <c r="V996" s="166"/>
    </row>
    <row r="997" spans="17:22" ht="12">
      <c r="Q997" s="166"/>
      <c r="R997" s="166"/>
      <c r="S997" s="166"/>
      <c r="T997" s="166"/>
      <c r="U997" s="166"/>
      <c r="V997" s="166"/>
    </row>
    <row r="998" spans="17:22" ht="12">
      <c r="Q998" s="166"/>
      <c r="R998" s="166"/>
      <c r="S998" s="166"/>
      <c r="T998" s="166"/>
      <c r="U998" s="166"/>
      <c r="V998" s="166"/>
    </row>
    <row r="999" spans="17:22" ht="12">
      <c r="Q999" s="166"/>
      <c r="R999" s="166"/>
      <c r="S999" s="166"/>
      <c r="T999" s="166"/>
      <c r="U999" s="166"/>
      <c r="V999" s="166"/>
    </row>
    <row r="1000" spans="17:22" ht="12">
      <c r="Q1000" s="166"/>
      <c r="R1000" s="166"/>
      <c r="S1000" s="166"/>
      <c r="T1000" s="166"/>
      <c r="U1000" s="166"/>
      <c r="V1000" s="166"/>
    </row>
    <row r="1001" spans="17:22" ht="12">
      <c r="Q1001" s="166"/>
      <c r="R1001" s="166"/>
      <c r="S1001" s="166"/>
      <c r="T1001" s="166"/>
      <c r="U1001" s="166"/>
      <c r="V1001" s="166"/>
    </row>
    <row r="1002" spans="17:22" ht="12">
      <c r="Q1002" s="166"/>
      <c r="R1002" s="166"/>
      <c r="S1002" s="166"/>
      <c r="T1002" s="166"/>
      <c r="U1002" s="166"/>
      <c r="V1002" s="166"/>
    </row>
    <row r="1003" spans="17:22" ht="12">
      <c r="Q1003" s="166"/>
      <c r="R1003" s="166"/>
      <c r="S1003" s="166"/>
      <c r="T1003" s="166"/>
      <c r="U1003" s="166"/>
      <c r="V1003" s="166"/>
    </row>
    <row r="1004" spans="17:22" ht="12">
      <c r="Q1004" s="166"/>
      <c r="R1004" s="166"/>
      <c r="S1004" s="166"/>
      <c r="T1004" s="166"/>
      <c r="U1004" s="166"/>
      <c r="V1004" s="166"/>
    </row>
    <row r="1005" spans="17:22" ht="12">
      <c r="Q1005" s="166"/>
      <c r="R1005" s="166"/>
      <c r="S1005" s="166"/>
      <c r="T1005" s="166"/>
      <c r="U1005" s="166"/>
      <c r="V1005" s="166"/>
    </row>
    <row r="1006" spans="17:22" ht="12">
      <c r="Q1006" s="166"/>
      <c r="R1006" s="166"/>
      <c r="S1006" s="166"/>
      <c r="T1006" s="166"/>
      <c r="U1006" s="166"/>
      <c r="V1006" s="166"/>
    </row>
    <row r="1007" spans="17:22" ht="12">
      <c r="Q1007" s="166"/>
      <c r="R1007" s="166"/>
      <c r="S1007" s="166"/>
      <c r="T1007" s="166"/>
      <c r="U1007" s="166"/>
      <c r="V1007" s="166"/>
    </row>
    <row r="1008" spans="17:22" ht="12">
      <c r="Q1008" s="166"/>
      <c r="R1008" s="166"/>
      <c r="S1008" s="166"/>
      <c r="T1008" s="166"/>
      <c r="U1008" s="166"/>
      <c r="V1008" s="166"/>
    </row>
    <row r="1009" spans="17:22" ht="12">
      <c r="Q1009" s="166"/>
      <c r="R1009" s="166"/>
      <c r="S1009" s="166"/>
      <c r="T1009" s="166"/>
      <c r="U1009" s="166"/>
      <c r="V1009" s="166"/>
    </row>
    <row r="1010" spans="17:22" ht="12">
      <c r="Q1010" s="166"/>
      <c r="R1010" s="166"/>
      <c r="S1010" s="166"/>
      <c r="T1010" s="166"/>
      <c r="U1010" s="166"/>
      <c r="V1010" s="166"/>
    </row>
    <row r="1011" spans="17:22" ht="12">
      <c r="Q1011" s="166"/>
      <c r="R1011" s="166"/>
      <c r="S1011" s="166"/>
      <c r="T1011" s="166"/>
      <c r="U1011" s="166"/>
      <c r="V1011" s="166"/>
    </row>
    <row r="1012" spans="17:22" ht="12">
      <c r="Q1012" s="166"/>
      <c r="R1012" s="166"/>
      <c r="S1012" s="166"/>
      <c r="T1012" s="166"/>
      <c r="U1012" s="166"/>
      <c r="V1012" s="166"/>
    </row>
    <row r="1013" spans="17:22" ht="12">
      <c r="Q1013" s="166"/>
      <c r="R1013" s="166"/>
      <c r="S1013" s="166"/>
      <c r="T1013" s="166"/>
      <c r="U1013" s="166"/>
      <c r="V1013" s="166"/>
    </row>
    <row r="1014" spans="17:22" ht="12">
      <c r="Q1014" s="166"/>
      <c r="R1014" s="166"/>
      <c r="S1014" s="166"/>
      <c r="T1014" s="166"/>
      <c r="U1014" s="166"/>
      <c r="V1014" s="166"/>
    </row>
    <row r="1015" spans="17:22" ht="12">
      <c r="Q1015" s="166"/>
      <c r="R1015" s="166"/>
      <c r="S1015" s="166"/>
      <c r="T1015" s="166"/>
      <c r="U1015" s="166"/>
      <c r="V1015" s="166"/>
    </row>
    <row r="1016" spans="17:22" ht="12">
      <c r="Q1016" s="166"/>
      <c r="R1016" s="166"/>
      <c r="S1016" s="166"/>
      <c r="T1016" s="166"/>
      <c r="U1016" s="166"/>
      <c r="V1016" s="166"/>
    </row>
    <row r="1017" spans="17:22" ht="12">
      <c r="Q1017" s="166"/>
      <c r="R1017" s="166"/>
      <c r="S1017" s="166"/>
      <c r="T1017" s="166"/>
      <c r="U1017" s="166"/>
      <c r="V1017" s="166"/>
    </row>
    <row r="1018" spans="17:22" ht="12">
      <c r="Q1018" s="166"/>
      <c r="R1018" s="166"/>
      <c r="S1018" s="166"/>
      <c r="T1018" s="166"/>
      <c r="U1018" s="166"/>
      <c r="V1018" s="166"/>
    </row>
    <row r="1019" spans="17:22" ht="12">
      <c r="Q1019" s="166"/>
      <c r="R1019" s="166"/>
      <c r="S1019" s="166"/>
      <c r="T1019" s="166"/>
      <c r="U1019" s="166"/>
      <c r="V1019" s="166"/>
    </row>
    <row r="1020" spans="17:22" ht="12">
      <c r="Q1020" s="166"/>
      <c r="R1020" s="166"/>
      <c r="S1020" s="166"/>
      <c r="T1020" s="166"/>
      <c r="U1020" s="166"/>
      <c r="V1020" s="166"/>
    </row>
    <row r="1021" spans="17:22" ht="12">
      <c r="Q1021" s="166"/>
      <c r="R1021" s="166"/>
      <c r="S1021" s="166"/>
      <c r="T1021" s="166"/>
      <c r="U1021" s="166"/>
      <c r="V1021" s="166"/>
    </row>
    <row r="1022" spans="17:22" ht="12">
      <c r="Q1022" s="166"/>
      <c r="R1022" s="166"/>
      <c r="S1022" s="166"/>
      <c r="T1022" s="166"/>
      <c r="U1022" s="166"/>
      <c r="V1022" s="166"/>
    </row>
    <row r="1023" spans="17:22" ht="12">
      <c r="Q1023" s="166"/>
      <c r="R1023" s="166"/>
      <c r="S1023" s="166"/>
      <c r="T1023" s="166"/>
      <c r="U1023" s="166"/>
      <c r="V1023" s="166"/>
    </row>
    <row r="1024" spans="17:22" ht="12">
      <c r="Q1024" s="166"/>
      <c r="R1024" s="166"/>
      <c r="S1024" s="166"/>
      <c r="T1024" s="166"/>
      <c r="U1024" s="166"/>
      <c r="V1024" s="166"/>
    </row>
    <row r="1025" spans="17:22" ht="12">
      <c r="Q1025" s="166"/>
      <c r="R1025" s="166"/>
      <c r="S1025" s="166"/>
      <c r="T1025" s="166"/>
      <c r="U1025" s="166"/>
      <c r="V1025" s="166"/>
    </row>
    <row r="1026" spans="17:22" ht="12">
      <c r="Q1026" s="166"/>
      <c r="R1026" s="166"/>
      <c r="S1026" s="166"/>
      <c r="T1026" s="166"/>
      <c r="U1026" s="166"/>
      <c r="V1026" s="166"/>
    </row>
    <row r="1027" spans="17:22" ht="12">
      <c r="Q1027" s="166"/>
      <c r="R1027" s="166"/>
      <c r="S1027" s="166"/>
      <c r="T1027" s="166"/>
      <c r="U1027" s="166"/>
      <c r="V1027" s="166"/>
    </row>
    <row r="1028" spans="17:22" ht="12">
      <c r="Q1028" s="166"/>
      <c r="R1028" s="166"/>
      <c r="S1028" s="166"/>
      <c r="T1028" s="166"/>
      <c r="U1028" s="166"/>
      <c r="V1028" s="166"/>
    </row>
    <row r="1029" spans="17:22" ht="12">
      <c r="Q1029" s="166"/>
      <c r="R1029" s="166"/>
      <c r="S1029" s="166"/>
      <c r="T1029" s="166"/>
      <c r="U1029" s="166"/>
      <c r="V1029" s="166"/>
    </row>
    <row r="1030" spans="17:22" ht="12">
      <c r="Q1030" s="166"/>
      <c r="R1030" s="166"/>
      <c r="S1030" s="166"/>
      <c r="T1030" s="166"/>
      <c r="U1030" s="166"/>
      <c r="V1030" s="166"/>
    </row>
    <row r="1031" spans="17:22" ht="12">
      <c r="Q1031" s="166"/>
      <c r="R1031" s="166"/>
      <c r="S1031" s="166"/>
      <c r="T1031" s="166"/>
      <c r="U1031" s="166"/>
      <c r="V1031" s="166"/>
    </row>
    <row r="1032" spans="17:22" ht="12">
      <c r="Q1032" s="166"/>
      <c r="R1032" s="166"/>
      <c r="S1032" s="166"/>
      <c r="T1032" s="166"/>
      <c r="U1032" s="166"/>
      <c r="V1032" s="166"/>
    </row>
    <row r="1033" spans="17:22" ht="12">
      <c r="Q1033" s="166"/>
      <c r="R1033" s="166"/>
      <c r="S1033" s="166"/>
      <c r="T1033" s="166"/>
      <c r="U1033" s="166"/>
      <c r="V1033" s="166"/>
    </row>
    <row r="1034" spans="17:22" ht="12">
      <c r="Q1034" s="166"/>
      <c r="R1034" s="166"/>
      <c r="S1034" s="166"/>
      <c r="T1034" s="166"/>
      <c r="U1034" s="166"/>
      <c r="V1034" s="166"/>
    </row>
    <row r="1035" spans="17:22" ht="12">
      <c r="Q1035" s="166"/>
      <c r="R1035" s="166"/>
      <c r="S1035" s="166"/>
      <c r="T1035" s="166"/>
      <c r="U1035" s="166"/>
      <c r="V1035" s="166"/>
    </row>
    <row r="1036" spans="17:22" ht="12">
      <c r="Q1036" s="166"/>
      <c r="R1036" s="166"/>
      <c r="S1036" s="166"/>
      <c r="T1036" s="166"/>
      <c r="U1036" s="166"/>
      <c r="V1036" s="166"/>
    </row>
    <row r="1037" spans="17:22" ht="12">
      <c r="Q1037" s="166"/>
      <c r="R1037" s="166"/>
      <c r="S1037" s="166"/>
      <c r="T1037" s="166"/>
      <c r="U1037" s="166"/>
      <c r="V1037" s="166"/>
    </row>
    <row r="1038" spans="17:22" ht="12">
      <c r="Q1038" s="166"/>
      <c r="R1038" s="166"/>
      <c r="S1038" s="166"/>
      <c r="T1038" s="166"/>
      <c r="U1038" s="166"/>
      <c r="V1038" s="166"/>
    </row>
    <row r="1039" spans="17:22" ht="12">
      <c r="Q1039" s="166"/>
      <c r="R1039" s="166"/>
      <c r="S1039" s="166"/>
      <c r="T1039" s="166"/>
      <c r="U1039" s="166"/>
      <c r="V1039" s="166"/>
    </row>
    <row r="1040" spans="17:22" ht="12">
      <c r="Q1040" s="166"/>
      <c r="R1040" s="166"/>
      <c r="S1040" s="166"/>
      <c r="T1040" s="166"/>
      <c r="U1040" s="166"/>
      <c r="V1040" s="166"/>
    </row>
    <row r="1041" spans="17:22" ht="12">
      <c r="Q1041" s="166"/>
      <c r="R1041" s="166"/>
      <c r="S1041" s="166"/>
      <c r="T1041" s="166"/>
      <c r="U1041" s="166"/>
      <c r="V1041" s="166"/>
    </row>
    <row r="1042" spans="17:22" ht="12">
      <c r="Q1042" s="166"/>
      <c r="R1042" s="166"/>
      <c r="S1042" s="166"/>
      <c r="T1042" s="166"/>
      <c r="U1042" s="166"/>
      <c r="V1042" s="166"/>
    </row>
    <row r="1043" spans="17:22" ht="12">
      <c r="Q1043" s="166"/>
      <c r="R1043" s="166"/>
      <c r="S1043" s="166"/>
      <c r="T1043" s="166"/>
      <c r="U1043" s="166"/>
      <c r="V1043" s="166"/>
    </row>
    <row r="1044" spans="17:22" ht="12">
      <c r="Q1044" s="166"/>
      <c r="R1044" s="166"/>
      <c r="S1044" s="166"/>
      <c r="T1044" s="166"/>
      <c r="U1044" s="166"/>
      <c r="V1044" s="166"/>
    </row>
    <row r="1045" spans="17:22" ht="12">
      <c r="Q1045" s="166"/>
      <c r="R1045" s="166"/>
      <c r="S1045" s="166"/>
      <c r="T1045" s="166"/>
      <c r="U1045" s="166"/>
      <c r="V1045" s="166"/>
    </row>
    <row r="1046" spans="17:22" ht="12">
      <c r="Q1046" s="166"/>
      <c r="R1046" s="166"/>
      <c r="S1046" s="166"/>
      <c r="T1046" s="166"/>
      <c r="U1046" s="166"/>
      <c r="V1046" s="166"/>
    </row>
    <row r="1047" spans="17:22" ht="12">
      <c r="Q1047" s="166"/>
      <c r="R1047" s="166"/>
      <c r="S1047" s="166"/>
      <c r="T1047" s="166"/>
      <c r="U1047" s="166"/>
      <c r="V1047" s="166"/>
    </row>
    <row r="1048" spans="17:22" ht="12">
      <c r="Q1048" s="166"/>
      <c r="R1048" s="166"/>
      <c r="S1048" s="166"/>
      <c r="T1048" s="166"/>
      <c r="U1048" s="166"/>
      <c r="V1048" s="166"/>
    </row>
    <row r="1049" spans="17:22" ht="12">
      <c r="Q1049" s="166"/>
      <c r="R1049" s="166"/>
      <c r="S1049" s="166"/>
      <c r="T1049" s="166"/>
      <c r="U1049" s="166"/>
      <c r="V1049" s="166"/>
    </row>
    <row r="1050" spans="17:22" ht="12">
      <c r="Q1050" s="166"/>
      <c r="R1050" s="166"/>
      <c r="S1050" s="166"/>
      <c r="T1050" s="166"/>
      <c r="U1050" s="166"/>
      <c r="V1050" s="166"/>
    </row>
    <row r="1051" spans="17:22" ht="12">
      <c r="Q1051" s="166"/>
      <c r="R1051" s="166"/>
      <c r="S1051" s="166"/>
      <c r="T1051" s="166"/>
      <c r="U1051" s="166"/>
      <c r="V1051" s="166"/>
    </row>
    <row r="1052" spans="17:22" ht="12">
      <c r="Q1052" s="166"/>
      <c r="R1052" s="166"/>
      <c r="S1052" s="166"/>
      <c r="T1052" s="166"/>
      <c r="U1052" s="166"/>
      <c r="V1052" s="166"/>
    </row>
    <row r="1053" spans="17:22" ht="12">
      <c r="Q1053" s="166"/>
      <c r="R1053" s="166"/>
      <c r="S1053" s="166"/>
      <c r="T1053" s="166"/>
      <c r="U1053" s="166"/>
      <c r="V1053" s="166"/>
    </row>
    <row r="1054" spans="17:22" ht="12">
      <c r="Q1054" s="166"/>
      <c r="R1054" s="166"/>
      <c r="S1054" s="166"/>
      <c r="T1054" s="166"/>
      <c r="U1054" s="166"/>
      <c r="V1054" s="166"/>
    </row>
    <row r="1055" spans="17:22" ht="12">
      <c r="Q1055" s="166"/>
      <c r="R1055" s="166"/>
      <c r="S1055" s="166"/>
      <c r="T1055" s="166"/>
      <c r="U1055" s="166"/>
      <c r="V1055" s="166"/>
    </row>
    <row r="1056" spans="17:22" ht="12">
      <c r="Q1056" s="166"/>
      <c r="R1056" s="166"/>
      <c r="S1056" s="166"/>
      <c r="T1056" s="166"/>
      <c r="U1056" s="166"/>
      <c r="V1056" s="166"/>
    </row>
    <row r="1057" spans="17:22" ht="12">
      <c r="Q1057" s="166"/>
      <c r="R1057" s="166"/>
      <c r="S1057" s="166"/>
      <c r="T1057" s="166"/>
      <c r="U1057" s="166"/>
      <c r="V1057" s="166"/>
    </row>
    <row r="1058" spans="17:22" ht="12">
      <c r="Q1058" s="166"/>
      <c r="R1058" s="166"/>
      <c r="S1058" s="166"/>
      <c r="T1058" s="166"/>
      <c r="U1058" s="166"/>
      <c r="V1058" s="166"/>
    </row>
    <row r="1059" spans="17:22" ht="12">
      <c r="Q1059" s="166"/>
      <c r="R1059" s="166"/>
      <c r="S1059" s="166"/>
      <c r="T1059" s="166"/>
      <c r="U1059" s="166"/>
      <c r="V1059" s="166"/>
    </row>
    <row r="1060" spans="17:22" ht="12">
      <c r="Q1060" s="166"/>
      <c r="R1060" s="166"/>
      <c r="S1060" s="166"/>
      <c r="T1060" s="166"/>
      <c r="U1060" s="166"/>
      <c r="V1060" s="166"/>
    </row>
    <row r="1061" spans="17:22" ht="12">
      <c r="Q1061" s="166"/>
      <c r="R1061" s="166"/>
      <c r="S1061" s="166"/>
      <c r="T1061" s="166"/>
      <c r="U1061" s="166"/>
      <c r="V1061" s="166"/>
    </row>
    <row r="1062" spans="17:22" ht="12">
      <c r="Q1062" s="166"/>
      <c r="R1062" s="166"/>
      <c r="S1062" s="166"/>
      <c r="T1062" s="166"/>
      <c r="U1062" s="166"/>
      <c r="V1062" s="166"/>
    </row>
    <row r="1063" spans="17:22" ht="12">
      <c r="Q1063" s="166"/>
      <c r="R1063" s="166"/>
      <c r="S1063" s="166"/>
      <c r="T1063" s="166"/>
      <c r="U1063" s="166"/>
      <c r="V1063" s="166"/>
    </row>
    <row r="1064" spans="17:22" ht="12">
      <c r="Q1064" s="166"/>
      <c r="R1064" s="166"/>
      <c r="S1064" s="166"/>
      <c r="T1064" s="166"/>
      <c r="U1064" s="166"/>
      <c r="V1064" s="166"/>
    </row>
    <row r="1065" spans="17:22" ht="12">
      <c r="Q1065" s="166"/>
      <c r="R1065" s="166"/>
      <c r="S1065" s="166"/>
      <c r="T1065" s="166"/>
      <c r="U1065" s="166"/>
      <c r="V1065" s="166"/>
    </row>
    <row r="1066" spans="17:22" ht="12">
      <c r="Q1066" s="166"/>
      <c r="R1066" s="166"/>
      <c r="S1066" s="166"/>
      <c r="T1066" s="166"/>
      <c r="U1066" s="166"/>
      <c r="V1066" s="166"/>
    </row>
    <row r="1067" spans="17:22" ht="12">
      <c r="Q1067" s="166"/>
      <c r="R1067" s="166"/>
      <c r="S1067" s="166"/>
      <c r="T1067" s="166"/>
      <c r="U1067" s="166"/>
      <c r="V1067" s="166"/>
    </row>
    <row r="1068" spans="17:22" ht="12">
      <c r="Q1068" s="166"/>
      <c r="R1068" s="166"/>
      <c r="S1068" s="166"/>
      <c r="T1068" s="166"/>
      <c r="U1068" s="166"/>
      <c r="V1068" s="166"/>
    </row>
    <row r="1069" spans="17:22" ht="12">
      <c r="Q1069" s="166"/>
      <c r="R1069" s="166"/>
      <c r="S1069" s="166"/>
      <c r="T1069" s="166"/>
      <c r="U1069" s="166"/>
      <c r="V1069" s="166"/>
    </row>
    <row r="1070" spans="17:22" ht="12">
      <c r="Q1070" s="166"/>
      <c r="R1070" s="166"/>
      <c r="S1070" s="166"/>
      <c r="T1070" s="166"/>
      <c r="U1070" s="166"/>
      <c r="V1070" s="166"/>
    </row>
    <row r="1071" spans="17:22" ht="12">
      <c r="Q1071" s="166"/>
      <c r="R1071" s="166"/>
      <c r="S1071" s="166"/>
      <c r="T1071" s="166"/>
      <c r="U1071" s="166"/>
      <c r="V1071" s="166"/>
    </row>
    <row r="1072" spans="17:22" ht="12">
      <c r="Q1072" s="166"/>
      <c r="R1072" s="166"/>
      <c r="S1072" s="166"/>
      <c r="T1072" s="166"/>
      <c r="U1072" s="166"/>
      <c r="V1072" s="166"/>
    </row>
    <row r="1073" spans="17:22" ht="12">
      <c r="Q1073" s="166"/>
      <c r="R1073" s="166"/>
      <c r="S1073" s="166"/>
      <c r="T1073" s="166"/>
      <c r="U1073" s="166"/>
      <c r="V1073" s="166"/>
    </row>
    <row r="1074" spans="17:22" ht="12">
      <c r="Q1074" s="166"/>
      <c r="R1074" s="166"/>
      <c r="S1074" s="166"/>
      <c r="T1074" s="166"/>
      <c r="U1074" s="166"/>
      <c r="V1074" s="166"/>
    </row>
    <row r="1075" spans="17:22" ht="12">
      <c r="Q1075" s="166"/>
      <c r="R1075" s="166"/>
      <c r="S1075" s="166"/>
      <c r="T1075" s="166"/>
      <c r="U1075" s="166"/>
      <c r="V1075" s="166"/>
    </row>
    <row r="1076" spans="17:22" ht="12">
      <c r="Q1076" s="166"/>
      <c r="R1076" s="166"/>
      <c r="S1076" s="166"/>
      <c r="T1076" s="166"/>
      <c r="U1076" s="166"/>
      <c r="V1076" s="166"/>
    </row>
    <row r="1077" spans="17:22" ht="12">
      <c r="Q1077" s="166"/>
      <c r="R1077" s="166"/>
      <c r="S1077" s="166"/>
      <c r="T1077" s="166"/>
      <c r="U1077" s="166"/>
      <c r="V1077" s="166"/>
    </row>
    <row r="1078" spans="17:22" ht="12">
      <c r="Q1078" s="166"/>
      <c r="R1078" s="166"/>
      <c r="S1078" s="166"/>
      <c r="T1078" s="166"/>
      <c r="U1078" s="166"/>
      <c r="V1078" s="166"/>
    </row>
    <row r="1079" spans="17:22" ht="12">
      <c r="Q1079" s="166"/>
      <c r="R1079" s="166"/>
      <c r="S1079" s="166"/>
      <c r="T1079" s="166"/>
      <c r="U1079" s="166"/>
      <c r="V1079" s="166"/>
    </row>
    <row r="1080" spans="17:22" ht="12">
      <c r="Q1080" s="166"/>
      <c r="R1080" s="166"/>
      <c r="S1080" s="166"/>
      <c r="T1080" s="166"/>
      <c r="U1080" s="166"/>
      <c r="V1080" s="166"/>
    </row>
    <row r="1081" spans="17:22" ht="12">
      <c r="Q1081" s="166"/>
      <c r="R1081" s="166"/>
      <c r="S1081" s="166"/>
      <c r="T1081" s="166"/>
      <c r="U1081" s="166"/>
      <c r="V1081" s="166"/>
    </row>
    <row r="1082" spans="17:22" ht="12">
      <c r="Q1082" s="166"/>
      <c r="R1082" s="166"/>
      <c r="S1082" s="166"/>
      <c r="T1082" s="166"/>
      <c r="U1082" s="166"/>
      <c r="V1082" s="166"/>
    </row>
    <row r="1083" spans="17:22" ht="12">
      <c r="Q1083" s="166"/>
      <c r="R1083" s="166"/>
      <c r="S1083" s="166"/>
      <c r="T1083" s="166"/>
      <c r="U1083" s="166"/>
      <c r="V1083" s="166"/>
    </row>
    <row r="1084" spans="17:22" ht="12">
      <c r="Q1084" s="166"/>
      <c r="R1084" s="166"/>
      <c r="S1084" s="166"/>
      <c r="T1084" s="166"/>
      <c r="U1084" s="166"/>
      <c r="V1084" s="166"/>
    </row>
    <row r="1085" spans="17:22" ht="12">
      <c r="Q1085" s="166"/>
      <c r="R1085" s="166"/>
      <c r="S1085" s="166"/>
      <c r="T1085" s="166"/>
      <c r="U1085" s="166"/>
      <c r="V1085" s="166"/>
    </row>
    <row r="1086" spans="17:22" ht="12">
      <c r="Q1086" s="166"/>
      <c r="R1086" s="166"/>
      <c r="S1086" s="166"/>
      <c r="T1086" s="166"/>
      <c r="U1086" s="166"/>
      <c r="V1086" s="166"/>
    </row>
    <row r="1087" spans="17:22" ht="12">
      <c r="Q1087" s="166"/>
      <c r="R1087" s="166"/>
      <c r="S1087" s="166"/>
      <c r="T1087" s="166"/>
      <c r="U1087" s="166"/>
      <c r="V1087" s="166"/>
    </row>
    <row r="1088" spans="17:22" ht="12">
      <c r="Q1088" s="166"/>
      <c r="R1088" s="166"/>
      <c r="S1088" s="166"/>
      <c r="T1088" s="166"/>
      <c r="U1088" s="166"/>
      <c r="V1088" s="166"/>
    </row>
    <row r="1089" spans="17:22" ht="12">
      <c r="Q1089" s="166"/>
      <c r="R1089" s="166"/>
      <c r="S1089" s="166"/>
      <c r="T1089" s="166"/>
      <c r="U1089" s="166"/>
      <c r="V1089" s="166"/>
    </row>
    <row r="1090" spans="17:22" ht="12">
      <c r="Q1090" s="166"/>
      <c r="R1090" s="166"/>
      <c r="S1090" s="166"/>
      <c r="T1090" s="166"/>
      <c r="U1090" s="166"/>
      <c r="V1090" s="166"/>
    </row>
    <row r="1091" spans="17:22" ht="12">
      <c r="Q1091" s="166"/>
      <c r="R1091" s="166"/>
      <c r="S1091" s="166"/>
      <c r="T1091" s="166"/>
      <c r="U1091" s="166"/>
      <c r="V1091" s="166"/>
    </row>
    <row r="1092" spans="17:22" ht="12">
      <c r="Q1092" s="166"/>
      <c r="R1092" s="166"/>
      <c r="S1092" s="166"/>
      <c r="T1092" s="166"/>
      <c r="U1092" s="166"/>
      <c r="V1092" s="166"/>
    </row>
    <row r="1093" spans="17:22" ht="12">
      <c r="Q1093" s="166"/>
      <c r="R1093" s="166"/>
      <c r="S1093" s="166"/>
      <c r="T1093" s="166"/>
      <c r="U1093" s="166"/>
      <c r="V1093" s="166"/>
    </row>
    <row r="1094" spans="17:22" ht="12">
      <c r="Q1094" s="166"/>
      <c r="R1094" s="166"/>
      <c r="S1094" s="166"/>
      <c r="T1094" s="166"/>
      <c r="U1094" s="166"/>
      <c r="V1094" s="166"/>
    </row>
    <row r="1095" spans="17:22" ht="12">
      <c r="Q1095" s="166"/>
      <c r="R1095" s="166"/>
      <c r="S1095" s="166"/>
      <c r="T1095" s="166"/>
      <c r="U1095" s="166"/>
      <c r="V1095" s="166"/>
    </row>
    <row r="1096" spans="17:22" ht="12">
      <c r="Q1096" s="166"/>
      <c r="R1096" s="166"/>
      <c r="S1096" s="166"/>
      <c r="T1096" s="166"/>
      <c r="U1096" s="166"/>
      <c r="V1096" s="166"/>
    </row>
    <row r="1097" spans="17:22" ht="12">
      <c r="Q1097" s="166"/>
      <c r="R1097" s="166"/>
      <c r="S1097" s="166"/>
      <c r="T1097" s="166"/>
      <c r="U1097" s="166"/>
      <c r="V1097" s="166"/>
    </row>
    <row r="1098" spans="17:22" ht="12">
      <c r="Q1098" s="166"/>
      <c r="R1098" s="166"/>
      <c r="S1098" s="166"/>
      <c r="T1098" s="166"/>
      <c r="U1098" s="166"/>
      <c r="V1098" s="166"/>
    </row>
    <row r="1099" spans="17:22" ht="12">
      <c r="Q1099" s="166"/>
      <c r="R1099" s="166"/>
      <c r="S1099" s="166"/>
      <c r="T1099" s="166"/>
      <c r="U1099" s="166"/>
      <c r="V1099" s="166"/>
    </row>
    <row r="1100" spans="17:22" ht="12">
      <c r="Q1100" s="166"/>
      <c r="R1100" s="166"/>
      <c r="S1100" s="166"/>
      <c r="T1100" s="166"/>
      <c r="U1100" s="166"/>
      <c r="V1100" s="166"/>
    </row>
    <row r="1101" spans="17:22" ht="12">
      <c r="Q1101" s="166"/>
      <c r="R1101" s="166"/>
      <c r="S1101" s="166"/>
      <c r="T1101" s="166"/>
      <c r="U1101" s="166"/>
      <c r="V1101" s="166"/>
    </row>
    <row r="1102" spans="17:22" ht="12">
      <c r="Q1102" s="166"/>
      <c r="R1102" s="166"/>
      <c r="S1102" s="166"/>
      <c r="T1102" s="166"/>
      <c r="U1102" s="166"/>
      <c r="V1102" s="166"/>
    </row>
    <row r="1103" spans="17:22" ht="12">
      <c r="Q1103" s="166"/>
      <c r="R1103" s="166"/>
      <c r="S1103" s="166"/>
      <c r="T1103" s="166"/>
      <c r="U1103" s="166"/>
      <c r="V1103" s="166"/>
    </row>
    <row r="1104" spans="17:22" ht="12">
      <c r="Q1104" s="166"/>
      <c r="R1104" s="166"/>
      <c r="S1104" s="166"/>
      <c r="T1104" s="166"/>
      <c r="U1104" s="166"/>
      <c r="V1104" s="166"/>
    </row>
    <row r="1105" spans="17:22" ht="12">
      <c r="Q1105" s="166"/>
      <c r="R1105" s="166"/>
      <c r="S1105" s="166"/>
      <c r="T1105" s="166"/>
      <c r="U1105" s="166"/>
      <c r="V1105" s="166"/>
    </row>
    <row r="1106" spans="17:22" ht="12">
      <c r="Q1106" s="166"/>
      <c r="R1106" s="166"/>
      <c r="S1106" s="166"/>
      <c r="T1106" s="166"/>
      <c r="U1106" s="166"/>
      <c r="V1106" s="166"/>
    </row>
    <row r="1107" spans="17:22" ht="12">
      <c r="Q1107" s="166"/>
      <c r="R1107" s="166"/>
      <c r="S1107" s="166"/>
      <c r="T1107" s="166"/>
      <c r="U1107" s="166"/>
      <c r="V1107" s="166"/>
    </row>
    <row r="1108" spans="17:22" ht="12">
      <c r="Q1108" s="166"/>
      <c r="R1108" s="166"/>
      <c r="S1108" s="166"/>
      <c r="T1108" s="166"/>
      <c r="U1108" s="166"/>
      <c r="V1108" s="166"/>
    </row>
    <row r="1109" spans="17:22" ht="12">
      <c r="Q1109" s="166"/>
      <c r="R1109" s="166"/>
      <c r="S1109" s="166"/>
      <c r="T1109" s="166"/>
      <c r="U1109" s="166"/>
      <c r="V1109" s="166"/>
    </row>
    <row r="1110" spans="17:22" ht="12">
      <c r="Q1110" s="166"/>
      <c r="R1110" s="166"/>
      <c r="S1110" s="166"/>
      <c r="T1110" s="166"/>
      <c r="U1110" s="166"/>
      <c r="V1110" s="166"/>
    </row>
    <row r="1111" spans="17:22" ht="12">
      <c r="Q1111" s="166"/>
      <c r="R1111" s="166"/>
      <c r="S1111" s="166"/>
      <c r="T1111" s="166"/>
      <c r="U1111" s="166"/>
      <c r="V1111" s="166"/>
    </row>
    <row r="1112" spans="17:22" ht="12">
      <c r="Q1112" s="166"/>
      <c r="R1112" s="166"/>
      <c r="S1112" s="166"/>
      <c r="T1112" s="166"/>
      <c r="U1112" s="166"/>
      <c r="V1112" s="166"/>
    </row>
    <row r="1113" spans="17:22" ht="12">
      <c r="Q1113" s="166"/>
      <c r="R1113" s="166"/>
      <c r="S1113" s="166"/>
      <c r="T1113" s="166"/>
      <c r="U1113" s="166"/>
      <c r="V1113" s="166"/>
    </row>
    <row r="1114" spans="17:22" ht="12">
      <c r="Q1114" s="166"/>
      <c r="R1114" s="166"/>
      <c r="S1114" s="166"/>
      <c r="T1114" s="166"/>
      <c r="U1114" s="166"/>
      <c r="V1114" s="166"/>
    </row>
    <row r="1115" spans="17:22" ht="12">
      <c r="Q1115" s="166"/>
      <c r="R1115" s="166"/>
      <c r="S1115" s="166"/>
      <c r="T1115" s="166"/>
      <c r="U1115" s="166"/>
      <c r="V1115" s="166"/>
    </row>
    <row r="1116" spans="17:22" ht="12">
      <c r="Q1116" s="166"/>
      <c r="R1116" s="166"/>
      <c r="S1116" s="166"/>
      <c r="T1116" s="166"/>
      <c r="U1116" s="166"/>
      <c r="V1116" s="166"/>
    </row>
    <row r="1117" spans="17:22" ht="12">
      <c r="Q1117" s="166"/>
      <c r="R1117" s="166"/>
      <c r="S1117" s="166"/>
      <c r="T1117" s="166"/>
      <c r="U1117" s="166"/>
      <c r="V1117" s="166"/>
    </row>
    <row r="1118" spans="17:22" ht="12">
      <c r="Q1118" s="166"/>
      <c r="R1118" s="166"/>
      <c r="S1118" s="166"/>
      <c r="T1118" s="166"/>
      <c r="U1118" s="166"/>
      <c r="V1118" s="166"/>
    </row>
    <row r="1119" spans="17:22" ht="12">
      <c r="Q1119" s="166"/>
      <c r="R1119" s="166"/>
      <c r="S1119" s="166"/>
      <c r="T1119" s="166"/>
      <c r="U1119" s="166"/>
      <c r="V1119" s="166"/>
    </row>
    <row r="1120" spans="17:22" ht="12">
      <c r="Q1120" s="166"/>
      <c r="R1120" s="166"/>
      <c r="S1120" s="166"/>
      <c r="T1120" s="166"/>
      <c r="U1120" s="166"/>
      <c r="V1120" s="166"/>
    </row>
    <row r="1121" spans="17:22" ht="12">
      <c r="Q1121" s="166"/>
      <c r="R1121" s="166"/>
      <c r="S1121" s="166"/>
      <c r="T1121" s="166"/>
      <c r="U1121" s="166"/>
      <c r="V1121" s="166"/>
    </row>
    <row r="1122" spans="17:22" ht="12">
      <c r="Q1122" s="166"/>
      <c r="R1122" s="166"/>
      <c r="S1122" s="166"/>
      <c r="T1122" s="166"/>
      <c r="U1122" s="166"/>
      <c r="V1122" s="166"/>
    </row>
    <row r="1123" spans="17:22" ht="12">
      <c r="Q1123" s="166"/>
      <c r="R1123" s="166"/>
      <c r="S1123" s="166"/>
      <c r="T1123" s="166"/>
      <c r="U1123" s="166"/>
      <c r="V1123" s="166"/>
    </row>
    <row r="1124" spans="17:22" ht="12">
      <c r="Q1124" s="166"/>
      <c r="R1124" s="166"/>
      <c r="S1124" s="166"/>
      <c r="T1124" s="166"/>
      <c r="U1124" s="166"/>
      <c r="V1124" s="166"/>
    </row>
    <row r="1125" spans="17:22" ht="12">
      <c r="Q1125" s="166"/>
      <c r="R1125" s="166"/>
      <c r="S1125" s="166"/>
      <c r="T1125" s="166"/>
      <c r="U1125" s="166"/>
      <c r="V1125" s="166"/>
    </row>
    <row r="1126" spans="17:22" ht="12">
      <c r="Q1126" s="166"/>
      <c r="R1126" s="166"/>
      <c r="S1126" s="166"/>
      <c r="T1126" s="166"/>
      <c r="U1126" s="166"/>
      <c r="V1126" s="166"/>
    </row>
    <row r="1127" spans="17:22" ht="12">
      <c r="Q1127" s="166"/>
      <c r="R1127" s="166"/>
      <c r="S1127" s="166"/>
      <c r="T1127" s="166"/>
      <c r="U1127" s="166"/>
      <c r="V1127" s="166"/>
    </row>
    <row r="1128" spans="17:22" ht="12">
      <c r="Q1128" s="166"/>
      <c r="R1128" s="166"/>
      <c r="S1128" s="166"/>
      <c r="T1128" s="166"/>
      <c r="U1128" s="166"/>
      <c r="V1128" s="166"/>
    </row>
    <row r="1129" spans="17:22" ht="12">
      <c r="Q1129" s="166"/>
      <c r="R1129" s="166"/>
      <c r="S1129" s="166"/>
      <c r="T1129" s="166"/>
      <c r="U1129" s="166"/>
      <c r="V1129" s="166"/>
    </row>
    <row r="1130" spans="17:22" ht="12">
      <c r="Q1130" s="166"/>
      <c r="R1130" s="166"/>
      <c r="S1130" s="166"/>
      <c r="T1130" s="166"/>
      <c r="U1130" s="166"/>
      <c r="V1130" s="166"/>
    </row>
    <row r="1131" spans="17:22" ht="12">
      <c r="Q1131" s="166"/>
      <c r="R1131" s="166"/>
      <c r="S1131" s="166"/>
      <c r="T1131" s="166"/>
      <c r="U1131" s="166"/>
      <c r="V1131" s="166"/>
    </row>
    <row r="1132" spans="17:22" ht="12">
      <c r="Q1132" s="166"/>
      <c r="R1132" s="166"/>
      <c r="S1132" s="166"/>
      <c r="T1132" s="166"/>
      <c r="U1132" s="166"/>
      <c r="V1132" s="166"/>
    </row>
    <row r="1133" spans="17:22" ht="12">
      <c r="Q1133" s="166"/>
      <c r="R1133" s="166"/>
      <c r="S1133" s="166"/>
      <c r="T1133" s="166"/>
      <c r="U1133" s="166"/>
      <c r="V1133" s="166"/>
    </row>
    <row r="1134" spans="17:22" ht="12">
      <c r="Q1134" s="166"/>
      <c r="R1134" s="166"/>
      <c r="S1134" s="166"/>
      <c r="T1134" s="166"/>
      <c r="U1134" s="166"/>
      <c r="V1134" s="166"/>
    </row>
    <row r="1135" spans="17:22" ht="12">
      <c r="Q1135" s="166"/>
      <c r="R1135" s="166"/>
      <c r="S1135" s="166"/>
      <c r="T1135" s="166"/>
      <c r="U1135" s="166"/>
      <c r="V1135" s="166"/>
    </row>
    <row r="1136" spans="17:22" ht="12">
      <c r="Q1136" s="166"/>
      <c r="R1136" s="166"/>
      <c r="S1136" s="166"/>
      <c r="T1136" s="166"/>
      <c r="U1136" s="166"/>
      <c r="V1136" s="166"/>
    </row>
    <row r="1137" spans="17:22" ht="12">
      <c r="Q1137" s="166"/>
      <c r="R1137" s="166"/>
      <c r="S1137" s="166"/>
      <c r="T1137" s="166"/>
      <c r="U1137" s="166"/>
      <c r="V1137" s="166"/>
    </row>
    <row r="1138" spans="17:22" ht="12">
      <c r="Q1138" s="166"/>
      <c r="R1138" s="166"/>
      <c r="S1138" s="166"/>
      <c r="T1138" s="166"/>
      <c r="U1138" s="166"/>
      <c r="V1138" s="166"/>
    </row>
    <row r="1139" spans="17:22" ht="12">
      <c r="Q1139" s="166"/>
      <c r="R1139" s="166"/>
      <c r="S1139" s="166"/>
      <c r="T1139" s="166"/>
      <c r="U1139" s="166"/>
      <c r="V1139" s="166"/>
    </row>
    <row r="1140" spans="17:22" ht="12">
      <c r="Q1140" s="166"/>
      <c r="R1140" s="166"/>
      <c r="S1140" s="166"/>
      <c r="T1140" s="166"/>
      <c r="U1140" s="166"/>
      <c r="V1140" s="166"/>
    </row>
    <row r="1141" spans="17:22" ht="12">
      <c r="Q1141" s="166"/>
      <c r="R1141" s="166"/>
      <c r="S1141" s="166"/>
      <c r="T1141" s="166"/>
      <c r="U1141" s="166"/>
      <c r="V1141" s="166"/>
    </row>
    <row r="1142" spans="17:22" ht="12">
      <c r="Q1142" s="166"/>
      <c r="R1142" s="166"/>
      <c r="S1142" s="166"/>
      <c r="T1142" s="166"/>
      <c r="U1142" s="166"/>
      <c r="V1142" s="166"/>
    </row>
    <row r="1143" spans="17:22" ht="12">
      <c r="Q1143" s="166"/>
      <c r="R1143" s="166"/>
      <c r="S1143" s="166"/>
      <c r="T1143" s="166"/>
      <c r="U1143" s="166"/>
      <c r="V1143" s="166"/>
    </row>
    <row r="1144" spans="17:22" ht="12">
      <c r="Q1144" s="166"/>
      <c r="R1144" s="166"/>
      <c r="S1144" s="166"/>
      <c r="T1144" s="166"/>
      <c r="U1144" s="166"/>
      <c r="V1144" s="166"/>
    </row>
    <row r="1145" spans="17:22" ht="12">
      <c r="Q1145" s="166"/>
      <c r="R1145" s="166"/>
      <c r="S1145" s="166"/>
      <c r="T1145" s="166"/>
      <c r="U1145" s="166"/>
      <c r="V1145" s="166"/>
    </row>
    <row r="1146" spans="17:22" ht="12">
      <c r="Q1146" s="166"/>
      <c r="R1146" s="166"/>
      <c r="S1146" s="166"/>
      <c r="T1146" s="166"/>
      <c r="U1146" s="166"/>
      <c r="V1146" s="166"/>
    </row>
    <row r="1147" spans="17:22" ht="12">
      <c r="Q1147" s="166"/>
      <c r="R1147" s="166"/>
      <c r="S1147" s="166"/>
      <c r="T1147" s="166"/>
      <c r="U1147" s="166"/>
      <c r="V1147" s="166"/>
    </row>
    <row r="1148" spans="17:22" ht="12">
      <c r="Q1148" s="166"/>
      <c r="R1148" s="166"/>
      <c r="S1148" s="166"/>
      <c r="T1148" s="166"/>
      <c r="U1148" s="166"/>
      <c r="V1148" s="166"/>
    </row>
    <row r="1149" spans="17:22" ht="12">
      <c r="Q1149" s="166"/>
      <c r="R1149" s="166"/>
      <c r="S1149" s="166"/>
      <c r="T1149" s="166"/>
      <c r="U1149" s="166"/>
      <c r="V1149" s="166"/>
    </row>
    <row r="1150" spans="17:22" ht="12">
      <c r="Q1150" s="166"/>
      <c r="R1150" s="166"/>
      <c r="S1150" s="166"/>
      <c r="T1150" s="166"/>
      <c r="U1150" s="166"/>
      <c r="V1150" s="166"/>
    </row>
    <row r="1151" spans="17:22" ht="12">
      <c r="Q1151" s="166"/>
      <c r="R1151" s="166"/>
      <c r="S1151" s="166"/>
      <c r="T1151" s="166"/>
      <c r="U1151" s="166"/>
      <c r="V1151" s="166"/>
    </row>
    <row r="1152" spans="17:22" ht="12">
      <c r="Q1152" s="166"/>
      <c r="R1152" s="166"/>
      <c r="S1152" s="166"/>
      <c r="T1152" s="166"/>
      <c r="U1152" s="166"/>
      <c r="V1152" s="166"/>
    </row>
    <row r="1153" spans="17:22" ht="12">
      <c r="Q1153" s="166"/>
      <c r="R1153" s="166"/>
      <c r="S1153" s="166"/>
      <c r="T1153" s="166"/>
      <c r="U1153" s="166"/>
      <c r="V1153" s="166"/>
    </row>
    <row r="1154" spans="17:22" ht="12">
      <c r="Q1154" s="166"/>
      <c r="R1154" s="166"/>
      <c r="S1154" s="166"/>
      <c r="T1154" s="166"/>
      <c r="U1154" s="166"/>
      <c r="V1154" s="166"/>
    </row>
    <row r="1155" spans="17:22" ht="12">
      <c r="Q1155" s="166"/>
      <c r="R1155" s="166"/>
      <c r="S1155" s="166"/>
      <c r="T1155" s="166"/>
      <c r="U1155" s="166"/>
      <c r="V1155" s="166"/>
    </row>
    <row r="1156" spans="17:22" ht="12">
      <c r="Q1156" s="166"/>
      <c r="R1156" s="166"/>
      <c r="S1156" s="166"/>
      <c r="T1156" s="166"/>
      <c r="U1156" s="166"/>
      <c r="V1156" s="166"/>
    </row>
    <row r="1157" spans="17:22" ht="12">
      <c r="Q1157" s="166"/>
      <c r="R1157" s="166"/>
      <c r="S1157" s="166"/>
      <c r="T1157" s="166"/>
      <c r="U1157" s="166"/>
      <c r="V1157" s="166"/>
    </row>
    <row r="1158" spans="17:22" ht="12">
      <c r="Q1158" s="166"/>
      <c r="R1158" s="166"/>
      <c r="S1158" s="166"/>
      <c r="T1158" s="166"/>
      <c r="U1158" s="166"/>
      <c r="V1158" s="166"/>
    </row>
    <row r="1159" spans="17:22" ht="12">
      <c r="Q1159" s="166"/>
      <c r="R1159" s="166"/>
      <c r="S1159" s="166"/>
      <c r="T1159" s="166"/>
      <c r="U1159" s="166"/>
      <c r="V1159" s="166"/>
    </row>
    <row r="1160" spans="17:22" ht="12">
      <c r="Q1160" s="166"/>
      <c r="R1160" s="166"/>
      <c r="S1160" s="166"/>
      <c r="T1160" s="166"/>
      <c r="U1160" s="166"/>
      <c r="V1160" s="166"/>
    </row>
    <row r="1161" spans="17:22" ht="12">
      <c r="Q1161" s="166"/>
      <c r="R1161" s="166"/>
      <c r="S1161" s="166"/>
      <c r="T1161" s="166"/>
      <c r="U1161" s="166"/>
      <c r="V1161" s="166"/>
    </row>
    <row r="1162" spans="17:22" ht="12">
      <c r="Q1162" s="166"/>
      <c r="R1162" s="166"/>
      <c r="S1162" s="166"/>
      <c r="T1162" s="166"/>
      <c r="U1162" s="166"/>
      <c r="V1162" s="166"/>
    </row>
    <row r="1163" spans="17:22" ht="12">
      <c r="Q1163" s="166"/>
      <c r="R1163" s="166"/>
      <c r="S1163" s="166"/>
      <c r="T1163" s="166"/>
      <c r="U1163" s="166"/>
      <c r="V1163" s="166"/>
    </row>
    <row r="1164" spans="17:22" ht="12">
      <c r="Q1164" s="166"/>
      <c r="R1164" s="166"/>
      <c r="S1164" s="166"/>
      <c r="T1164" s="166"/>
      <c r="U1164" s="166"/>
      <c r="V1164" s="166"/>
    </row>
    <row r="1165" spans="17:22" ht="12">
      <c r="Q1165" s="166"/>
      <c r="R1165" s="166"/>
      <c r="S1165" s="166"/>
      <c r="T1165" s="166"/>
      <c r="U1165" s="166"/>
      <c r="V1165" s="166"/>
    </row>
    <row r="1166" spans="17:22" ht="12">
      <c r="Q1166" s="166"/>
      <c r="R1166" s="166"/>
      <c r="S1166" s="166"/>
      <c r="T1166" s="166"/>
      <c r="U1166" s="166"/>
      <c r="V1166" s="166"/>
    </row>
    <row r="1167" spans="17:22" ht="12">
      <c r="Q1167" s="166"/>
      <c r="R1167" s="166"/>
      <c r="S1167" s="166"/>
      <c r="T1167" s="166"/>
      <c r="U1167" s="166"/>
      <c r="V1167" s="166"/>
    </row>
    <row r="1168" spans="17:22" ht="12">
      <c r="Q1168" s="166"/>
      <c r="R1168" s="166"/>
      <c r="S1168" s="166"/>
      <c r="T1168" s="166"/>
      <c r="U1168" s="166"/>
      <c r="V1168" s="166"/>
    </row>
    <row r="1169" spans="17:22" ht="12">
      <c r="Q1169" s="166"/>
      <c r="R1169" s="166"/>
      <c r="S1169" s="166"/>
      <c r="T1169" s="166"/>
      <c r="U1169" s="166"/>
      <c r="V1169" s="166"/>
    </row>
    <row r="1170" spans="17:22" ht="12">
      <c r="Q1170" s="166"/>
      <c r="R1170" s="166"/>
      <c r="S1170" s="166"/>
      <c r="T1170" s="166"/>
      <c r="U1170" s="166"/>
      <c r="V1170" s="166"/>
    </row>
    <row r="1171" spans="17:22" ht="12">
      <c r="Q1171" s="166"/>
      <c r="R1171" s="166"/>
      <c r="S1171" s="166"/>
      <c r="T1171" s="166"/>
      <c r="U1171" s="166"/>
      <c r="V1171" s="166"/>
    </row>
    <row r="1172" spans="17:22" ht="12">
      <c r="Q1172" s="166"/>
      <c r="R1172" s="166"/>
      <c r="S1172" s="166"/>
      <c r="T1172" s="166"/>
      <c r="U1172" s="166"/>
      <c r="V1172" s="166"/>
    </row>
    <row r="1173" spans="17:22" ht="12">
      <c r="Q1173" s="166"/>
      <c r="R1173" s="166"/>
      <c r="S1173" s="166"/>
      <c r="T1173" s="166"/>
      <c r="U1173" s="166"/>
      <c r="V1173" s="166"/>
    </row>
    <row r="1174" spans="17:22" ht="12">
      <c r="Q1174" s="166"/>
      <c r="R1174" s="166"/>
      <c r="S1174" s="166"/>
      <c r="T1174" s="166"/>
      <c r="U1174" s="166"/>
      <c r="V1174" s="166"/>
    </row>
    <row r="1175" spans="17:22" ht="12">
      <c r="Q1175" s="166"/>
      <c r="R1175" s="166"/>
      <c r="S1175" s="166"/>
      <c r="T1175" s="166"/>
      <c r="U1175" s="166"/>
      <c r="V1175" s="166"/>
    </row>
    <row r="1176" spans="17:22" ht="12">
      <c r="Q1176" s="166"/>
      <c r="R1176" s="166"/>
      <c r="S1176" s="166"/>
      <c r="T1176" s="166"/>
      <c r="U1176" s="166"/>
      <c r="V1176" s="166"/>
    </row>
    <row r="1177" spans="17:22" ht="12">
      <c r="Q1177" s="166"/>
      <c r="R1177" s="166"/>
      <c r="S1177" s="166"/>
      <c r="T1177" s="166"/>
      <c r="U1177" s="166"/>
      <c r="V1177" s="166"/>
    </row>
    <row r="1178" spans="17:22" ht="12">
      <c r="Q1178" s="166"/>
      <c r="R1178" s="166"/>
      <c r="S1178" s="166"/>
      <c r="T1178" s="166"/>
      <c r="U1178" s="166"/>
      <c r="V1178" s="166"/>
    </row>
    <row r="1179" spans="17:22" ht="12">
      <c r="Q1179" s="166"/>
      <c r="R1179" s="166"/>
      <c r="S1179" s="166"/>
      <c r="T1179" s="166"/>
      <c r="U1179" s="166"/>
      <c r="V1179" s="166"/>
    </row>
    <row r="1180" spans="17:22" ht="12">
      <c r="Q1180" s="166"/>
      <c r="R1180" s="166"/>
      <c r="S1180" s="166"/>
      <c r="T1180" s="166"/>
      <c r="U1180" s="166"/>
      <c r="V1180" s="166"/>
    </row>
    <row r="1181" spans="17:22" ht="12">
      <c r="Q1181" s="166"/>
      <c r="R1181" s="166"/>
      <c r="S1181" s="166"/>
      <c r="T1181" s="166"/>
      <c r="U1181" s="166"/>
      <c r="V1181" s="166"/>
    </row>
    <row r="1182" spans="17:22" ht="12">
      <c r="Q1182" s="166"/>
      <c r="R1182" s="166"/>
      <c r="S1182" s="166"/>
      <c r="T1182" s="166"/>
      <c r="U1182" s="166"/>
      <c r="V1182" s="166"/>
    </row>
    <row r="1183" spans="17:22" ht="12">
      <c r="Q1183" s="166"/>
      <c r="R1183" s="166"/>
      <c r="S1183" s="166"/>
      <c r="T1183" s="166"/>
      <c r="U1183" s="166"/>
      <c r="V1183" s="166"/>
    </row>
    <row r="1184" spans="17:22" ht="12">
      <c r="Q1184" s="166"/>
      <c r="R1184" s="166"/>
      <c r="S1184" s="166"/>
      <c r="T1184" s="166"/>
      <c r="U1184" s="166"/>
      <c r="V1184" s="166"/>
    </row>
    <row r="1185" spans="17:22" ht="12">
      <c r="Q1185" s="166"/>
      <c r="R1185" s="166"/>
      <c r="S1185" s="166"/>
      <c r="T1185" s="166"/>
      <c r="U1185" s="166"/>
      <c r="V1185" s="166"/>
    </row>
    <row r="1186" spans="17:22" ht="12">
      <c r="Q1186" s="166"/>
      <c r="R1186" s="166"/>
      <c r="S1186" s="166"/>
      <c r="T1186" s="166"/>
      <c r="U1186" s="166"/>
      <c r="V1186" s="166"/>
    </row>
    <row r="1187" spans="17:22" ht="12">
      <c r="Q1187" s="166"/>
      <c r="R1187" s="166"/>
      <c r="S1187" s="166"/>
      <c r="T1187" s="166"/>
      <c r="U1187" s="166"/>
      <c r="V1187" s="166"/>
    </row>
    <row r="1188" spans="17:22" ht="12">
      <c r="Q1188" s="166"/>
      <c r="R1188" s="166"/>
      <c r="S1188" s="166"/>
      <c r="T1188" s="166"/>
      <c r="U1188" s="166"/>
      <c r="V1188" s="166"/>
    </row>
    <row r="1189" spans="17:22" ht="12">
      <c r="Q1189" s="166"/>
      <c r="R1189" s="166"/>
      <c r="S1189" s="166"/>
      <c r="T1189" s="166"/>
      <c r="U1189" s="166"/>
      <c r="V1189" s="166"/>
    </row>
    <row r="1190" spans="17:22" ht="12">
      <c r="Q1190" s="166"/>
      <c r="R1190" s="166"/>
      <c r="S1190" s="166"/>
      <c r="T1190" s="166"/>
      <c r="U1190" s="166"/>
      <c r="V1190" s="166"/>
    </row>
    <row r="1191" spans="17:22" ht="12">
      <c r="Q1191" s="166"/>
      <c r="R1191" s="166"/>
      <c r="S1191" s="166"/>
      <c r="T1191" s="166"/>
      <c r="U1191" s="166"/>
      <c r="V1191" s="166"/>
    </row>
    <row r="1192" spans="17:22" ht="12">
      <c r="Q1192" s="166"/>
      <c r="R1192" s="166"/>
      <c r="S1192" s="166"/>
      <c r="T1192" s="166"/>
      <c r="U1192" s="166"/>
      <c r="V1192" s="166"/>
    </row>
    <row r="1193" spans="17:22" ht="12">
      <c r="Q1193" s="166"/>
      <c r="R1193" s="166"/>
      <c r="S1193" s="166"/>
      <c r="T1193" s="166"/>
      <c r="U1193" s="166"/>
      <c r="V1193" s="166"/>
    </row>
    <row r="1194" spans="17:22" ht="12">
      <c r="Q1194" s="166"/>
      <c r="R1194" s="166"/>
      <c r="S1194" s="166"/>
      <c r="T1194" s="166"/>
      <c r="U1194" s="166"/>
      <c r="V1194" s="166"/>
    </row>
    <row r="1195" spans="17:22" ht="12">
      <c r="Q1195" s="166"/>
      <c r="R1195" s="166"/>
      <c r="S1195" s="166"/>
      <c r="T1195" s="166"/>
      <c r="U1195" s="166"/>
      <c r="V1195" s="166"/>
    </row>
    <row r="1196" spans="17:22" ht="12">
      <c r="Q1196" s="166"/>
      <c r="R1196" s="166"/>
      <c r="S1196" s="166"/>
      <c r="T1196" s="166"/>
      <c r="U1196" s="166"/>
      <c r="V1196" s="166"/>
    </row>
    <row r="1197" spans="17:22" ht="12">
      <c r="Q1197" s="166"/>
      <c r="R1197" s="166"/>
      <c r="S1197" s="166"/>
      <c r="T1197" s="166"/>
      <c r="U1197" s="166"/>
      <c r="V1197" s="166"/>
    </row>
    <row r="1198" spans="17:22" ht="12">
      <c r="Q1198" s="166"/>
      <c r="R1198" s="166"/>
      <c r="S1198" s="166"/>
      <c r="T1198" s="166"/>
      <c r="U1198" s="166"/>
      <c r="V1198" s="166"/>
    </row>
    <row r="1199" spans="17:22" ht="12">
      <c r="Q1199" s="166"/>
      <c r="R1199" s="166"/>
      <c r="S1199" s="166"/>
      <c r="T1199" s="166"/>
      <c r="U1199" s="166"/>
      <c r="V1199" s="166"/>
    </row>
    <row r="1200" spans="17:22" ht="12">
      <c r="Q1200" s="166"/>
      <c r="R1200" s="166"/>
      <c r="S1200" s="166"/>
      <c r="T1200" s="166"/>
      <c r="U1200" s="166"/>
      <c r="V1200" s="166"/>
    </row>
    <row r="1201" spans="17:22" ht="12">
      <c r="Q1201" s="166"/>
      <c r="R1201" s="166"/>
      <c r="S1201" s="166"/>
      <c r="T1201" s="166"/>
      <c r="U1201" s="166"/>
      <c r="V1201" s="166"/>
    </row>
    <row r="1202" spans="17:22" ht="12">
      <c r="Q1202" s="166"/>
      <c r="R1202" s="166"/>
      <c r="S1202" s="166"/>
      <c r="T1202" s="166"/>
      <c r="U1202" s="166"/>
      <c r="V1202" s="166"/>
    </row>
    <row r="1203" spans="17:22" ht="12">
      <c r="Q1203" s="166"/>
      <c r="R1203" s="166"/>
      <c r="S1203" s="166"/>
      <c r="T1203" s="166"/>
      <c r="U1203" s="166"/>
      <c r="V1203" s="166"/>
    </row>
    <row r="1204" spans="17:22" ht="12">
      <c r="Q1204" s="166"/>
      <c r="R1204" s="166"/>
      <c r="S1204" s="166"/>
      <c r="T1204" s="166"/>
      <c r="U1204" s="166"/>
      <c r="V1204" s="166"/>
    </row>
    <row r="1205" spans="17:22" ht="12">
      <c r="Q1205" s="166"/>
      <c r="R1205" s="166"/>
      <c r="S1205" s="166"/>
      <c r="T1205" s="166"/>
      <c r="U1205" s="166"/>
      <c r="V1205" s="166"/>
    </row>
    <row r="1206" spans="17:22" ht="12">
      <c r="Q1206" s="166"/>
      <c r="R1206" s="166"/>
      <c r="S1206" s="166"/>
      <c r="T1206" s="166"/>
      <c r="U1206" s="166"/>
      <c r="V1206" s="166"/>
    </row>
    <row r="1207" spans="17:22" ht="12">
      <c r="Q1207" s="166"/>
      <c r="R1207" s="166"/>
      <c r="S1207" s="166"/>
      <c r="T1207" s="166"/>
      <c r="U1207" s="166"/>
      <c r="V1207" s="166"/>
    </row>
    <row r="1208" spans="17:22" ht="12">
      <c r="Q1208" s="166"/>
      <c r="R1208" s="166"/>
      <c r="S1208" s="166"/>
      <c r="T1208" s="166"/>
      <c r="U1208" s="166"/>
      <c r="V1208" s="166"/>
    </row>
    <row r="1209" spans="17:22" ht="12">
      <c r="Q1209" s="166"/>
      <c r="R1209" s="166"/>
      <c r="S1209" s="166"/>
      <c r="T1209" s="166"/>
      <c r="U1209" s="166"/>
      <c r="V1209" s="166"/>
    </row>
    <row r="1210" spans="17:22" ht="12">
      <c r="Q1210" s="166"/>
      <c r="R1210" s="166"/>
      <c r="S1210" s="166"/>
      <c r="T1210" s="166"/>
      <c r="U1210" s="166"/>
      <c r="V1210" s="166"/>
    </row>
    <row r="1211" spans="17:22" ht="12">
      <c r="Q1211" s="166"/>
      <c r="R1211" s="166"/>
      <c r="S1211" s="166"/>
      <c r="T1211" s="166"/>
      <c r="U1211" s="166"/>
      <c r="V1211" s="166"/>
    </row>
    <row r="1212" spans="17:22" ht="12">
      <c r="Q1212" s="166"/>
      <c r="R1212" s="166"/>
      <c r="S1212" s="166"/>
      <c r="T1212" s="166"/>
      <c r="U1212" s="166"/>
      <c r="V1212" s="166"/>
    </row>
    <row r="1213" spans="17:22" ht="12">
      <c r="Q1213" s="166"/>
      <c r="R1213" s="166"/>
      <c r="S1213" s="166"/>
      <c r="T1213" s="166"/>
      <c r="U1213" s="166"/>
      <c r="V1213" s="166"/>
    </row>
    <row r="1214" spans="17:22" ht="12">
      <c r="Q1214" s="166"/>
      <c r="R1214" s="166"/>
      <c r="S1214" s="166"/>
      <c r="T1214" s="166"/>
      <c r="U1214" s="166"/>
      <c r="V1214" s="166"/>
    </row>
    <row r="1215" spans="17:22" ht="12">
      <c r="Q1215" s="166"/>
      <c r="R1215" s="166"/>
      <c r="S1215" s="166"/>
      <c r="T1215" s="166"/>
      <c r="U1215" s="166"/>
      <c r="V1215" s="166"/>
    </row>
    <row r="1216" spans="17:22" ht="12">
      <c r="Q1216" s="166"/>
      <c r="R1216" s="166"/>
      <c r="S1216" s="166"/>
      <c r="T1216" s="166"/>
      <c r="U1216" s="166"/>
      <c r="V1216" s="166"/>
    </row>
    <row r="1217" spans="17:22" ht="12">
      <c r="Q1217" s="166"/>
      <c r="R1217" s="166"/>
      <c r="S1217" s="166"/>
      <c r="T1217" s="166"/>
      <c r="U1217" s="166"/>
      <c r="V1217" s="166"/>
    </row>
    <row r="1218" spans="17:22" ht="12">
      <c r="Q1218" s="166"/>
      <c r="R1218" s="166"/>
      <c r="S1218" s="166"/>
      <c r="T1218" s="166"/>
      <c r="U1218" s="166"/>
      <c r="V1218" s="166"/>
    </row>
    <row r="1219" spans="17:22" ht="12">
      <c r="Q1219" s="166"/>
      <c r="R1219" s="166"/>
      <c r="S1219" s="166"/>
      <c r="T1219" s="166"/>
      <c r="U1219" s="166"/>
      <c r="V1219" s="166"/>
    </row>
    <row r="1220" spans="17:22" ht="12">
      <c r="Q1220" s="166"/>
      <c r="R1220" s="166"/>
      <c r="S1220" s="166"/>
      <c r="T1220" s="166"/>
      <c r="U1220" s="166"/>
      <c r="V1220" s="166"/>
    </row>
    <row r="1221" spans="17:22" ht="12">
      <c r="Q1221" s="166"/>
      <c r="R1221" s="166"/>
      <c r="S1221" s="166"/>
      <c r="T1221" s="166"/>
      <c r="U1221" s="166"/>
      <c r="V1221" s="166"/>
    </row>
    <row r="1222" spans="17:22" ht="12">
      <c r="Q1222" s="166"/>
      <c r="R1222" s="166"/>
      <c r="S1222" s="166"/>
      <c r="T1222" s="166"/>
      <c r="U1222" s="166"/>
      <c r="V1222" s="166"/>
    </row>
    <row r="1223" spans="17:22" ht="12">
      <c r="Q1223" s="166"/>
      <c r="R1223" s="166"/>
      <c r="S1223" s="166"/>
      <c r="T1223" s="166"/>
      <c r="U1223" s="166"/>
      <c r="V1223" s="166"/>
    </row>
    <row r="1224" spans="17:22" ht="12">
      <c r="Q1224" s="166"/>
      <c r="R1224" s="166"/>
      <c r="S1224" s="166"/>
      <c r="T1224" s="166"/>
      <c r="U1224" s="166"/>
      <c r="V1224" s="166"/>
    </row>
    <row r="1225" spans="17:22" ht="12">
      <c r="Q1225" s="166"/>
      <c r="R1225" s="166"/>
      <c r="S1225" s="166"/>
      <c r="T1225" s="166"/>
      <c r="U1225" s="166"/>
      <c r="V1225" s="166"/>
    </row>
    <row r="1226" spans="17:22" ht="12">
      <c r="Q1226" s="166"/>
      <c r="R1226" s="166"/>
      <c r="S1226" s="166"/>
      <c r="T1226" s="166"/>
      <c r="U1226" s="166"/>
      <c r="V1226" s="166"/>
    </row>
    <row r="1227" spans="17:22" ht="12">
      <c r="Q1227" s="166"/>
      <c r="R1227" s="166"/>
      <c r="S1227" s="166"/>
      <c r="T1227" s="166"/>
      <c r="U1227" s="166"/>
      <c r="V1227" s="166"/>
    </row>
    <row r="1228" spans="17:22" ht="12">
      <c r="Q1228" s="166"/>
      <c r="R1228" s="166"/>
      <c r="S1228" s="166"/>
      <c r="T1228" s="166"/>
      <c r="U1228" s="166"/>
      <c r="V1228" s="166"/>
    </row>
    <row r="1229" spans="17:22" ht="12">
      <c r="Q1229" s="166"/>
      <c r="R1229" s="166"/>
      <c r="S1229" s="166"/>
      <c r="T1229" s="166"/>
      <c r="U1229" s="166"/>
      <c r="V1229" s="166"/>
    </row>
    <row r="1230" spans="17:22" ht="12">
      <c r="Q1230" s="166"/>
      <c r="R1230" s="166"/>
      <c r="S1230" s="166"/>
      <c r="T1230" s="166"/>
      <c r="U1230" s="166"/>
      <c r="V1230" s="166"/>
    </row>
    <row r="1231" spans="17:22" ht="12">
      <c r="Q1231" s="166"/>
      <c r="R1231" s="166"/>
      <c r="S1231" s="166"/>
      <c r="T1231" s="166"/>
      <c r="U1231" s="166"/>
      <c r="V1231" s="166"/>
    </row>
    <row r="1232" spans="17:22" ht="12">
      <c r="Q1232" s="166"/>
      <c r="R1232" s="166"/>
      <c r="S1232" s="166"/>
      <c r="T1232" s="166"/>
      <c r="U1232" s="166"/>
      <c r="V1232" s="166"/>
    </row>
    <row r="1233" spans="17:22" ht="12">
      <c r="Q1233" s="166"/>
      <c r="R1233" s="166"/>
      <c r="S1233" s="166"/>
      <c r="T1233" s="166"/>
      <c r="U1233" s="166"/>
      <c r="V1233" s="166"/>
    </row>
    <row r="1234" spans="17:22" ht="12">
      <c r="Q1234" s="166"/>
      <c r="R1234" s="166"/>
      <c r="S1234" s="166"/>
      <c r="T1234" s="166"/>
      <c r="U1234" s="166"/>
      <c r="V1234" s="166"/>
    </row>
    <row r="1235" spans="17:22" ht="12">
      <c r="Q1235" s="166"/>
      <c r="R1235" s="166"/>
      <c r="S1235" s="166"/>
      <c r="T1235" s="166"/>
      <c r="U1235" s="166"/>
      <c r="V1235" s="166"/>
    </row>
    <row r="1236" spans="17:22" ht="12">
      <c r="Q1236" s="166"/>
      <c r="R1236" s="166"/>
      <c r="S1236" s="166"/>
      <c r="T1236" s="166"/>
      <c r="U1236" s="166"/>
      <c r="V1236" s="166"/>
    </row>
    <row r="1237" spans="17:22" ht="12">
      <c r="Q1237" s="166"/>
      <c r="R1237" s="166"/>
      <c r="S1237" s="166"/>
      <c r="T1237" s="166"/>
      <c r="U1237" s="166"/>
      <c r="V1237" s="166"/>
    </row>
    <row r="1238" spans="17:22" ht="12">
      <c r="Q1238" s="166"/>
      <c r="R1238" s="166"/>
      <c r="S1238" s="166"/>
      <c r="T1238" s="166"/>
      <c r="U1238" s="166"/>
      <c r="V1238" s="166"/>
    </row>
    <row r="1239" spans="17:22" ht="12">
      <c r="Q1239" s="166"/>
      <c r="R1239" s="166"/>
      <c r="S1239" s="166"/>
      <c r="T1239" s="166"/>
      <c r="U1239" s="166"/>
      <c r="V1239" s="166"/>
    </row>
    <row r="1240" spans="17:22" ht="12">
      <c r="Q1240" s="166"/>
      <c r="R1240" s="166"/>
      <c r="S1240" s="166"/>
      <c r="T1240" s="166"/>
      <c r="U1240" s="166"/>
      <c r="V1240" s="166"/>
    </row>
    <row r="1241" spans="17:22" ht="12">
      <c r="Q1241" s="166"/>
      <c r="R1241" s="166"/>
      <c r="S1241" s="166"/>
      <c r="T1241" s="166"/>
      <c r="U1241" s="166"/>
      <c r="V1241" s="166"/>
    </row>
    <row r="1242" spans="17:22" ht="12">
      <c r="Q1242" s="166"/>
      <c r="R1242" s="166"/>
      <c r="S1242" s="166"/>
      <c r="T1242" s="166"/>
      <c r="U1242" s="166"/>
      <c r="V1242" s="166"/>
    </row>
    <row r="1243" spans="17:22" ht="12">
      <c r="Q1243" s="166"/>
      <c r="R1243" s="166"/>
      <c r="S1243" s="166"/>
      <c r="T1243" s="166"/>
      <c r="U1243" s="166"/>
      <c r="V1243" s="166"/>
    </row>
    <row r="1244" spans="17:22" ht="12">
      <c r="Q1244" s="166"/>
      <c r="R1244" s="166"/>
      <c r="S1244" s="166"/>
      <c r="T1244" s="166"/>
      <c r="U1244" s="166"/>
      <c r="V1244" s="166"/>
    </row>
    <row r="1245" spans="17:22" ht="12">
      <c r="Q1245" s="166"/>
      <c r="R1245" s="166"/>
      <c r="S1245" s="166"/>
      <c r="T1245" s="166"/>
      <c r="U1245" s="166"/>
      <c r="V1245" s="166"/>
    </row>
    <row r="1246" spans="17:22" ht="12">
      <c r="Q1246" s="166"/>
      <c r="R1246" s="166"/>
      <c r="S1246" s="166"/>
      <c r="T1246" s="166"/>
      <c r="U1246" s="166"/>
      <c r="V1246" s="166"/>
    </row>
    <row r="1247" spans="17:22" ht="12">
      <c r="Q1247" s="166"/>
      <c r="R1247" s="166"/>
      <c r="S1247" s="166"/>
      <c r="T1247" s="166"/>
      <c r="U1247" s="166"/>
      <c r="V1247" s="166"/>
    </row>
    <row r="1248" spans="17:22" ht="12">
      <c r="Q1248" s="166"/>
      <c r="R1248" s="166"/>
      <c r="S1248" s="166"/>
      <c r="T1248" s="166"/>
      <c r="U1248" s="166"/>
      <c r="V1248" s="166"/>
    </row>
    <row r="1249" spans="17:22" ht="12">
      <c r="Q1249" s="166"/>
      <c r="R1249" s="166"/>
      <c r="S1249" s="166"/>
      <c r="T1249" s="166"/>
      <c r="U1249" s="166"/>
      <c r="V1249" s="166"/>
    </row>
    <row r="1250" spans="17:22" ht="12">
      <c r="Q1250" s="166"/>
      <c r="R1250" s="166"/>
      <c r="S1250" s="166"/>
      <c r="T1250" s="166"/>
      <c r="U1250" s="166"/>
      <c r="V1250" s="166"/>
    </row>
    <row r="1251" spans="17:22" ht="12">
      <c r="Q1251" s="166"/>
      <c r="R1251" s="166"/>
      <c r="S1251" s="166"/>
      <c r="T1251" s="166"/>
      <c r="U1251" s="166"/>
      <c r="V1251" s="166"/>
    </row>
    <row r="1252" spans="17:22" ht="12">
      <c r="Q1252" s="166"/>
      <c r="R1252" s="166"/>
      <c r="S1252" s="166"/>
      <c r="T1252" s="166"/>
      <c r="U1252" s="166"/>
      <c r="V1252" s="166"/>
    </row>
    <row r="1253" spans="17:22" ht="12">
      <c r="Q1253" s="166"/>
      <c r="R1253" s="166"/>
      <c r="S1253" s="166"/>
      <c r="T1253" s="166"/>
      <c r="U1253" s="166"/>
      <c r="V1253" s="166"/>
    </row>
    <row r="1254" spans="17:22" ht="12">
      <c r="Q1254" s="166"/>
      <c r="R1254" s="166"/>
      <c r="S1254" s="166"/>
      <c r="T1254" s="166"/>
      <c r="U1254" s="166"/>
      <c r="V1254" s="166"/>
    </row>
    <row r="1255" spans="17:22" ht="12">
      <c r="Q1255" s="166"/>
      <c r="R1255" s="166"/>
      <c r="S1255" s="166"/>
      <c r="T1255" s="166"/>
      <c r="U1255" s="166"/>
      <c r="V1255" s="166"/>
    </row>
    <row r="1256" spans="17:22" ht="12">
      <c r="Q1256" s="166"/>
      <c r="R1256" s="166"/>
      <c r="S1256" s="166"/>
      <c r="T1256" s="166"/>
      <c r="U1256" s="166"/>
      <c r="V1256" s="166"/>
    </row>
    <row r="1257" spans="17:22" ht="12">
      <c r="Q1257" s="166"/>
      <c r="R1257" s="166"/>
      <c r="S1257" s="166"/>
      <c r="T1257" s="166"/>
      <c r="U1257" s="166"/>
      <c r="V1257" s="166"/>
    </row>
    <row r="1258" spans="17:22" ht="12">
      <c r="Q1258" s="166"/>
      <c r="R1258" s="166"/>
      <c r="S1258" s="166"/>
      <c r="T1258" s="166"/>
      <c r="U1258" s="166"/>
      <c r="V1258" s="166"/>
    </row>
    <row r="1259" spans="17:22" ht="12">
      <c r="Q1259" s="166"/>
      <c r="R1259" s="166"/>
      <c r="S1259" s="166"/>
      <c r="T1259" s="166"/>
      <c r="U1259" s="166"/>
      <c r="V1259" s="166"/>
    </row>
    <row r="1260" spans="17:22" ht="12">
      <c r="Q1260" s="166"/>
      <c r="R1260" s="166"/>
      <c r="S1260" s="166"/>
      <c r="T1260" s="166"/>
      <c r="U1260" s="166"/>
      <c r="V1260" s="166"/>
    </row>
    <row r="1261" spans="17:22" ht="12">
      <c r="Q1261" s="166"/>
      <c r="R1261" s="166"/>
      <c r="S1261" s="166"/>
      <c r="T1261" s="166"/>
      <c r="U1261" s="166"/>
      <c r="V1261" s="166"/>
    </row>
    <row r="1262" spans="17:22" ht="12">
      <c r="Q1262" s="166"/>
      <c r="R1262" s="166"/>
      <c r="S1262" s="166"/>
      <c r="T1262" s="166"/>
      <c r="U1262" s="166"/>
      <c r="V1262" s="166"/>
    </row>
    <row r="1263" spans="17:22" ht="12">
      <c r="Q1263" s="166"/>
      <c r="R1263" s="166"/>
      <c r="S1263" s="166"/>
      <c r="T1263" s="166"/>
      <c r="U1263" s="166"/>
      <c r="V1263" s="166"/>
    </row>
    <row r="1264" spans="17:22" ht="12">
      <c r="Q1264" s="166"/>
      <c r="R1264" s="166"/>
      <c r="S1264" s="166"/>
      <c r="T1264" s="166"/>
      <c r="U1264" s="166"/>
      <c r="V1264" s="166"/>
    </row>
    <row r="1265" spans="17:22" ht="12">
      <c r="Q1265" s="166"/>
      <c r="R1265" s="166"/>
      <c r="S1265" s="166"/>
      <c r="T1265" s="166"/>
      <c r="U1265" s="166"/>
      <c r="V1265" s="166"/>
    </row>
    <row r="1266" spans="17:22" ht="12">
      <c r="Q1266" s="166"/>
      <c r="R1266" s="166"/>
      <c r="S1266" s="166"/>
      <c r="T1266" s="166"/>
      <c r="U1266" s="166"/>
      <c r="V1266" s="166"/>
    </row>
    <row r="1267" spans="17:22" ht="12">
      <c r="Q1267" s="166"/>
      <c r="R1267" s="166"/>
      <c r="S1267" s="166"/>
      <c r="T1267" s="166"/>
      <c r="U1267" s="166"/>
      <c r="V1267" s="166"/>
    </row>
    <row r="1268" spans="17:22" ht="12">
      <c r="Q1268" s="166"/>
      <c r="R1268" s="166"/>
      <c r="S1268" s="166"/>
      <c r="T1268" s="166"/>
      <c r="U1268" s="166"/>
      <c r="V1268" s="166"/>
    </row>
    <row r="1269" spans="17:22" ht="12">
      <c r="Q1269" s="166"/>
      <c r="R1269" s="166"/>
      <c r="S1269" s="166"/>
      <c r="T1269" s="166"/>
      <c r="U1269" s="166"/>
      <c r="V1269" s="166"/>
    </row>
    <row r="1270" spans="17:22" ht="12">
      <c r="Q1270" s="166"/>
      <c r="R1270" s="166"/>
      <c r="S1270" s="166"/>
      <c r="T1270" s="166"/>
      <c r="U1270" s="166"/>
      <c r="V1270" s="166"/>
    </row>
    <row r="1271" spans="17:22" ht="12">
      <c r="Q1271" s="166"/>
      <c r="R1271" s="166"/>
      <c r="S1271" s="166"/>
      <c r="T1271" s="166"/>
      <c r="U1271" s="166"/>
      <c r="V1271" s="166"/>
    </row>
    <row r="1272" spans="17:22" ht="12">
      <c r="Q1272" s="166"/>
      <c r="R1272" s="166"/>
      <c r="S1272" s="166"/>
      <c r="T1272" s="166"/>
      <c r="U1272" s="166"/>
      <c r="V1272" s="166"/>
    </row>
    <row r="1273" spans="17:22" ht="12">
      <c r="Q1273" s="166"/>
      <c r="R1273" s="166"/>
      <c r="S1273" s="166"/>
      <c r="T1273" s="166"/>
      <c r="U1273" s="166"/>
      <c r="V1273" s="166"/>
    </row>
    <row r="1274" spans="17:22" ht="12">
      <c r="Q1274" s="166"/>
      <c r="R1274" s="166"/>
      <c r="S1274" s="166"/>
      <c r="T1274" s="166"/>
      <c r="U1274" s="166"/>
      <c r="V1274" s="166"/>
    </row>
    <row r="1275" spans="17:22" ht="12">
      <c r="Q1275" s="166"/>
      <c r="R1275" s="166"/>
      <c r="S1275" s="166"/>
      <c r="T1275" s="166"/>
      <c r="U1275" s="166"/>
      <c r="V1275" s="166"/>
    </row>
    <row r="1276" spans="17:22" ht="12">
      <c r="Q1276" s="166"/>
      <c r="R1276" s="166"/>
      <c r="S1276" s="166"/>
      <c r="T1276" s="166"/>
      <c r="U1276" s="166"/>
      <c r="V1276" s="166"/>
    </row>
    <row r="1277" spans="17:22" ht="12">
      <c r="Q1277" s="166"/>
      <c r="R1277" s="166"/>
      <c r="S1277" s="166"/>
      <c r="T1277" s="166"/>
      <c r="U1277" s="166"/>
      <c r="V1277" s="166"/>
    </row>
    <row r="1278" spans="17:22" ht="12">
      <c r="Q1278" s="166"/>
      <c r="R1278" s="166"/>
      <c r="S1278" s="166"/>
      <c r="T1278" s="166"/>
      <c r="U1278" s="166"/>
      <c r="V1278" s="166"/>
    </row>
    <row r="1279" spans="17:22" ht="12">
      <c r="Q1279" s="166"/>
      <c r="R1279" s="166"/>
      <c r="S1279" s="166"/>
      <c r="T1279" s="166"/>
      <c r="U1279" s="166"/>
      <c r="V1279" s="166"/>
    </row>
    <row r="1280" spans="17:22" ht="12">
      <c r="Q1280" s="166"/>
      <c r="R1280" s="166"/>
      <c r="S1280" s="166"/>
      <c r="T1280" s="166"/>
      <c r="U1280" s="166"/>
      <c r="V1280" s="166"/>
    </row>
    <row r="1281" spans="17:22" ht="12">
      <c r="Q1281" s="166"/>
      <c r="R1281" s="166"/>
      <c r="S1281" s="166"/>
      <c r="T1281" s="166"/>
      <c r="U1281" s="166"/>
      <c r="V1281" s="166"/>
    </row>
    <row r="1282" spans="17:22" ht="12">
      <c r="Q1282" s="166"/>
      <c r="R1282" s="166"/>
      <c r="S1282" s="166"/>
      <c r="T1282" s="166"/>
      <c r="U1282" s="166"/>
      <c r="V1282" s="166"/>
    </row>
    <row r="1283" spans="17:22" ht="12">
      <c r="Q1283" s="166"/>
      <c r="R1283" s="166"/>
      <c r="S1283" s="166"/>
      <c r="T1283" s="166"/>
      <c r="U1283" s="166"/>
      <c r="V1283" s="166"/>
    </row>
    <row r="1284" spans="17:22" ht="12">
      <c r="Q1284" s="166"/>
      <c r="R1284" s="166"/>
      <c r="S1284" s="166"/>
      <c r="T1284" s="166"/>
      <c r="U1284" s="166"/>
      <c r="V1284" s="166"/>
    </row>
    <row r="1285" spans="17:22" ht="12">
      <c r="Q1285" s="166"/>
      <c r="R1285" s="166"/>
      <c r="S1285" s="166"/>
      <c r="T1285" s="166"/>
      <c r="U1285" s="166"/>
      <c r="V1285" s="166"/>
    </row>
    <row r="1286" spans="17:22" ht="12">
      <c r="Q1286" s="166"/>
      <c r="R1286" s="166"/>
      <c r="S1286" s="166"/>
      <c r="T1286" s="166"/>
      <c r="U1286" s="166"/>
      <c r="V1286" s="166"/>
    </row>
    <row r="1287" spans="17:22" ht="12">
      <c r="Q1287" s="166"/>
      <c r="R1287" s="166"/>
      <c r="S1287" s="166"/>
      <c r="T1287" s="166"/>
      <c r="U1287" s="166"/>
      <c r="V1287" s="166"/>
    </row>
    <row r="1288" spans="17:22" ht="12">
      <c r="Q1288" s="166"/>
      <c r="R1288" s="166"/>
      <c r="S1288" s="166"/>
      <c r="T1288" s="166"/>
      <c r="U1288" s="166"/>
      <c r="V1288" s="166"/>
    </row>
    <row r="1289" spans="17:22" ht="12">
      <c r="Q1289" s="166"/>
      <c r="R1289" s="166"/>
      <c r="S1289" s="166"/>
      <c r="T1289" s="166"/>
      <c r="U1289" s="166"/>
      <c r="V1289" s="166"/>
    </row>
    <row r="1290" spans="17:22" ht="12">
      <c r="Q1290" s="166"/>
      <c r="R1290" s="166"/>
      <c r="S1290" s="166"/>
      <c r="T1290" s="166"/>
      <c r="U1290" s="166"/>
      <c r="V1290" s="166"/>
    </row>
    <row r="1291" spans="17:22" ht="12">
      <c r="Q1291" s="166"/>
      <c r="R1291" s="166"/>
      <c r="S1291" s="166"/>
      <c r="T1291" s="166"/>
      <c r="U1291" s="166"/>
      <c r="V1291" s="166"/>
    </row>
    <row r="1292" spans="17:22" ht="12">
      <c r="Q1292" s="166"/>
      <c r="R1292" s="166"/>
      <c r="S1292" s="166"/>
      <c r="T1292" s="166"/>
      <c r="U1292" s="166"/>
      <c r="V1292" s="166"/>
    </row>
    <row r="1293" spans="17:22" ht="12">
      <c r="Q1293" s="166"/>
      <c r="R1293" s="166"/>
      <c r="S1293" s="166"/>
      <c r="T1293" s="166"/>
      <c r="U1293" s="166"/>
      <c r="V1293" s="166"/>
    </row>
    <row r="1294" spans="17:22" ht="12">
      <c r="Q1294" s="166"/>
      <c r="R1294" s="166"/>
      <c r="S1294" s="166"/>
      <c r="T1294" s="166"/>
      <c r="U1294" s="166"/>
      <c r="V1294" s="166"/>
    </row>
    <row r="1295" spans="17:22" ht="12">
      <c r="Q1295" s="166"/>
      <c r="R1295" s="166"/>
      <c r="S1295" s="166"/>
      <c r="T1295" s="166"/>
      <c r="U1295" s="166"/>
      <c r="V1295" s="166"/>
    </row>
    <row r="1296" spans="17:22" ht="12">
      <c r="Q1296" s="166"/>
      <c r="R1296" s="166"/>
      <c r="S1296" s="166"/>
      <c r="T1296" s="166"/>
      <c r="U1296" s="166"/>
      <c r="V1296" s="166"/>
    </row>
    <row r="1297" spans="17:22" ht="12">
      <c r="Q1297" s="166"/>
      <c r="R1297" s="166"/>
      <c r="S1297" s="166"/>
      <c r="T1297" s="166"/>
      <c r="U1297" s="166"/>
      <c r="V1297" s="166"/>
    </row>
    <row r="1298" spans="17:22" ht="12">
      <c r="Q1298" s="166"/>
      <c r="R1298" s="166"/>
      <c r="S1298" s="166"/>
      <c r="T1298" s="166"/>
      <c r="U1298" s="166"/>
      <c r="V1298" s="166"/>
    </row>
    <row r="1299" spans="17:22" ht="12">
      <c r="Q1299" s="166"/>
      <c r="R1299" s="166"/>
      <c r="S1299" s="166"/>
      <c r="T1299" s="166"/>
      <c r="U1299" s="166"/>
      <c r="V1299" s="166"/>
    </row>
    <row r="1300" spans="17:22" ht="12">
      <c r="Q1300" s="166"/>
      <c r="R1300" s="166"/>
      <c r="S1300" s="166"/>
      <c r="T1300" s="166"/>
      <c r="U1300" s="166"/>
      <c r="V1300" s="166"/>
    </row>
    <row r="1301" spans="17:22" ht="12">
      <c r="Q1301" s="166"/>
      <c r="R1301" s="166"/>
      <c r="S1301" s="166"/>
      <c r="T1301" s="166"/>
      <c r="U1301" s="166"/>
      <c r="V1301" s="166"/>
    </row>
    <row r="1302" spans="17:22" ht="12">
      <c r="Q1302" s="166"/>
      <c r="R1302" s="166"/>
      <c r="S1302" s="166"/>
      <c r="T1302" s="166"/>
      <c r="U1302" s="166"/>
      <c r="V1302" s="166"/>
    </row>
    <row r="1303" spans="17:22" ht="12">
      <c r="Q1303" s="166"/>
      <c r="R1303" s="166"/>
      <c r="S1303" s="166"/>
      <c r="T1303" s="166"/>
      <c r="U1303" s="166"/>
      <c r="V1303" s="166"/>
    </row>
    <row r="1304" spans="17:22" ht="12">
      <c r="Q1304" s="166"/>
      <c r="R1304" s="166"/>
      <c r="S1304" s="166"/>
      <c r="T1304" s="166"/>
      <c r="U1304" s="166"/>
      <c r="V1304" s="166"/>
    </row>
    <row r="1305" spans="17:22" ht="12">
      <c r="Q1305" s="166"/>
      <c r="R1305" s="166"/>
      <c r="S1305" s="166"/>
      <c r="T1305" s="166"/>
      <c r="U1305" s="166"/>
      <c r="V1305" s="166"/>
    </row>
    <row r="1306" spans="17:22" ht="12">
      <c r="Q1306" s="166"/>
      <c r="R1306" s="166"/>
      <c r="S1306" s="166"/>
      <c r="T1306" s="166"/>
      <c r="U1306" s="166"/>
      <c r="V1306" s="166"/>
    </row>
    <row r="1307" spans="17:22" ht="12">
      <c r="Q1307" s="166"/>
      <c r="R1307" s="166"/>
      <c r="S1307" s="166"/>
      <c r="T1307" s="166"/>
      <c r="U1307" s="166"/>
      <c r="V1307" s="166"/>
    </row>
    <row r="1308" spans="17:22" ht="12">
      <c r="Q1308" s="166"/>
      <c r="R1308" s="166"/>
      <c r="S1308" s="166"/>
      <c r="T1308" s="166"/>
      <c r="U1308" s="166"/>
      <c r="V1308" s="166"/>
    </row>
    <row r="1309" spans="17:22" ht="12">
      <c r="Q1309" s="166"/>
      <c r="R1309" s="166"/>
      <c r="S1309" s="166"/>
      <c r="T1309" s="166"/>
      <c r="U1309" s="166"/>
      <c r="V1309" s="166"/>
    </row>
    <row r="1310" spans="17:22" ht="12">
      <c r="Q1310" s="166"/>
      <c r="R1310" s="166"/>
      <c r="S1310" s="166"/>
      <c r="T1310" s="166"/>
      <c r="U1310" s="166"/>
      <c r="V1310" s="166"/>
    </row>
    <row r="1311" spans="17:22" ht="12">
      <c r="Q1311" s="166"/>
      <c r="R1311" s="166"/>
      <c r="S1311" s="166"/>
      <c r="T1311" s="166"/>
      <c r="U1311" s="166"/>
      <c r="V1311" s="166"/>
    </row>
    <row r="1312" spans="17:22" ht="12">
      <c r="Q1312" s="166"/>
      <c r="R1312" s="166"/>
      <c r="S1312" s="166"/>
      <c r="T1312" s="166"/>
      <c r="U1312" s="166"/>
      <c r="V1312" s="166"/>
    </row>
    <row r="1313" spans="17:22" ht="12">
      <c r="Q1313" s="166"/>
      <c r="R1313" s="166"/>
      <c r="S1313" s="166"/>
      <c r="T1313" s="166"/>
      <c r="U1313" s="166"/>
      <c r="V1313" s="166"/>
    </row>
    <row r="1314" spans="17:22" ht="12">
      <c r="Q1314" s="166"/>
      <c r="R1314" s="166"/>
      <c r="S1314" s="166"/>
      <c r="T1314" s="166"/>
      <c r="U1314" s="166"/>
      <c r="V1314" s="166"/>
    </row>
    <row r="1315" spans="17:22" ht="12">
      <c r="Q1315" s="166"/>
      <c r="R1315" s="166"/>
      <c r="S1315" s="166"/>
      <c r="T1315" s="166"/>
      <c r="U1315" s="166"/>
      <c r="V1315" s="166"/>
    </row>
    <row r="1316" spans="17:22" ht="12">
      <c r="Q1316" s="166"/>
      <c r="R1316" s="166"/>
      <c r="S1316" s="166"/>
      <c r="T1316" s="166"/>
      <c r="U1316" s="166"/>
      <c r="V1316" s="166"/>
    </row>
    <row r="1317" spans="17:22" ht="12">
      <c r="Q1317" s="166"/>
      <c r="R1317" s="166"/>
      <c r="S1317" s="166"/>
      <c r="T1317" s="166"/>
      <c r="U1317" s="166"/>
      <c r="V1317" s="166"/>
    </row>
    <row r="1318" spans="17:22" ht="12">
      <c r="Q1318" s="166"/>
      <c r="R1318" s="166"/>
      <c r="S1318" s="166"/>
      <c r="T1318" s="166"/>
      <c r="U1318" s="166"/>
      <c r="V1318" s="166"/>
    </row>
    <row r="1319" spans="17:22" ht="12">
      <c r="Q1319" s="166"/>
      <c r="R1319" s="166"/>
      <c r="S1319" s="166"/>
      <c r="T1319" s="166"/>
      <c r="U1319" s="166"/>
      <c r="V1319" s="166"/>
    </row>
    <row r="1320" spans="17:22" ht="12">
      <c r="Q1320" s="166"/>
      <c r="R1320" s="166"/>
      <c r="S1320" s="166"/>
      <c r="T1320" s="166"/>
      <c r="U1320" s="166"/>
      <c r="V1320" s="166"/>
    </row>
    <row r="1321" spans="17:22" ht="12">
      <c r="Q1321" s="166"/>
      <c r="R1321" s="166"/>
      <c r="S1321" s="166"/>
      <c r="T1321" s="166"/>
      <c r="U1321" s="166"/>
      <c r="V1321" s="166"/>
    </row>
    <row r="1322" spans="17:22" ht="12">
      <c r="Q1322" s="166"/>
      <c r="R1322" s="166"/>
      <c r="S1322" s="166"/>
      <c r="T1322" s="166"/>
      <c r="U1322" s="166"/>
      <c r="V1322" s="166"/>
    </row>
    <row r="1323" spans="17:22" ht="12">
      <c r="Q1323" s="166"/>
      <c r="R1323" s="166"/>
      <c r="S1323" s="166"/>
      <c r="T1323" s="166"/>
      <c r="U1323" s="166"/>
      <c r="V1323" s="166"/>
    </row>
    <row r="1324" spans="17:22" ht="12">
      <c r="Q1324" s="166"/>
      <c r="R1324" s="166"/>
      <c r="S1324" s="166"/>
      <c r="T1324" s="166"/>
      <c r="U1324" s="166"/>
      <c r="V1324" s="166"/>
    </row>
    <row r="1325" spans="17:22" ht="12">
      <c r="Q1325" s="166"/>
      <c r="R1325" s="166"/>
      <c r="S1325" s="166"/>
      <c r="T1325" s="166"/>
      <c r="U1325" s="166"/>
      <c r="V1325" s="166"/>
    </row>
    <row r="1326" spans="17:22" ht="12">
      <c r="Q1326" s="166"/>
      <c r="R1326" s="166"/>
      <c r="S1326" s="166"/>
      <c r="T1326" s="166"/>
      <c r="U1326" s="166"/>
      <c r="V1326" s="166"/>
    </row>
    <row r="1327" spans="17:22" ht="12">
      <c r="Q1327" s="166"/>
      <c r="R1327" s="166"/>
      <c r="S1327" s="166"/>
      <c r="T1327" s="166"/>
      <c r="U1327" s="166"/>
      <c r="V1327" s="166"/>
    </row>
    <row r="1328" spans="17:22" ht="12">
      <c r="Q1328" s="166"/>
      <c r="R1328" s="166"/>
      <c r="S1328" s="166"/>
      <c r="T1328" s="166"/>
      <c r="U1328" s="166"/>
      <c r="V1328" s="166"/>
    </row>
    <row r="1329" spans="17:22" ht="12">
      <c r="Q1329" s="166"/>
      <c r="R1329" s="166"/>
      <c r="S1329" s="166"/>
      <c r="T1329" s="166"/>
      <c r="U1329" s="166"/>
      <c r="V1329" s="166"/>
    </row>
    <row r="1330" spans="17:22" ht="12">
      <c r="Q1330" s="166"/>
      <c r="R1330" s="166"/>
      <c r="S1330" s="166"/>
      <c r="T1330" s="166"/>
      <c r="U1330" s="166"/>
      <c r="V1330" s="166"/>
    </row>
    <row r="1331" spans="17:22" ht="12">
      <c r="Q1331" s="166"/>
      <c r="R1331" s="166"/>
      <c r="S1331" s="166"/>
      <c r="T1331" s="166"/>
      <c r="U1331" s="166"/>
      <c r="V1331" s="166"/>
    </row>
    <row r="1332" spans="17:22" ht="12">
      <c r="Q1332" s="166"/>
      <c r="R1332" s="166"/>
      <c r="S1332" s="166"/>
      <c r="T1332" s="166"/>
      <c r="U1332" s="166"/>
      <c r="V1332" s="166"/>
    </row>
    <row r="1333" spans="17:22" ht="12">
      <c r="Q1333" s="166"/>
      <c r="R1333" s="166"/>
      <c r="S1333" s="166"/>
      <c r="T1333" s="166"/>
      <c r="U1333" s="166"/>
      <c r="V1333" s="166"/>
    </row>
    <row r="1334" spans="17:22" ht="12">
      <c r="Q1334" s="166"/>
      <c r="R1334" s="166"/>
      <c r="S1334" s="166"/>
      <c r="T1334" s="166"/>
      <c r="U1334" s="166"/>
      <c r="V1334" s="166"/>
    </row>
    <row r="1335" spans="17:22" ht="12">
      <c r="Q1335" s="166"/>
      <c r="R1335" s="166"/>
      <c r="S1335" s="166"/>
      <c r="T1335" s="166"/>
      <c r="U1335" s="166"/>
      <c r="V1335" s="166"/>
    </row>
    <row r="1336" spans="17:22" ht="12">
      <c r="Q1336" s="166"/>
      <c r="R1336" s="166"/>
      <c r="S1336" s="166"/>
      <c r="T1336" s="166"/>
      <c r="U1336" s="166"/>
      <c r="V1336" s="166"/>
    </row>
    <row r="1337" spans="17:22" ht="12">
      <c r="Q1337" s="166"/>
      <c r="R1337" s="166"/>
      <c r="S1337" s="166"/>
      <c r="T1337" s="166"/>
      <c r="U1337" s="166"/>
      <c r="V1337" s="166"/>
    </row>
    <row r="1338" spans="17:22" ht="12">
      <c r="Q1338" s="166"/>
      <c r="R1338" s="166"/>
      <c r="S1338" s="166"/>
      <c r="T1338" s="166"/>
      <c r="U1338" s="166"/>
      <c r="V1338" s="166"/>
    </row>
    <row r="1339" spans="17:22" ht="12">
      <c r="Q1339" s="166"/>
      <c r="R1339" s="166"/>
      <c r="S1339" s="166"/>
      <c r="T1339" s="166"/>
      <c r="U1339" s="166"/>
      <c r="V1339" s="166"/>
    </row>
    <row r="1340" spans="17:22" ht="12">
      <c r="Q1340" s="166"/>
      <c r="R1340" s="166"/>
      <c r="S1340" s="166"/>
      <c r="T1340" s="166"/>
      <c r="U1340" s="166"/>
      <c r="V1340" s="166"/>
    </row>
    <row r="1341" spans="17:22" ht="12">
      <c r="Q1341" s="166"/>
      <c r="R1341" s="166"/>
      <c r="S1341" s="166"/>
      <c r="T1341" s="166"/>
      <c r="U1341" s="166"/>
      <c r="V1341" s="166"/>
    </row>
    <row r="1342" spans="17:22" ht="12">
      <c r="Q1342" s="166"/>
      <c r="R1342" s="166"/>
      <c r="S1342" s="166"/>
      <c r="T1342" s="166"/>
      <c r="U1342" s="166"/>
      <c r="V1342" s="166"/>
    </row>
    <row r="1343" spans="17:22" ht="12">
      <c r="Q1343" s="166"/>
      <c r="R1343" s="166"/>
      <c r="S1343" s="166"/>
      <c r="T1343" s="166"/>
      <c r="U1343" s="166"/>
      <c r="V1343" s="166"/>
    </row>
    <row r="1344" spans="17:22" ht="12">
      <c r="Q1344" s="166"/>
      <c r="R1344" s="166"/>
      <c r="S1344" s="166"/>
      <c r="T1344" s="166"/>
      <c r="U1344" s="166"/>
      <c r="V1344" s="166"/>
    </row>
    <row r="1345" spans="17:22" ht="12">
      <c r="Q1345" s="166"/>
      <c r="R1345" s="166"/>
      <c r="S1345" s="166"/>
      <c r="T1345" s="166"/>
      <c r="U1345" s="166"/>
      <c r="V1345" s="166"/>
    </row>
    <row r="1346" spans="17:22" ht="12">
      <c r="Q1346" s="166"/>
      <c r="R1346" s="166"/>
      <c r="S1346" s="166"/>
      <c r="T1346" s="166"/>
      <c r="U1346" s="166"/>
      <c r="V1346" s="166"/>
    </row>
    <row r="1347" spans="17:22" ht="12">
      <c r="Q1347" s="166"/>
      <c r="R1347" s="166"/>
      <c r="S1347" s="166"/>
      <c r="T1347" s="166"/>
      <c r="U1347" s="166"/>
      <c r="V1347" s="166"/>
    </row>
    <row r="1348" spans="17:22" ht="12">
      <c r="Q1348" s="166"/>
      <c r="R1348" s="166"/>
      <c r="S1348" s="166"/>
      <c r="T1348" s="166"/>
      <c r="U1348" s="166"/>
      <c r="V1348" s="166"/>
    </row>
    <row r="1349" spans="17:22" ht="12">
      <c r="Q1349" s="166"/>
      <c r="R1349" s="166"/>
      <c r="S1349" s="166"/>
      <c r="T1349" s="166"/>
      <c r="U1349" s="166"/>
      <c r="V1349" s="166"/>
    </row>
    <row r="1350" spans="17:22" ht="12">
      <c r="Q1350" s="166"/>
      <c r="R1350" s="166"/>
      <c r="S1350" s="166"/>
      <c r="T1350" s="166"/>
      <c r="U1350" s="166"/>
      <c r="V1350" s="166"/>
    </row>
    <row r="1351" spans="17:22" ht="12">
      <c r="Q1351" s="166"/>
      <c r="R1351" s="166"/>
      <c r="S1351" s="166"/>
      <c r="T1351" s="166"/>
      <c r="U1351" s="166"/>
      <c r="V1351" s="166"/>
    </row>
    <row r="1352" spans="17:22" ht="12">
      <c r="Q1352" s="166"/>
      <c r="R1352" s="166"/>
      <c r="S1352" s="166"/>
      <c r="T1352" s="166"/>
      <c r="U1352" s="166"/>
      <c r="V1352" s="166"/>
    </row>
    <row r="1353" spans="17:22" ht="12">
      <c r="Q1353" s="166"/>
      <c r="R1353" s="166"/>
      <c r="S1353" s="166"/>
      <c r="T1353" s="166"/>
      <c r="U1353" s="166"/>
      <c r="V1353" s="166"/>
    </row>
    <row r="1354" spans="17:22" ht="12">
      <c r="Q1354" s="166"/>
      <c r="R1354" s="166"/>
      <c r="S1354" s="166"/>
      <c r="T1354" s="166"/>
      <c r="U1354" s="166"/>
      <c r="V1354" s="166"/>
    </row>
    <row r="1355" spans="17:22" ht="12">
      <c r="Q1355" s="166"/>
      <c r="R1355" s="166"/>
      <c r="S1355" s="166"/>
      <c r="T1355" s="166"/>
      <c r="U1355" s="166"/>
      <c r="V1355" s="166"/>
    </row>
    <row r="1356" spans="17:22" ht="12">
      <c r="Q1356" s="166"/>
      <c r="R1356" s="166"/>
      <c r="S1356" s="166"/>
      <c r="T1356" s="166"/>
      <c r="U1356" s="166"/>
      <c r="V1356" s="166"/>
    </row>
    <row r="1357" spans="17:22" ht="12">
      <c r="Q1357" s="166"/>
      <c r="R1357" s="166"/>
      <c r="S1357" s="166"/>
      <c r="T1357" s="166"/>
      <c r="U1357" s="166"/>
      <c r="V1357" s="166"/>
    </row>
    <row r="1358" spans="17:22" ht="12">
      <c r="Q1358" s="166"/>
      <c r="R1358" s="166"/>
      <c r="S1358" s="166"/>
      <c r="T1358" s="166"/>
      <c r="U1358" s="166"/>
      <c r="V1358" s="166"/>
    </row>
    <row r="1359" spans="17:22" ht="12">
      <c r="Q1359" s="166"/>
      <c r="R1359" s="166"/>
      <c r="S1359" s="166"/>
      <c r="T1359" s="166"/>
      <c r="U1359" s="166"/>
      <c r="V1359" s="166"/>
    </row>
    <row r="1360" spans="17:22" ht="12">
      <c r="Q1360" s="166"/>
      <c r="R1360" s="166"/>
      <c r="S1360" s="166"/>
      <c r="T1360" s="166"/>
      <c r="U1360" s="166"/>
      <c r="V1360" s="166"/>
    </row>
    <row r="1361" spans="17:22" ht="12">
      <c r="Q1361" s="166"/>
      <c r="R1361" s="166"/>
      <c r="S1361" s="166"/>
      <c r="T1361" s="166"/>
      <c r="U1361" s="166"/>
      <c r="V1361" s="166"/>
    </row>
    <row r="1362" spans="17:22" ht="12">
      <c r="Q1362" s="166"/>
      <c r="R1362" s="166"/>
      <c r="S1362" s="166"/>
      <c r="T1362" s="166"/>
      <c r="U1362" s="166"/>
      <c r="V1362" s="166"/>
    </row>
    <row r="1363" spans="17:22" ht="12">
      <c r="Q1363" s="166"/>
      <c r="R1363" s="166"/>
      <c r="S1363" s="166"/>
      <c r="T1363" s="166"/>
      <c r="U1363" s="166"/>
      <c r="V1363" s="166"/>
    </row>
    <row r="1364" spans="17:22" ht="12">
      <c r="Q1364" s="166"/>
      <c r="R1364" s="166"/>
      <c r="S1364" s="166"/>
      <c r="T1364" s="166"/>
      <c r="U1364" s="166"/>
      <c r="V1364" s="166"/>
    </row>
    <row r="1365" spans="17:22" ht="12">
      <c r="Q1365" s="166"/>
      <c r="R1365" s="166"/>
      <c r="S1365" s="166"/>
      <c r="T1365" s="166"/>
      <c r="U1365" s="166"/>
      <c r="V1365" s="166"/>
    </row>
    <row r="1366" spans="17:22" ht="12">
      <c r="Q1366" s="166"/>
      <c r="R1366" s="166"/>
      <c r="S1366" s="166"/>
      <c r="T1366" s="166"/>
      <c r="U1366" s="166"/>
      <c r="V1366" s="166"/>
    </row>
    <row r="1367" spans="17:22" ht="12">
      <c r="Q1367" s="166"/>
      <c r="R1367" s="166"/>
      <c r="S1367" s="166"/>
      <c r="T1367" s="166"/>
      <c r="U1367" s="166"/>
      <c r="V1367" s="166"/>
    </row>
    <row r="1368" spans="17:22" ht="12">
      <c r="Q1368" s="166"/>
      <c r="R1368" s="166"/>
      <c r="S1368" s="166"/>
      <c r="T1368" s="166"/>
      <c r="U1368" s="166"/>
      <c r="V1368" s="166"/>
    </row>
    <row r="1369" spans="17:22" ht="12">
      <c r="Q1369" s="166"/>
      <c r="R1369" s="166"/>
      <c r="S1369" s="166"/>
      <c r="T1369" s="166"/>
      <c r="U1369" s="166"/>
      <c r="V1369" s="166"/>
    </row>
    <row r="1370" spans="17:22" ht="12">
      <c r="Q1370" s="166"/>
      <c r="R1370" s="166"/>
      <c r="S1370" s="166"/>
      <c r="T1370" s="166"/>
      <c r="U1370" s="166"/>
      <c r="V1370" s="166"/>
    </row>
    <row r="1371" spans="17:22" ht="12">
      <c r="Q1371" s="166"/>
      <c r="R1371" s="166"/>
      <c r="S1371" s="166"/>
      <c r="T1371" s="166"/>
      <c r="U1371" s="166"/>
      <c r="V1371" s="166"/>
    </row>
    <row r="1372" spans="17:22" ht="12">
      <c r="Q1372" s="166"/>
      <c r="R1372" s="166"/>
      <c r="S1372" s="166"/>
      <c r="T1372" s="166"/>
      <c r="U1372" s="166"/>
      <c r="V1372" s="166"/>
    </row>
    <row r="1373" spans="17:22" ht="12">
      <c r="Q1373" s="166"/>
      <c r="R1373" s="166"/>
      <c r="S1373" s="166"/>
      <c r="T1373" s="166"/>
      <c r="U1373" s="166"/>
      <c r="V1373" s="166"/>
    </row>
    <row r="1374" spans="17:22" ht="12">
      <c r="Q1374" s="166"/>
      <c r="R1374" s="166"/>
      <c r="S1374" s="166"/>
      <c r="T1374" s="166"/>
      <c r="U1374" s="166"/>
      <c r="V1374" s="166"/>
    </row>
    <row r="1375" spans="17:22" ht="12">
      <c r="Q1375" s="166"/>
      <c r="R1375" s="166"/>
      <c r="S1375" s="166"/>
      <c r="T1375" s="166"/>
      <c r="U1375" s="166"/>
      <c r="V1375" s="166"/>
    </row>
    <row r="1376" spans="17:22" ht="12">
      <c r="Q1376" s="166"/>
      <c r="R1376" s="166"/>
      <c r="S1376" s="166"/>
      <c r="T1376" s="166"/>
      <c r="U1376" s="166"/>
      <c r="V1376" s="166"/>
    </row>
    <row r="1377" spans="17:22" ht="12">
      <c r="Q1377" s="166"/>
      <c r="R1377" s="166"/>
      <c r="S1377" s="166"/>
      <c r="T1377" s="166"/>
      <c r="U1377" s="166"/>
      <c r="V1377" s="166"/>
    </row>
    <row r="1378" spans="17:22" ht="12">
      <c r="Q1378" s="166"/>
      <c r="R1378" s="166"/>
      <c r="S1378" s="166"/>
      <c r="T1378" s="166"/>
      <c r="U1378" s="166"/>
      <c r="V1378" s="166"/>
    </row>
    <row r="1379" spans="17:22" ht="12">
      <c r="Q1379" s="166"/>
      <c r="R1379" s="166"/>
      <c r="S1379" s="166"/>
      <c r="T1379" s="166"/>
      <c r="U1379" s="166"/>
      <c r="V1379" s="166"/>
    </row>
    <row r="1380" spans="17:22" ht="12">
      <c r="Q1380" s="166"/>
      <c r="R1380" s="166"/>
      <c r="S1380" s="166"/>
      <c r="T1380" s="166"/>
      <c r="U1380" s="166"/>
      <c r="V1380" s="166"/>
    </row>
    <row r="1381" spans="17:22" ht="12">
      <c r="Q1381" s="166"/>
      <c r="R1381" s="166"/>
      <c r="S1381" s="166"/>
      <c r="T1381" s="166"/>
      <c r="U1381" s="166"/>
      <c r="V1381" s="166"/>
    </row>
    <row r="1382" spans="17:22" ht="12">
      <c r="Q1382" s="166"/>
      <c r="R1382" s="166"/>
      <c r="S1382" s="166"/>
      <c r="T1382" s="166"/>
      <c r="U1382" s="166"/>
      <c r="V1382" s="166"/>
    </row>
    <row r="1383" spans="17:22" ht="12">
      <c r="Q1383" s="166"/>
      <c r="R1383" s="166"/>
      <c r="S1383" s="166"/>
      <c r="T1383" s="166"/>
      <c r="U1383" s="166"/>
      <c r="V1383" s="166"/>
    </row>
    <row r="1384" spans="17:22" ht="12">
      <c r="Q1384" s="166"/>
      <c r="R1384" s="166"/>
      <c r="S1384" s="166"/>
      <c r="T1384" s="166"/>
      <c r="U1384" s="166"/>
      <c r="V1384" s="166"/>
    </row>
    <row r="1385" spans="17:22" ht="12">
      <c r="Q1385" s="166"/>
      <c r="R1385" s="166"/>
      <c r="S1385" s="166"/>
      <c r="T1385" s="166"/>
      <c r="U1385" s="166"/>
      <c r="V1385" s="166"/>
    </row>
    <row r="1386" spans="17:22" ht="12">
      <c r="Q1386" s="166"/>
      <c r="R1386" s="166"/>
      <c r="S1386" s="166"/>
      <c r="T1386" s="166"/>
      <c r="U1386" s="166"/>
      <c r="V1386" s="166"/>
    </row>
    <row r="1387" spans="17:22" ht="12">
      <c r="Q1387" s="166"/>
      <c r="R1387" s="166"/>
      <c r="S1387" s="166"/>
      <c r="T1387" s="166"/>
      <c r="U1387" s="166"/>
      <c r="V1387" s="166"/>
    </row>
    <row r="1388" spans="17:22" ht="12">
      <c r="Q1388" s="166"/>
      <c r="R1388" s="166"/>
      <c r="S1388" s="166"/>
      <c r="T1388" s="166"/>
      <c r="U1388" s="166"/>
      <c r="V1388" s="166"/>
    </row>
    <row r="1389" spans="17:22" ht="12">
      <c r="Q1389" s="166"/>
      <c r="R1389" s="166"/>
      <c r="S1389" s="166"/>
      <c r="T1389" s="166"/>
      <c r="U1389" s="166"/>
      <c r="V1389" s="166"/>
    </row>
    <row r="1390" spans="17:22" ht="12">
      <c r="Q1390" s="166"/>
      <c r="R1390" s="166"/>
      <c r="S1390" s="166"/>
      <c r="T1390" s="166"/>
      <c r="U1390" s="166"/>
      <c r="V1390" s="166"/>
    </row>
    <row r="1391" spans="17:22" ht="12">
      <c r="Q1391" s="166"/>
      <c r="R1391" s="166"/>
      <c r="S1391" s="166"/>
      <c r="T1391" s="166"/>
      <c r="U1391" s="166"/>
      <c r="V1391" s="166"/>
    </row>
    <row r="1392" spans="17:22" ht="12">
      <c r="Q1392" s="166"/>
      <c r="R1392" s="166"/>
      <c r="S1392" s="166"/>
      <c r="T1392" s="166"/>
      <c r="U1392" s="166"/>
      <c r="V1392" s="166"/>
    </row>
    <row r="1393" spans="17:22" ht="12">
      <c r="Q1393" s="166"/>
      <c r="R1393" s="166"/>
      <c r="S1393" s="166"/>
      <c r="T1393" s="166"/>
      <c r="U1393" s="166"/>
      <c r="V1393" s="166"/>
    </row>
    <row r="1394" spans="17:22" ht="12">
      <c r="Q1394" s="166"/>
      <c r="R1394" s="166"/>
      <c r="S1394" s="166"/>
      <c r="T1394" s="166"/>
      <c r="U1394" s="166"/>
      <c r="V1394" s="166"/>
    </row>
    <row r="1395" spans="17:22" ht="12">
      <c r="Q1395" s="166"/>
      <c r="R1395" s="166"/>
      <c r="S1395" s="166"/>
      <c r="T1395" s="166"/>
      <c r="U1395" s="166"/>
      <c r="V1395" s="166"/>
    </row>
    <row r="1396" spans="17:22" ht="12">
      <c r="Q1396" s="166"/>
      <c r="R1396" s="166"/>
      <c r="S1396" s="166"/>
      <c r="T1396" s="166"/>
      <c r="U1396" s="166"/>
      <c r="V1396" s="166"/>
    </row>
    <row r="1397" spans="17:22" ht="12">
      <c r="Q1397" s="166"/>
      <c r="R1397" s="166"/>
      <c r="S1397" s="166"/>
      <c r="T1397" s="166"/>
      <c r="U1397" s="166"/>
      <c r="V1397" s="166"/>
    </row>
    <row r="1398" spans="17:22" ht="12">
      <c r="Q1398" s="166"/>
      <c r="R1398" s="166"/>
      <c r="S1398" s="166"/>
      <c r="T1398" s="166"/>
      <c r="U1398" s="166"/>
      <c r="V1398" s="166"/>
    </row>
    <row r="1399" spans="17:22" ht="12">
      <c r="Q1399" s="166"/>
      <c r="R1399" s="166"/>
      <c r="S1399" s="166"/>
      <c r="T1399" s="166"/>
      <c r="U1399" s="166"/>
      <c r="V1399" s="166"/>
    </row>
    <row r="1400" spans="17:22" ht="12">
      <c r="Q1400" s="166"/>
      <c r="R1400" s="166"/>
      <c r="S1400" s="166"/>
      <c r="T1400" s="166"/>
      <c r="U1400" s="166"/>
      <c r="V1400" s="166"/>
    </row>
    <row r="1401" spans="17:22" ht="12">
      <c r="Q1401" s="166"/>
      <c r="R1401" s="166"/>
      <c r="S1401" s="166"/>
      <c r="T1401" s="166"/>
      <c r="U1401" s="166"/>
      <c r="V1401" s="166"/>
    </row>
    <row r="1402" spans="17:22" ht="12">
      <c r="Q1402" s="166"/>
      <c r="R1402" s="166"/>
      <c r="S1402" s="166"/>
      <c r="T1402" s="166"/>
      <c r="U1402" s="166"/>
      <c r="V1402" s="166"/>
    </row>
    <row r="1403" spans="17:22" ht="12">
      <c r="Q1403" s="166"/>
      <c r="R1403" s="166"/>
      <c r="S1403" s="166"/>
      <c r="T1403" s="166"/>
      <c r="U1403" s="166"/>
      <c r="V1403" s="166"/>
    </row>
    <row r="1404" spans="17:22" ht="12">
      <c r="Q1404" s="166"/>
      <c r="R1404" s="166"/>
      <c r="S1404" s="166"/>
      <c r="T1404" s="166"/>
      <c r="U1404" s="166"/>
      <c r="V1404" s="166"/>
    </row>
    <row r="1405" spans="17:22" ht="12">
      <c r="Q1405" s="166"/>
      <c r="R1405" s="166"/>
      <c r="S1405" s="166"/>
      <c r="T1405" s="166"/>
      <c r="U1405" s="166"/>
      <c r="V1405" s="166"/>
    </row>
    <row r="1406" spans="17:22" ht="12">
      <c r="Q1406" s="166"/>
      <c r="R1406" s="166"/>
      <c r="S1406" s="166"/>
      <c r="T1406" s="166"/>
      <c r="U1406" s="166"/>
      <c r="V1406" s="166"/>
    </row>
    <row r="1407" spans="17:22" ht="12">
      <c r="Q1407" s="166"/>
      <c r="R1407" s="166"/>
      <c r="S1407" s="166"/>
      <c r="T1407" s="166"/>
      <c r="U1407" s="166"/>
      <c r="V1407" s="166"/>
    </row>
    <row r="1408" spans="17:22" ht="12">
      <c r="Q1408" s="166"/>
      <c r="R1408" s="166"/>
      <c r="S1408" s="166"/>
      <c r="T1408" s="166"/>
      <c r="U1408" s="166"/>
      <c r="V1408" s="166"/>
    </row>
    <row r="1409" spans="17:22" ht="12">
      <c r="Q1409" s="166"/>
      <c r="R1409" s="166"/>
      <c r="S1409" s="166"/>
      <c r="T1409" s="166"/>
      <c r="U1409" s="166"/>
      <c r="V1409" s="166"/>
    </row>
    <row r="1410" spans="17:22" ht="12">
      <c r="Q1410" s="166"/>
      <c r="R1410" s="166"/>
      <c r="S1410" s="166"/>
      <c r="T1410" s="166"/>
      <c r="U1410" s="166"/>
      <c r="V1410" s="166"/>
    </row>
    <row r="1411" spans="17:22" ht="12">
      <c r="Q1411" s="166"/>
      <c r="R1411" s="166"/>
      <c r="S1411" s="166"/>
      <c r="T1411" s="166"/>
      <c r="U1411" s="166"/>
      <c r="V1411" s="166"/>
    </row>
    <row r="1412" spans="17:22" ht="12">
      <c r="Q1412" s="166"/>
      <c r="R1412" s="166"/>
      <c r="S1412" s="166"/>
      <c r="T1412" s="166"/>
      <c r="U1412" s="166"/>
      <c r="V1412" s="166"/>
    </row>
    <row r="1413" spans="17:22" ht="12">
      <c r="Q1413" s="166"/>
      <c r="R1413" s="166"/>
      <c r="S1413" s="166"/>
      <c r="T1413" s="166"/>
      <c r="U1413" s="166"/>
      <c r="V1413" s="166"/>
    </row>
    <row r="1414" spans="17:22" ht="12">
      <c r="Q1414" s="166"/>
      <c r="R1414" s="166"/>
      <c r="S1414" s="166"/>
      <c r="T1414" s="166"/>
      <c r="U1414" s="166"/>
      <c r="V1414" s="166"/>
    </row>
    <row r="1415" spans="17:22" ht="12">
      <c r="Q1415" s="166"/>
      <c r="R1415" s="166"/>
      <c r="S1415" s="166"/>
      <c r="T1415" s="166"/>
      <c r="U1415" s="166"/>
      <c r="V1415" s="166"/>
    </row>
    <row r="1416" spans="17:22" ht="12">
      <c r="Q1416" s="166"/>
      <c r="R1416" s="166"/>
      <c r="S1416" s="166"/>
      <c r="T1416" s="166"/>
      <c r="U1416" s="166"/>
      <c r="V1416" s="166"/>
    </row>
    <row r="1417" spans="17:22" ht="12">
      <c r="Q1417" s="166"/>
      <c r="R1417" s="166"/>
      <c r="S1417" s="166"/>
      <c r="T1417" s="166"/>
      <c r="U1417" s="166"/>
      <c r="V1417" s="166"/>
    </row>
    <row r="1418" spans="17:22" ht="12">
      <c r="Q1418" s="166"/>
      <c r="R1418" s="166"/>
      <c r="S1418" s="166"/>
      <c r="T1418" s="166"/>
      <c r="U1418" s="166"/>
      <c r="V1418" s="166"/>
    </row>
    <row r="1419" spans="17:22" ht="12">
      <c r="Q1419" s="166"/>
      <c r="R1419" s="166"/>
      <c r="S1419" s="166"/>
      <c r="T1419" s="166"/>
      <c r="U1419" s="166"/>
      <c r="V1419" s="166"/>
    </row>
    <row r="1420" spans="17:22" ht="12">
      <c r="Q1420" s="166"/>
      <c r="R1420" s="166"/>
      <c r="S1420" s="166"/>
      <c r="T1420" s="166"/>
      <c r="U1420" s="166"/>
      <c r="V1420" s="166"/>
    </row>
    <row r="1421" spans="17:22" ht="12">
      <c r="Q1421" s="166"/>
      <c r="R1421" s="166"/>
      <c r="S1421" s="166"/>
      <c r="T1421" s="166"/>
      <c r="U1421" s="166"/>
      <c r="V1421" s="166"/>
    </row>
    <row r="1422" spans="17:22" ht="12">
      <c r="Q1422" s="166"/>
      <c r="R1422" s="166"/>
      <c r="S1422" s="166"/>
      <c r="T1422" s="166"/>
      <c r="U1422" s="166"/>
      <c r="V1422" s="166"/>
    </row>
    <row r="1423" spans="17:22" ht="12">
      <c r="Q1423" s="166"/>
      <c r="R1423" s="166"/>
      <c r="S1423" s="166"/>
      <c r="T1423" s="166"/>
      <c r="U1423" s="166"/>
      <c r="V1423" s="166"/>
    </row>
    <row r="1424" spans="17:22" ht="12">
      <c r="Q1424" s="166"/>
      <c r="R1424" s="166"/>
      <c r="S1424" s="166"/>
      <c r="T1424" s="166"/>
      <c r="U1424" s="166"/>
      <c r="V1424" s="166"/>
    </row>
    <row r="1425" spans="17:22" ht="12">
      <c r="Q1425" s="166"/>
      <c r="R1425" s="166"/>
      <c r="S1425" s="166"/>
      <c r="T1425" s="166"/>
      <c r="U1425" s="166"/>
      <c r="V1425" s="166"/>
    </row>
    <row r="1426" spans="17:22" ht="12">
      <c r="Q1426" s="166"/>
      <c r="R1426" s="166"/>
      <c r="S1426" s="166"/>
      <c r="T1426" s="166"/>
      <c r="U1426" s="166"/>
      <c r="V1426" s="166"/>
    </row>
    <row r="1427" spans="17:22" ht="12">
      <c r="Q1427" s="166"/>
      <c r="R1427" s="166"/>
      <c r="S1427" s="166"/>
      <c r="T1427" s="166"/>
      <c r="U1427" s="166"/>
      <c r="V1427" s="166"/>
    </row>
    <row r="1428" spans="17:22" ht="12">
      <c r="Q1428" s="166"/>
      <c r="R1428" s="166"/>
      <c r="S1428" s="166"/>
      <c r="T1428" s="166"/>
      <c r="U1428" s="166"/>
      <c r="V1428" s="166"/>
    </row>
    <row r="1429" spans="17:22" ht="12">
      <c r="Q1429" s="166"/>
      <c r="R1429" s="166"/>
      <c r="S1429" s="166"/>
      <c r="T1429" s="166"/>
      <c r="U1429" s="166"/>
      <c r="V1429" s="166"/>
    </row>
    <row r="1430" spans="17:22" ht="12">
      <c r="Q1430" s="166"/>
      <c r="R1430" s="166"/>
      <c r="S1430" s="166"/>
      <c r="T1430" s="166"/>
      <c r="U1430" s="166"/>
      <c r="V1430" s="166"/>
    </row>
    <row r="1431" spans="17:22" ht="12">
      <c r="Q1431" s="166"/>
      <c r="R1431" s="166"/>
      <c r="S1431" s="166"/>
      <c r="T1431" s="166"/>
      <c r="U1431" s="166"/>
      <c r="V1431" s="166"/>
    </row>
    <row r="1432" spans="17:22" ht="12">
      <c r="Q1432" s="166"/>
      <c r="R1432" s="166"/>
      <c r="S1432" s="166"/>
      <c r="T1432" s="166"/>
      <c r="U1432" s="166"/>
      <c r="V1432" s="166"/>
    </row>
    <row r="1433" spans="17:22" ht="12">
      <c r="Q1433" s="166"/>
      <c r="R1433" s="166"/>
      <c r="S1433" s="166"/>
      <c r="T1433" s="166"/>
      <c r="U1433" s="166"/>
      <c r="V1433" s="166"/>
    </row>
    <row r="1434" spans="17:22" ht="12">
      <c r="Q1434" s="166"/>
      <c r="R1434" s="166"/>
      <c r="S1434" s="166"/>
      <c r="T1434" s="166"/>
      <c r="U1434" s="166"/>
      <c r="V1434" s="166"/>
    </row>
    <row r="1435" spans="17:22" ht="12">
      <c r="Q1435" s="166"/>
      <c r="R1435" s="166"/>
      <c r="S1435" s="166"/>
      <c r="T1435" s="166"/>
      <c r="U1435" s="166"/>
      <c r="V1435" s="166"/>
    </row>
    <row r="1436" spans="17:22" ht="12">
      <c r="Q1436" s="166"/>
      <c r="R1436" s="166"/>
      <c r="S1436" s="166"/>
      <c r="T1436" s="166"/>
      <c r="U1436" s="166"/>
      <c r="V1436" s="166"/>
    </row>
    <row r="1437" spans="17:22" ht="12">
      <c r="Q1437" s="166"/>
      <c r="R1437" s="166"/>
      <c r="S1437" s="166"/>
      <c r="T1437" s="166"/>
      <c r="U1437" s="166"/>
      <c r="V1437" s="166"/>
    </row>
    <row r="1438" spans="17:22" ht="12">
      <c r="Q1438" s="166"/>
      <c r="R1438" s="166"/>
      <c r="S1438" s="166"/>
      <c r="T1438" s="166"/>
      <c r="U1438" s="166"/>
      <c r="V1438" s="166"/>
    </row>
    <row r="1439" spans="17:22" ht="12">
      <c r="Q1439" s="166"/>
      <c r="R1439" s="166"/>
      <c r="S1439" s="166"/>
      <c r="T1439" s="166"/>
      <c r="U1439" s="166"/>
      <c r="V1439" s="166"/>
    </row>
    <row r="1440" spans="17:22" ht="12">
      <c r="Q1440" s="166"/>
      <c r="R1440" s="166"/>
      <c r="S1440" s="166"/>
      <c r="T1440" s="166"/>
      <c r="U1440" s="166"/>
      <c r="V1440" s="166"/>
    </row>
    <row r="1441" spans="17:22" ht="12">
      <c r="Q1441" s="166"/>
      <c r="R1441" s="166"/>
      <c r="S1441" s="166"/>
      <c r="T1441" s="166"/>
      <c r="U1441" s="166"/>
      <c r="V1441" s="166"/>
    </row>
    <row r="1442" spans="17:22" ht="12">
      <c r="Q1442" s="166"/>
      <c r="R1442" s="166"/>
      <c r="S1442" s="166"/>
      <c r="T1442" s="166"/>
      <c r="U1442" s="166"/>
      <c r="V1442" s="166"/>
    </row>
    <row r="1443" spans="17:22" ht="12">
      <c r="Q1443" s="166"/>
      <c r="R1443" s="166"/>
      <c r="S1443" s="166"/>
      <c r="T1443" s="166"/>
      <c r="U1443" s="166"/>
      <c r="V1443" s="166"/>
    </row>
    <row r="1444" spans="17:22" ht="12">
      <c r="Q1444" s="166"/>
      <c r="R1444" s="166"/>
      <c r="S1444" s="166"/>
      <c r="T1444" s="166"/>
      <c r="U1444" s="166"/>
      <c r="V1444" s="166"/>
    </row>
    <row r="1445" spans="17:22" ht="12">
      <c r="Q1445" s="166"/>
      <c r="R1445" s="166"/>
      <c r="S1445" s="166"/>
      <c r="T1445" s="166"/>
      <c r="U1445" s="166"/>
      <c r="V1445" s="166"/>
    </row>
    <row r="1446" spans="17:22" ht="12">
      <c r="Q1446" s="166"/>
      <c r="R1446" s="166"/>
      <c r="S1446" s="166"/>
      <c r="T1446" s="166"/>
      <c r="U1446" s="166"/>
      <c r="V1446" s="166"/>
    </row>
    <row r="1447" spans="17:22" ht="12">
      <c r="Q1447" s="166"/>
      <c r="R1447" s="166"/>
      <c r="S1447" s="166"/>
      <c r="T1447" s="166"/>
      <c r="U1447" s="166"/>
      <c r="V1447" s="166"/>
    </row>
    <row r="1448" spans="17:22" ht="12">
      <c r="Q1448" s="166"/>
      <c r="R1448" s="166"/>
      <c r="S1448" s="166"/>
      <c r="T1448" s="166"/>
      <c r="U1448" s="166"/>
      <c r="V1448" s="166"/>
    </row>
    <row r="1449" spans="17:22" ht="12">
      <c r="Q1449" s="166"/>
      <c r="R1449" s="166"/>
      <c r="S1449" s="166"/>
      <c r="T1449" s="166"/>
      <c r="U1449" s="166"/>
      <c r="V1449" s="166"/>
    </row>
    <row r="1450" spans="17:22" ht="12">
      <c r="Q1450" s="166"/>
      <c r="R1450" s="166"/>
      <c r="S1450" s="166"/>
      <c r="T1450" s="166"/>
      <c r="U1450" s="166"/>
      <c r="V1450" s="166"/>
    </row>
    <row r="1451" spans="17:22" ht="12">
      <c r="Q1451" s="166"/>
      <c r="R1451" s="166"/>
      <c r="S1451" s="166"/>
      <c r="T1451" s="166"/>
      <c r="U1451" s="166"/>
      <c r="V1451" s="166"/>
    </row>
    <row r="1452" spans="17:22" ht="12">
      <c r="Q1452" s="166"/>
      <c r="R1452" s="166"/>
      <c r="S1452" s="166"/>
      <c r="T1452" s="166"/>
      <c r="U1452" s="166"/>
      <c r="V1452" s="166"/>
    </row>
    <row r="1453" spans="17:22" ht="12">
      <c r="Q1453" s="166"/>
      <c r="R1453" s="166"/>
      <c r="S1453" s="166"/>
      <c r="T1453" s="166"/>
      <c r="U1453" s="166"/>
      <c r="V1453" s="166"/>
    </row>
    <row r="1454" spans="17:22" ht="12">
      <c r="Q1454" s="166"/>
      <c r="R1454" s="166"/>
      <c r="S1454" s="166"/>
      <c r="T1454" s="166"/>
      <c r="U1454" s="166"/>
      <c r="V1454" s="166"/>
    </row>
    <row r="1455" spans="17:22" ht="12">
      <c r="Q1455" s="166"/>
      <c r="R1455" s="166"/>
      <c r="S1455" s="166"/>
      <c r="T1455" s="166"/>
      <c r="U1455" s="166"/>
      <c r="V1455" s="166"/>
    </row>
    <row r="1456" spans="17:22" ht="12">
      <c r="Q1456" s="166"/>
      <c r="R1456" s="166"/>
      <c r="S1456" s="166"/>
      <c r="T1456" s="166"/>
      <c r="U1456" s="166"/>
      <c r="V1456" s="166"/>
    </row>
    <row r="1457" spans="17:22" ht="12">
      <c r="Q1457" s="166"/>
      <c r="R1457" s="166"/>
      <c r="S1457" s="166"/>
      <c r="T1457" s="166"/>
      <c r="U1457" s="166"/>
      <c r="V1457" s="166"/>
    </row>
    <row r="1458" spans="17:22" ht="12">
      <c r="Q1458" s="166"/>
      <c r="R1458" s="166"/>
      <c r="S1458" s="166"/>
      <c r="T1458" s="166"/>
      <c r="U1458" s="166"/>
      <c r="V1458" s="166"/>
    </row>
    <row r="1459" spans="17:22" ht="12">
      <c r="Q1459" s="166"/>
      <c r="R1459" s="166"/>
      <c r="S1459" s="166"/>
      <c r="T1459" s="166"/>
      <c r="U1459" s="166"/>
      <c r="V1459" s="166"/>
    </row>
    <row r="1460" spans="17:22" ht="12">
      <c r="Q1460" s="166"/>
      <c r="R1460" s="166"/>
      <c r="S1460" s="166"/>
      <c r="T1460" s="166"/>
      <c r="U1460" s="166"/>
      <c r="V1460" s="166"/>
    </row>
    <row r="1461" spans="17:22" ht="12">
      <c r="Q1461" s="166"/>
      <c r="R1461" s="166"/>
      <c r="S1461" s="166"/>
      <c r="T1461" s="166"/>
      <c r="U1461" s="166"/>
      <c r="V1461" s="166"/>
    </row>
    <row r="1462" spans="17:22" ht="12">
      <c r="Q1462" s="166"/>
      <c r="R1462" s="166"/>
      <c r="S1462" s="166"/>
      <c r="T1462" s="166"/>
      <c r="U1462" s="166"/>
      <c r="V1462" s="166"/>
    </row>
    <row r="1463" spans="17:22" ht="12">
      <c r="Q1463" s="166"/>
      <c r="R1463" s="166"/>
      <c r="S1463" s="166"/>
      <c r="T1463" s="166"/>
      <c r="U1463" s="166"/>
      <c r="V1463" s="166"/>
    </row>
    <row r="1464" spans="17:22" ht="12">
      <c r="Q1464" s="166"/>
      <c r="R1464" s="166"/>
      <c r="S1464" s="166"/>
      <c r="T1464" s="166"/>
      <c r="U1464" s="166"/>
      <c r="V1464" s="166"/>
    </row>
    <row r="1465" spans="17:22" ht="12">
      <c r="Q1465" s="166"/>
      <c r="R1465" s="166"/>
      <c r="S1465" s="166"/>
      <c r="T1465" s="166"/>
      <c r="U1465" s="166"/>
      <c r="V1465" s="166"/>
    </row>
    <row r="1466" spans="17:22" ht="12">
      <c r="Q1466" s="166"/>
      <c r="R1466" s="166"/>
      <c r="S1466" s="166"/>
      <c r="T1466" s="166"/>
      <c r="U1466" s="166"/>
      <c r="V1466" s="166"/>
    </row>
    <row r="1467" spans="17:22" ht="12">
      <c r="Q1467" s="166"/>
      <c r="R1467" s="166"/>
      <c r="S1467" s="166"/>
      <c r="T1467" s="166"/>
      <c r="U1467" s="166"/>
      <c r="V1467" s="166"/>
    </row>
    <row r="1468" spans="17:22" ht="12">
      <c r="Q1468" s="166"/>
      <c r="R1468" s="166"/>
      <c r="S1468" s="166"/>
      <c r="T1468" s="166"/>
      <c r="U1468" s="166"/>
      <c r="V1468" s="166"/>
    </row>
    <row r="1469" spans="17:22" ht="12">
      <c r="Q1469" s="166"/>
      <c r="R1469" s="166"/>
      <c r="S1469" s="166"/>
      <c r="T1469" s="166"/>
      <c r="U1469" s="166"/>
      <c r="V1469" s="166"/>
    </row>
    <row r="1470" spans="17:22" ht="12">
      <c r="Q1470" s="166"/>
      <c r="R1470" s="166"/>
      <c r="S1470" s="166"/>
      <c r="T1470" s="166"/>
      <c r="U1470" s="166"/>
      <c r="V1470" s="166"/>
    </row>
    <row r="1471" spans="17:22" ht="12">
      <c r="Q1471" s="166"/>
      <c r="R1471" s="166"/>
      <c r="S1471" s="166"/>
      <c r="T1471" s="166"/>
      <c r="U1471" s="166"/>
      <c r="V1471" s="166"/>
    </row>
    <row r="1472" spans="17:22" ht="12">
      <c r="Q1472" s="166"/>
      <c r="R1472" s="166"/>
      <c r="S1472" s="166"/>
      <c r="T1472" s="166"/>
      <c r="U1472" s="166"/>
      <c r="V1472" s="166"/>
    </row>
    <row r="1473" spans="17:22" ht="12">
      <c r="Q1473" s="166"/>
      <c r="R1473" s="166"/>
      <c r="S1473" s="166"/>
      <c r="T1473" s="166"/>
      <c r="U1473" s="166"/>
      <c r="V1473" s="166"/>
    </row>
    <row r="1474" spans="17:22" ht="12">
      <c r="Q1474" s="166"/>
      <c r="R1474" s="166"/>
      <c r="S1474" s="166"/>
      <c r="T1474" s="166"/>
      <c r="U1474" s="166"/>
      <c r="V1474" s="166"/>
    </row>
    <row r="1475" spans="17:22" ht="12">
      <c r="Q1475" s="166"/>
      <c r="R1475" s="166"/>
      <c r="S1475" s="166"/>
      <c r="T1475" s="166"/>
      <c r="U1475" s="166"/>
      <c r="V1475" s="166"/>
    </row>
    <row r="1476" spans="17:22" ht="12">
      <c r="Q1476" s="166"/>
      <c r="R1476" s="166"/>
      <c r="S1476" s="166"/>
      <c r="T1476" s="166"/>
      <c r="U1476" s="166"/>
      <c r="V1476" s="166"/>
    </row>
    <row r="1477" spans="17:22" ht="12">
      <c r="Q1477" s="166"/>
      <c r="R1477" s="166"/>
      <c r="S1477" s="166"/>
      <c r="T1477" s="166"/>
      <c r="U1477" s="166"/>
      <c r="V1477" s="166"/>
    </row>
    <row r="1478" spans="17:22" ht="12">
      <c r="Q1478" s="166"/>
      <c r="R1478" s="166"/>
      <c r="S1478" s="166"/>
      <c r="T1478" s="166"/>
      <c r="U1478" s="166"/>
      <c r="V1478" s="166"/>
    </row>
    <row r="1479" spans="17:22" ht="12">
      <c r="Q1479" s="166"/>
      <c r="R1479" s="166"/>
      <c r="S1479" s="166"/>
      <c r="T1479" s="166"/>
      <c r="U1479" s="166"/>
      <c r="V1479" s="166"/>
    </row>
    <row r="1480" spans="17:22" ht="12">
      <c r="Q1480" s="166"/>
      <c r="R1480" s="166"/>
      <c r="S1480" s="166"/>
      <c r="T1480" s="166"/>
      <c r="U1480" s="166"/>
      <c r="V1480" s="166"/>
    </row>
    <row r="1481" spans="17:22" ht="12">
      <c r="Q1481" s="166"/>
      <c r="R1481" s="166"/>
      <c r="S1481" s="166"/>
      <c r="T1481" s="166"/>
      <c r="U1481" s="166"/>
      <c r="V1481" s="166"/>
    </row>
    <row r="1482" spans="17:22" ht="12">
      <c r="Q1482" s="166"/>
      <c r="R1482" s="166"/>
      <c r="S1482" s="166"/>
      <c r="T1482" s="166"/>
      <c r="U1482" s="166"/>
      <c r="V1482" s="166"/>
    </row>
    <row r="1483" spans="17:22" ht="12">
      <c r="Q1483" s="166"/>
      <c r="R1483" s="166"/>
      <c r="S1483" s="166"/>
      <c r="T1483" s="166"/>
      <c r="U1483" s="166"/>
      <c r="V1483" s="166"/>
    </row>
    <row r="1484" spans="17:22" ht="12">
      <c r="Q1484" s="166"/>
      <c r="R1484" s="166"/>
      <c r="S1484" s="166"/>
      <c r="T1484" s="166"/>
      <c r="U1484" s="166"/>
      <c r="V1484" s="166"/>
    </row>
    <row r="1485" spans="17:22" ht="12">
      <c r="Q1485" s="166"/>
      <c r="R1485" s="166"/>
      <c r="S1485" s="166"/>
      <c r="T1485" s="166"/>
      <c r="U1485" s="166"/>
      <c r="V1485" s="166"/>
    </row>
    <row r="1486" spans="17:22" ht="12">
      <c r="Q1486" s="166"/>
      <c r="R1486" s="166"/>
      <c r="S1486" s="166"/>
      <c r="T1486" s="166"/>
      <c r="U1486" s="166"/>
      <c r="V1486" s="166"/>
    </row>
    <row r="1487" spans="17:22" ht="12">
      <c r="Q1487" s="166"/>
      <c r="R1487" s="166"/>
      <c r="S1487" s="166"/>
      <c r="T1487" s="166"/>
      <c r="U1487" s="166"/>
      <c r="V1487" s="166"/>
    </row>
    <row r="1488" spans="17:22" ht="12">
      <c r="Q1488" s="166"/>
      <c r="R1488" s="166"/>
      <c r="S1488" s="166"/>
      <c r="T1488" s="166"/>
      <c r="U1488" s="166"/>
      <c r="V1488" s="166"/>
    </row>
    <row r="1489" spans="17:22" ht="12">
      <c r="Q1489" s="166"/>
      <c r="R1489" s="166"/>
      <c r="S1489" s="166"/>
      <c r="T1489" s="166"/>
      <c r="U1489" s="166"/>
      <c r="V1489" s="166"/>
    </row>
    <row r="1490" spans="17:22" ht="12">
      <c r="Q1490" s="166"/>
      <c r="R1490" s="166"/>
      <c r="S1490" s="166"/>
      <c r="T1490" s="166"/>
      <c r="U1490" s="166"/>
      <c r="V1490" s="166"/>
    </row>
    <row r="1491" spans="17:22" ht="12">
      <c r="Q1491" s="166"/>
      <c r="R1491" s="166"/>
      <c r="S1491" s="166"/>
      <c r="T1491" s="166"/>
      <c r="U1491" s="166"/>
      <c r="V1491" s="166"/>
    </row>
    <row r="1492" spans="17:22" ht="12">
      <c r="Q1492" s="166"/>
      <c r="R1492" s="166"/>
      <c r="S1492" s="166"/>
      <c r="T1492" s="166"/>
      <c r="U1492" s="166"/>
      <c r="V1492" s="166"/>
    </row>
    <row r="1493" spans="17:22" ht="12">
      <c r="Q1493" s="166"/>
      <c r="R1493" s="166"/>
      <c r="S1493" s="166"/>
      <c r="T1493" s="166"/>
      <c r="U1493" s="166"/>
      <c r="V1493" s="166"/>
    </row>
    <row r="1494" spans="17:22" ht="12">
      <c r="Q1494" s="166"/>
      <c r="R1494" s="166"/>
      <c r="S1494" s="166"/>
      <c r="T1494" s="166"/>
      <c r="U1494" s="166"/>
      <c r="V1494" s="166"/>
    </row>
    <row r="1495" spans="17:22" ht="12">
      <c r="Q1495" s="166"/>
      <c r="R1495" s="166"/>
      <c r="S1495" s="166"/>
      <c r="T1495" s="166"/>
      <c r="U1495" s="166"/>
      <c r="V1495" s="166"/>
    </row>
    <row r="1496" spans="17:22" ht="12">
      <c r="Q1496" s="166"/>
      <c r="R1496" s="166"/>
      <c r="S1496" s="166"/>
      <c r="T1496" s="166"/>
      <c r="U1496" s="166"/>
      <c r="V1496" s="166"/>
    </row>
    <row r="1497" spans="17:22" ht="12">
      <c r="Q1497" s="166"/>
      <c r="R1497" s="166"/>
      <c r="S1497" s="166"/>
      <c r="T1497" s="166"/>
      <c r="U1497" s="166"/>
      <c r="V1497" s="166"/>
    </row>
    <row r="1498" spans="17:22" ht="12">
      <c r="Q1498" s="166"/>
      <c r="R1498" s="166"/>
      <c r="S1498" s="166"/>
      <c r="T1498" s="166"/>
      <c r="U1498" s="166"/>
      <c r="V1498" s="166"/>
    </row>
    <row r="1499" spans="17:22" ht="12">
      <c r="Q1499" s="166"/>
      <c r="R1499" s="166"/>
      <c r="S1499" s="166"/>
      <c r="T1499" s="166"/>
      <c r="U1499" s="166"/>
      <c r="V1499" s="166"/>
    </row>
    <row r="1500" spans="17:22" ht="12">
      <c r="Q1500" s="166"/>
      <c r="R1500" s="166"/>
      <c r="S1500" s="166"/>
      <c r="T1500" s="166"/>
      <c r="U1500" s="166"/>
      <c r="V1500" s="166"/>
    </row>
    <row r="1501" spans="17:22" ht="12">
      <c r="Q1501" s="166"/>
      <c r="R1501" s="166"/>
      <c r="S1501" s="166"/>
      <c r="T1501" s="166"/>
      <c r="U1501" s="166"/>
      <c r="V1501" s="166"/>
    </row>
    <row r="1502" spans="17:22" ht="12">
      <c r="Q1502" s="166"/>
      <c r="R1502" s="166"/>
      <c r="S1502" s="166"/>
      <c r="T1502" s="166"/>
      <c r="U1502" s="166"/>
      <c r="V1502" s="166"/>
    </row>
    <row r="1503" spans="17:22" ht="12">
      <c r="Q1503" s="166"/>
      <c r="R1503" s="166"/>
      <c r="S1503" s="166"/>
      <c r="T1503" s="166"/>
      <c r="U1503" s="166"/>
      <c r="V1503" s="166"/>
    </row>
    <row r="1504" spans="17:22" ht="12">
      <c r="Q1504" s="166"/>
      <c r="R1504" s="166"/>
      <c r="S1504" s="166"/>
      <c r="T1504" s="166"/>
      <c r="U1504" s="166"/>
      <c r="V1504" s="166"/>
    </row>
    <row r="1505" spans="17:22" ht="12">
      <c r="Q1505" s="166"/>
      <c r="R1505" s="166"/>
      <c r="S1505" s="166"/>
      <c r="T1505" s="166"/>
      <c r="U1505" s="166"/>
      <c r="V1505" s="166"/>
    </row>
    <row r="1506" spans="17:22" ht="12">
      <c r="Q1506" s="166"/>
      <c r="R1506" s="166"/>
      <c r="S1506" s="166"/>
      <c r="T1506" s="166"/>
      <c r="U1506" s="166"/>
      <c r="V1506" s="166"/>
    </row>
    <row r="1507" spans="17:22" ht="12">
      <c r="Q1507" s="166"/>
      <c r="R1507" s="166"/>
      <c r="S1507" s="166"/>
      <c r="T1507" s="166"/>
      <c r="U1507" s="166"/>
      <c r="V1507" s="166"/>
    </row>
    <row r="1508" spans="17:22" ht="12">
      <c r="Q1508" s="166"/>
      <c r="R1508" s="166"/>
      <c r="S1508" s="166"/>
      <c r="T1508" s="166"/>
      <c r="U1508" s="166"/>
      <c r="V1508" s="166"/>
    </row>
    <row r="1509" spans="17:22" ht="12">
      <c r="Q1509" s="166"/>
      <c r="R1509" s="166"/>
      <c r="S1509" s="166"/>
      <c r="T1509" s="166"/>
      <c r="U1509" s="166"/>
      <c r="V1509" s="166"/>
    </row>
    <row r="1510" spans="17:22" ht="12">
      <c r="Q1510" s="166"/>
      <c r="R1510" s="166"/>
      <c r="S1510" s="166"/>
      <c r="T1510" s="166"/>
      <c r="U1510" s="166"/>
      <c r="V1510" s="166"/>
    </row>
    <row r="1511" spans="17:22" ht="12">
      <c r="Q1511" s="166"/>
      <c r="R1511" s="166"/>
      <c r="S1511" s="166"/>
      <c r="T1511" s="166"/>
      <c r="U1511" s="166"/>
      <c r="V1511" s="166"/>
    </row>
    <row r="1512" spans="17:22" ht="12">
      <c r="Q1512" s="166"/>
      <c r="R1512" s="166"/>
      <c r="S1512" s="166"/>
      <c r="T1512" s="166"/>
      <c r="U1512" s="166"/>
      <c r="V1512" s="166"/>
    </row>
    <row r="1513" spans="17:22" ht="12">
      <c r="Q1513" s="166"/>
      <c r="R1513" s="166"/>
      <c r="S1513" s="166"/>
      <c r="T1513" s="166"/>
      <c r="U1513" s="166"/>
      <c r="V1513" s="166"/>
    </row>
    <row r="1514" spans="17:22" ht="12">
      <c r="Q1514" s="166"/>
      <c r="R1514" s="166"/>
      <c r="S1514" s="166"/>
      <c r="T1514" s="166"/>
      <c r="U1514" s="166"/>
      <c r="V1514" s="166"/>
    </row>
    <row r="1515" spans="17:22" ht="12">
      <c r="Q1515" s="166"/>
      <c r="R1515" s="166"/>
      <c r="S1515" s="166"/>
      <c r="T1515" s="166"/>
      <c r="U1515" s="166"/>
      <c r="V1515" s="166"/>
    </row>
    <row r="1516" spans="17:22" ht="12">
      <c r="Q1516" s="166"/>
      <c r="R1516" s="166"/>
      <c r="S1516" s="166"/>
      <c r="T1516" s="166"/>
      <c r="U1516" s="166"/>
      <c r="V1516" s="166"/>
    </row>
    <row r="1517" spans="17:22" ht="12">
      <c r="Q1517" s="166"/>
      <c r="R1517" s="166"/>
      <c r="S1517" s="166"/>
      <c r="T1517" s="166"/>
      <c r="U1517" s="166"/>
      <c r="V1517" s="166"/>
    </row>
    <row r="1518" spans="17:22" ht="12">
      <c r="Q1518" s="166"/>
      <c r="R1518" s="166"/>
      <c r="S1518" s="166"/>
      <c r="T1518" s="166"/>
      <c r="U1518" s="166"/>
      <c r="V1518" s="166"/>
    </row>
    <row r="1519" spans="17:22" ht="12">
      <c r="Q1519" s="166"/>
      <c r="R1519" s="166"/>
      <c r="S1519" s="166"/>
      <c r="T1519" s="166"/>
      <c r="U1519" s="166"/>
      <c r="V1519" s="166"/>
    </row>
    <row r="1520" spans="17:22" ht="12">
      <c r="Q1520" s="166"/>
      <c r="R1520" s="166"/>
      <c r="S1520" s="166"/>
      <c r="T1520" s="166"/>
      <c r="U1520" s="166"/>
      <c r="V1520" s="166"/>
    </row>
    <row r="1521" spans="17:22" ht="12">
      <c r="Q1521" s="166"/>
      <c r="R1521" s="166"/>
      <c r="S1521" s="166"/>
      <c r="T1521" s="166"/>
      <c r="U1521" s="166"/>
      <c r="V1521" s="166"/>
    </row>
    <row r="1522" spans="17:22" ht="12">
      <c r="Q1522" s="166"/>
      <c r="R1522" s="166"/>
      <c r="S1522" s="166"/>
      <c r="T1522" s="166"/>
      <c r="U1522" s="166"/>
      <c r="V1522" s="166"/>
    </row>
    <row r="1523" spans="17:22" ht="12">
      <c r="Q1523" s="166"/>
      <c r="R1523" s="166"/>
      <c r="S1523" s="166"/>
      <c r="T1523" s="166"/>
      <c r="U1523" s="166"/>
      <c r="V1523" s="166"/>
    </row>
    <row r="1524" spans="17:22" ht="12">
      <c r="Q1524" s="166"/>
      <c r="R1524" s="166"/>
      <c r="S1524" s="166"/>
      <c r="T1524" s="166"/>
      <c r="U1524" s="166"/>
      <c r="V1524" s="166"/>
    </row>
    <row r="1525" spans="17:22" ht="12">
      <c r="Q1525" s="166"/>
      <c r="R1525" s="166"/>
      <c r="S1525" s="166"/>
      <c r="T1525" s="166"/>
      <c r="U1525" s="166"/>
      <c r="V1525" s="166"/>
    </row>
    <row r="1526" spans="17:22" ht="12">
      <c r="Q1526" s="166"/>
      <c r="R1526" s="166"/>
      <c r="S1526" s="166"/>
      <c r="T1526" s="166"/>
      <c r="U1526" s="166"/>
      <c r="V1526" s="166"/>
    </row>
    <row r="1527" spans="17:22" ht="12">
      <c r="Q1527" s="166"/>
      <c r="R1527" s="166"/>
      <c r="S1527" s="166"/>
      <c r="T1527" s="166"/>
      <c r="U1527" s="166"/>
      <c r="V1527" s="166"/>
    </row>
    <row r="1528" spans="17:22" ht="12">
      <c r="Q1528" s="166"/>
      <c r="R1528" s="166"/>
      <c r="S1528" s="166"/>
      <c r="T1528" s="166"/>
      <c r="U1528" s="166"/>
      <c r="V1528" s="166"/>
    </row>
    <row r="1529" spans="17:22" ht="12">
      <c r="Q1529" s="166"/>
      <c r="R1529" s="166"/>
      <c r="S1529" s="166"/>
      <c r="T1529" s="166"/>
      <c r="U1529" s="166"/>
      <c r="V1529" s="166"/>
    </row>
    <row r="1530" spans="17:22" ht="12">
      <c r="Q1530" s="166"/>
      <c r="R1530" s="166"/>
      <c r="S1530" s="166"/>
      <c r="T1530" s="166"/>
      <c r="U1530" s="166"/>
      <c r="V1530" s="166"/>
    </row>
    <row r="1531" spans="17:22" ht="12">
      <c r="Q1531" s="166"/>
      <c r="R1531" s="166"/>
      <c r="S1531" s="166"/>
      <c r="T1531" s="166"/>
      <c r="U1531" s="166"/>
      <c r="V1531" s="166"/>
    </row>
    <row r="1532" spans="17:22" ht="12">
      <c r="Q1532" s="166"/>
      <c r="R1532" s="166"/>
      <c r="S1532" s="166"/>
      <c r="T1532" s="166"/>
      <c r="U1532" s="166"/>
      <c r="V1532" s="166"/>
    </row>
    <row r="1533" spans="17:22" ht="12">
      <c r="Q1533" s="166"/>
      <c r="R1533" s="166"/>
      <c r="S1533" s="166"/>
      <c r="T1533" s="166"/>
      <c r="U1533" s="166"/>
      <c r="V1533" s="166"/>
    </row>
    <row r="1534" spans="17:22" ht="12">
      <c r="Q1534" s="166"/>
      <c r="R1534" s="166"/>
      <c r="S1534" s="166"/>
      <c r="T1534" s="166"/>
      <c r="U1534" s="166"/>
      <c r="V1534" s="166"/>
    </row>
    <row r="1535" spans="17:22" ht="12">
      <c r="Q1535" s="166"/>
      <c r="R1535" s="166"/>
      <c r="S1535" s="166"/>
      <c r="T1535" s="166"/>
      <c r="U1535" s="166"/>
      <c r="V1535" s="166"/>
    </row>
    <row r="1536" spans="17:22" ht="12">
      <c r="Q1536" s="166"/>
      <c r="R1536" s="166"/>
      <c r="S1536" s="166"/>
      <c r="T1536" s="166"/>
      <c r="U1536" s="166"/>
      <c r="V1536" s="166"/>
    </row>
    <row r="1537" spans="17:22" ht="12">
      <c r="Q1537" s="166"/>
      <c r="R1537" s="166"/>
      <c r="S1537" s="166"/>
      <c r="T1537" s="166"/>
      <c r="U1537" s="166"/>
      <c r="V1537" s="166"/>
    </row>
    <row r="1538" spans="17:22" ht="12">
      <c r="Q1538" s="166"/>
      <c r="R1538" s="166"/>
      <c r="S1538" s="166"/>
      <c r="T1538" s="166"/>
      <c r="U1538" s="166"/>
      <c r="V1538" s="166"/>
    </row>
    <row r="1539" spans="17:22" ht="12">
      <c r="Q1539" s="166"/>
      <c r="R1539" s="166"/>
      <c r="S1539" s="166"/>
      <c r="T1539" s="166"/>
      <c r="U1539" s="166"/>
      <c r="V1539" s="166"/>
    </row>
    <row r="1540" spans="17:22" ht="12">
      <c r="Q1540" s="166"/>
      <c r="R1540" s="166"/>
      <c r="S1540" s="166"/>
      <c r="T1540" s="166"/>
      <c r="U1540" s="166"/>
      <c r="V1540" s="166"/>
    </row>
    <row r="1541" spans="17:22" ht="12">
      <c r="Q1541" s="166"/>
      <c r="R1541" s="166"/>
      <c r="S1541" s="166"/>
      <c r="T1541" s="166"/>
      <c r="U1541" s="166"/>
      <c r="V1541" s="166"/>
    </row>
    <row r="1542" spans="17:22" ht="12">
      <c r="Q1542" s="166"/>
      <c r="R1542" s="166"/>
      <c r="S1542" s="166"/>
      <c r="T1542" s="166"/>
      <c r="U1542" s="166"/>
      <c r="V1542" s="166"/>
    </row>
    <row r="1543" spans="17:22" ht="12">
      <c r="Q1543" s="166"/>
      <c r="R1543" s="166"/>
      <c r="S1543" s="166"/>
      <c r="T1543" s="166"/>
      <c r="U1543" s="166"/>
      <c r="V1543" s="166"/>
    </row>
    <row r="1544" spans="17:22" ht="12">
      <c r="Q1544" s="166"/>
      <c r="R1544" s="166"/>
      <c r="S1544" s="166"/>
      <c r="T1544" s="166"/>
      <c r="U1544" s="166"/>
      <c r="V1544" s="166"/>
    </row>
    <row r="1545" spans="17:22" ht="12">
      <c r="Q1545" s="166"/>
      <c r="R1545" s="166"/>
      <c r="S1545" s="166"/>
      <c r="T1545" s="166"/>
      <c r="U1545" s="166"/>
      <c r="V1545" s="166"/>
    </row>
    <row r="1546" spans="17:22" ht="12">
      <c r="Q1546" s="166"/>
      <c r="R1546" s="166"/>
      <c r="S1546" s="166"/>
      <c r="T1546" s="166"/>
      <c r="U1546" s="166"/>
      <c r="V1546" s="166"/>
    </row>
    <row r="1547" spans="17:22" ht="12">
      <c r="Q1547" s="166"/>
      <c r="R1547" s="166"/>
      <c r="S1547" s="166"/>
      <c r="T1547" s="166"/>
      <c r="U1547" s="166"/>
      <c r="V1547" s="166"/>
    </row>
    <row r="1548" spans="17:22" ht="12">
      <c r="Q1548" s="166"/>
      <c r="R1548" s="166"/>
      <c r="S1548" s="166"/>
      <c r="T1548" s="166"/>
      <c r="U1548" s="166"/>
      <c r="V1548" s="166"/>
    </row>
    <row r="1549" spans="17:22" ht="12">
      <c r="Q1549" s="166"/>
      <c r="R1549" s="166"/>
      <c r="S1549" s="166"/>
      <c r="T1549" s="166"/>
      <c r="U1549" s="166"/>
      <c r="V1549" s="166"/>
    </row>
    <row r="1550" spans="17:22" ht="12">
      <c r="Q1550" s="166"/>
      <c r="R1550" s="166"/>
      <c r="S1550" s="166"/>
      <c r="T1550" s="166"/>
      <c r="U1550" s="166"/>
      <c r="V1550" s="166"/>
    </row>
    <row r="1551" spans="17:22" ht="12">
      <c r="Q1551" s="166"/>
      <c r="R1551" s="166"/>
      <c r="S1551" s="166"/>
      <c r="T1551" s="166"/>
      <c r="U1551" s="166"/>
      <c r="V1551" s="166"/>
    </row>
    <row r="1552" spans="17:22" ht="12">
      <c r="Q1552" s="166"/>
      <c r="R1552" s="166"/>
      <c r="S1552" s="166"/>
      <c r="T1552" s="166"/>
      <c r="U1552" s="166"/>
      <c r="V1552" s="166"/>
    </row>
    <row r="1553" spans="17:22" ht="12">
      <c r="Q1553" s="166"/>
      <c r="R1553" s="166"/>
      <c r="S1553" s="166"/>
      <c r="T1553" s="166"/>
      <c r="U1553" s="166"/>
      <c r="V1553" s="166"/>
    </row>
    <row r="1554" spans="17:22" ht="12">
      <c r="Q1554" s="166"/>
      <c r="R1554" s="166"/>
      <c r="S1554" s="166"/>
      <c r="T1554" s="166"/>
      <c r="U1554" s="166"/>
      <c r="V1554" s="166"/>
    </row>
    <row r="1555" spans="17:22" ht="12">
      <c r="Q1555" s="166"/>
      <c r="R1555" s="166"/>
      <c r="S1555" s="166"/>
      <c r="T1555" s="166"/>
      <c r="U1555" s="166"/>
      <c r="V1555" s="166"/>
    </row>
    <row r="1556" spans="17:22" ht="12">
      <c r="Q1556" s="166"/>
      <c r="R1556" s="166"/>
      <c r="S1556" s="166"/>
      <c r="T1556" s="166"/>
      <c r="U1556" s="166"/>
      <c r="V1556" s="166"/>
    </row>
    <row r="1557" spans="17:22" ht="12">
      <c r="Q1557" s="166"/>
      <c r="R1557" s="166"/>
      <c r="S1557" s="166"/>
      <c r="T1557" s="166"/>
      <c r="U1557" s="166"/>
      <c r="V1557" s="166"/>
    </row>
    <row r="1558" spans="17:22" ht="12">
      <c r="Q1558" s="166"/>
      <c r="R1558" s="166"/>
      <c r="S1558" s="166"/>
      <c r="T1558" s="166"/>
      <c r="U1558" s="166"/>
      <c r="V1558" s="166"/>
    </row>
    <row r="1559" spans="17:22" ht="12">
      <c r="Q1559" s="166"/>
      <c r="R1559" s="166"/>
      <c r="S1559" s="166"/>
      <c r="T1559" s="166"/>
      <c r="U1559" s="166"/>
      <c r="V1559" s="166"/>
    </row>
    <row r="1560" spans="17:22" ht="12">
      <c r="Q1560" s="166"/>
      <c r="R1560" s="166"/>
      <c r="S1560" s="166"/>
      <c r="T1560" s="166"/>
      <c r="U1560" s="166"/>
      <c r="V1560" s="166"/>
    </row>
    <row r="1561" spans="17:22" ht="12">
      <c r="Q1561" s="166"/>
      <c r="R1561" s="166"/>
      <c r="S1561" s="166"/>
      <c r="T1561" s="166"/>
      <c r="U1561" s="166"/>
      <c r="V1561" s="166"/>
    </row>
    <row r="1562" spans="17:22" ht="12">
      <c r="Q1562" s="166"/>
      <c r="R1562" s="166"/>
      <c r="S1562" s="166"/>
      <c r="T1562" s="166"/>
      <c r="U1562" s="166"/>
      <c r="V1562" s="166"/>
    </row>
    <row r="1563" spans="17:22" ht="12">
      <c r="Q1563" s="166"/>
      <c r="R1563" s="166"/>
      <c r="S1563" s="166"/>
      <c r="T1563" s="166"/>
      <c r="U1563" s="166"/>
      <c r="V1563" s="166"/>
    </row>
    <row r="1564" spans="17:22" ht="12">
      <c r="Q1564" s="166"/>
      <c r="R1564" s="166"/>
      <c r="S1564" s="166"/>
      <c r="T1564" s="166"/>
      <c r="U1564" s="166"/>
      <c r="V1564" s="166"/>
    </row>
    <row r="1565" spans="17:22" ht="12">
      <c r="Q1565" s="166"/>
      <c r="R1565" s="166"/>
      <c r="S1565" s="166"/>
      <c r="T1565" s="166"/>
      <c r="U1565" s="166"/>
      <c r="V1565" s="166"/>
    </row>
    <row r="1566" spans="17:22" ht="12">
      <c r="Q1566" s="166"/>
      <c r="R1566" s="166"/>
      <c r="S1566" s="166"/>
      <c r="T1566" s="166"/>
      <c r="U1566" s="166"/>
      <c r="V1566" s="166"/>
    </row>
    <row r="1567" spans="17:22" ht="12">
      <c r="Q1567" s="166"/>
      <c r="R1567" s="166"/>
      <c r="S1567" s="166"/>
      <c r="T1567" s="166"/>
      <c r="U1567" s="166"/>
      <c r="V1567" s="166"/>
    </row>
    <row r="1568" spans="17:22" ht="12">
      <c r="Q1568" s="166"/>
      <c r="R1568" s="166"/>
      <c r="S1568" s="166"/>
      <c r="T1568" s="166"/>
      <c r="U1568" s="166"/>
      <c r="V1568" s="166"/>
    </row>
    <row r="1569" spans="17:22" ht="12">
      <c r="Q1569" s="166"/>
      <c r="R1569" s="166"/>
      <c r="S1569" s="166"/>
      <c r="T1569" s="166"/>
      <c r="U1569" s="166"/>
      <c r="V1569" s="166"/>
    </row>
    <row r="1570" spans="17:22" ht="12">
      <c r="Q1570" s="166"/>
      <c r="R1570" s="166"/>
      <c r="S1570" s="166"/>
      <c r="T1570" s="166"/>
      <c r="U1570" s="166"/>
      <c r="V1570" s="166"/>
    </row>
    <row r="1571" spans="17:22" ht="12">
      <c r="Q1571" s="166"/>
      <c r="R1571" s="166"/>
      <c r="S1571" s="166"/>
      <c r="T1571" s="166"/>
      <c r="U1571" s="166"/>
      <c r="V1571" s="166"/>
    </row>
    <row r="1572" spans="17:22" ht="12">
      <c r="Q1572" s="166"/>
      <c r="R1572" s="166"/>
      <c r="S1572" s="166"/>
      <c r="T1572" s="166"/>
      <c r="U1572" s="166"/>
      <c r="V1572" s="166"/>
    </row>
    <row r="1573" spans="17:22" ht="12">
      <c r="Q1573" s="166"/>
      <c r="R1573" s="166"/>
      <c r="S1573" s="166"/>
      <c r="T1573" s="166"/>
      <c r="U1573" s="166"/>
      <c r="V1573" s="166"/>
    </row>
    <row r="1574" spans="17:22" ht="12">
      <c r="Q1574" s="166"/>
      <c r="R1574" s="166"/>
      <c r="S1574" s="166"/>
      <c r="T1574" s="166"/>
      <c r="U1574" s="166"/>
      <c r="V1574" s="166"/>
    </row>
    <row r="1575" spans="17:22" ht="12">
      <c r="Q1575" s="166"/>
      <c r="R1575" s="166"/>
      <c r="S1575" s="166"/>
      <c r="T1575" s="166"/>
      <c r="U1575" s="166"/>
      <c r="V1575" s="166"/>
    </row>
    <row r="1576" spans="17:22" ht="12">
      <c r="Q1576" s="166"/>
      <c r="R1576" s="166"/>
      <c r="S1576" s="166"/>
      <c r="T1576" s="166"/>
      <c r="U1576" s="166"/>
      <c r="V1576" s="166"/>
    </row>
    <row r="1577" spans="17:22" ht="12">
      <c r="Q1577" s="166"/>
      <c r="R1577" s="166"/>
      <c r="S1577" s="166"/>
      <c r="T1577" s="166"/>
      <c r="U1577" s="166"/>
      <c r="V1577" s="166"/>
    </row>
    <row r="1578" spans="17:22" ht="12">
      <c r="Q1578" s="166"/>
      <c r="R1578" s="166"/>
      <c r="S1578" s="166"/>
      <c r="T1578" s="166"/>
      <c r="U1578" s="166"/>
      <c r="V1578" s="166"/>
    </row>
    <row r="1579" spans="17:22" ht="12">
      <c r="Q1579" s="166"/>
      <c r="R1579" s="166"/>
      <c r="S1579" s="166"/>
      <c r="T1579" s="166"/>
      <c r="U1579" s="166"/>
      <c r="V1579" s="166"/>
    </row>
    <row r="1580" spans="17:22" ht="12">
      <c r="Q1580" s="166"/>
      <c r="R1580" s="166"/>
      <c r="S1580" s="166"/>
      <c r="T1580" s="166"/>
      <c r="U1580" s="166"/>
      <c r="V1580" s="166"/>
    </row>
    <row r="1581" spans="17:22" ht="12">
      <c r="Q1581" s="166"/>
      <c r="R1581" s="166"/>
      <c r="S1581" s="166"/>
      <c r="T1581" s="166"/>
      <c r="U1581" s="166"/>
      <c r="V1581" s="166"/>
    </row>
    <row r="1582" spans="17:22" ht="12">
      <c r="Q1582" s="166"/>
      <c r="R1582" s="166"/>
      <c r="S1582" s="166"/>
      <c r="T1582" s="166"/>
      <c r="U1582" s="166"/>
      <c r="V1582" s="166"/>
    </row>
    <row r="1583" spans="17:22" ht="12">
      <c r="Q1583" s="166"/>
      <c r="R1583" s="166"/>
      <c r="S1583" s="166"/>
      <c r="T1583" s="166"/>
      <c r="U1583" s="166"/>
      <c r="V1583" s="166"/>
    </row>
    <row r="1584" spans="17:22" ht="12">
      <c r="Q1584" s="166"/>
      <c r="R1584" s="166"/>
      <c r="S1584" s="166"/>
      <c r="T1584" s="166"/>
      <c r="U1584" s="166"/>
      <c r="V1584" s="166"/>
    </row>
    <row r="1585" spans="17:22" ht="12">
      <c r="Q1585" s="166"/>
      <c r="R1585" s="166"/>
      <c r="S1585" s="166"/>
      <c r="T1585" s="166"/>
      <c r="U1585" s="166"/>
      <c r="V1585" s="166"/>
    </row>
    <row r="1586" spans="17:22" ht="12">
      <c r="Q1586" s="166"/>
      <c r="R1586" s="166"/>
      <c r="S1586" s="166"/>
      <c r="T1586" s="166"/>
      <c r="U1586" s="166"/>
      <c r="V1586" s="166"/>
    </row>
    <row r="1587" spans="17:22" ht="12">
      <c r="Q1587" s="166"/>
      <c r="R1587" s="166"/>
      <c r="S1587" s="166"/>
      <c r="T1587" s="166"/>
      <c r="U1587" s="166"/>
      <c r="V1587" s="166"/>
    </row>
    <row r="1588" spans="17:22" ht="12">
      <c r="Q1588" s="166"/>
      <c r="R1588" s="166"/>
      <c r="S1588" s="166"/>
      <c r="T1588" s="166"/>
      <c r="U1588" s="166"/>
      <c r="V1588" s="166"/>
    </row>
    <row r="1589" spans="17:22" ht="12">
      <c r="Q1589" s="166"/>
      <c r="R1589" s="166"/>
      <c r="S1589" s="166"/>
      <c r="T1589" s="166"/>
      <c r="U1589" s="166"/>
      <c r="V1589" s="166"/>
    </row>
    <row r="1590" spans="17:22" ht="12">
      <c r="Q1590" s="166"/>
      <c r="R1590" s="166"/>
      <c r="S1590" s="166"/>
      <c r="T1590" s="166"/>
      <c r="U1590" s="166"/>
      <c r="V1590" s="166"/>
    </row>
    <row r="1591" spans="17:22" ht="12">
      <c r="Q1591" s="166"/>
      <c r="R1591" s="166"/>
      <c r="S1591" s="166"/>
      <c r="T1591" s="166"/>
      <c r="U1591" s="166"/>
      <c r="V1591" s="166"/>
    </row>
    <row r="1592" spans="17:22" ht="12">
      <c r="Q1592" s="166"/>
      <c r="R1592" s="166"/>
      <c r="S1592" s="166"/>
      <c r="T1592" s="166"/>
      <c r="U1592" s="166"/>
      <c r="V1592" s="166"/>
    </row>
    <row r="1593" spans="17:22" ht="12">
      <c r="Q1593" s="166"/>
      <c r="R1593" s="166"/>
      <c r="S1593" s="166"/>
      <c r="T1593" s="166"/>
      <c r="U1593" s="166"/>
      <c r="V1593" s="166"/>
    </row>
    <row r="1594" spans="17:22" ht="12">
      <c r="Q1594" s="166"/>
      <c r="R1594" s="166"/>
      <c r="S1594" s="166"/>
      <c r="T1594" s="166"/>
      <c r="U1594" s="166"/>
      <c r="V1594" s="166"/>
    </row>
    <row r="1595" spans="17:22" ht="12">
      <c r="Q1595" s="166"/>
      <c r="R1595" s="166"/>
      <c r="S1595" s="166"/>
      <c r="T1595" s="166"/>
      <c r="U1595" s="166"/>
      <c r="V1595" s="166"/>
    </row>
    <row r="1596" spans="17:22" ht="12">
      <c r="Q1596" s="166"/>
      <c r="R1596" s="166"/>
      <c r="S1596" s="166"/>
      <c r="T1596" s="166"/>
      <c r="U1596" s="166"/>
      <c r="V1596" s="166"/>
    </row>
    <row r="1597" spans="17:22" ht="12">
      <c r="Q1597" s="166"/>
      <c r="R1597" s="166"/>
      <c r="S1597" s="166"/>
      <c r="T1597" s="166"/>
      <c r="U1597" s="166"/>
      <c r="V1597" s="166"/>
    </row>
    <row r="1598" spans="17:22" ht="12">
      <c r="Q1598" s="166"/>
      <c r="R1598" s="166"/>
      <c r="S1598" s="166"/>
      <c r="T1598" s="166"/>
      <c r="U1598" s="166"/>
      <c r="V1598" s="166"/>
    </row>
    <row r="1599" spans="17:22" ht="12">
      <c r="Q1599" s="166"/>
      <c r="R1599" s="166"/>
      <c r="S1599" s="166"/>
      <c r="T1599" s="166"/>
      <c r="U1599" s="166"/>
      <c r="V1599" s="166"/>
    </row>
    <row r="1600" spans="17:22" ht="12">
      <c r="Q1600" s="166"/>
      <c r="R1600" s="166"/>
      <c r="S1600" s="166"/>
      <c r="T1600" s="166"/>
      <c r="U1600" s="166"/>
      <c r="V1600" s="166"/>
    </row>
    <row r="1601" spans="17:22" ht="12">
      <c r="Q1601" s="166"/>
      <c r="R1601" s="166"/>
      <c r="S1601" s="166"/>
      <c r="T1601" s="166"/>
      <c r="U1601" s="166"/>
      <c r="V1601" s="166"/>
    </row>
    <row r="1602" spans="17:22" ht="12">
      <c r="Q1602" s="166"/>
      <c r="R1602" s="166"/>
      <c r="S1602" s="166"/>
      <c r="T1602" s="166"/>
      <c r="U1602" s="166"/>
      <c r="V1602" s="166"/>
    </row>
    <row r="1603" spans="17:22" ht="12">
      <c r="Q1603" s="166"/>
      <c r="R1603" s="166"/>
      <c r="S1603" s="166"/>
      <c r="T1603" s="166"/>
      <c r="U1603" s="166"/>
      <c r="V1603" s="166"/>
    </row>
    <row r="1604" spans="17:22" ht="12">
      <c r="Q1604" s="166"/>
      <c r="R1604" s="166"/>
      <c r="S1604" s="166"/>
      <c r="T1604" s="166"/>
      <c r="U1604" s="166"/>
      <c r="V1604" s="166"/>
    </row>
    <row r="1605" spans="17:22" ht="12">
      <c r="Q1605" s="166"/>
      <c r="R1605" s="166"/>
      <c r="S1605" s="166"/>
      <c r="T1605" s="166"/>
      <c r="U1605" s="166"/>
      <c r="V1605" s="166"/>
    </row>
    <row r="1606" spans="17:22" ht="12">
      <c r="Q1606" s="166"/>
      <c r="R1606" s="166"/>
      <c r="S1606" s="166"/>
      <c r="T1606" s="166"/>
      <c r="U1606" s="166"/>
      <c r="V1606" s="166"/>
    </row>
    <row r="1607" spans="17:22" ht="12">
      <c r="Q1607" s="166"/>
      <c r="R1607" s="166"/>
      <c r="S1607" s="166"/>
      <c r="T1607" s="166"/>
      <c r="U1607" s="166"/>
      <c r="V1607" s="166"/>
    </row>
    <row r="1608" spans="17:22" ht="12">
      <c r="Q1608" s="166"/>
      <c r="R1608" s="166"/>
      <c r="S1608" s="166"/>
      <c r="T1608" s="166"/>
      <c r="U1608" s="166"/>
      <c r="V1608" s="166"/>
    </row>
    <row r="1609" spans="17:22" ht="12">
      <c r="Q1609" s="166"/>
      <c r="R1609" s="166"/>
      <c r="S1609" s="166"/>
      <c r="T1609" s="166"/>
      <c r="U1609" s="166"/>
      <c r="V1609" s="166"/>
    </row>
    <row r="1610" spans="17:22" ht="12">
      <c r="Q1610" s="166"/>
      <c r="R1610" s="166"/>
      <c r="S1610" s="166"/>
      <c r="T1610" s="166"/>
      <c r="U1610" s="166"/>
      <c r="V1610" s="166"/>
    </row>
    <row r="1611" spans="17:22" ht="12">
      <c r="Q1611" s="166"/>
      <c r="R1611" s="166"/>
      <c r="S1611" s="166"/>
      <c r="T1611" s="166"/>
      <c r="U1611" s="166"/>
      <c r="V1611" s="166"/>
    </row>
    <row r="1612" spans="17:22" ht="12">
      <c r="Q1612" s="166"/>
      <c r="R1612" s="166"/>
      <c r="S1612" s="166"/>
      <c r="T1612" s="166"/>
      <c r="U1612" s="166"/>
      <c r="V1612" s="166"/>
    </row>
    <row r="1613" spans="17:22" ht="12">
      <c r="Q1613" s="166"/>
      <c r="R1613" s="166"/>
      <c r="S1613" s="166"/>
      <c r="T1613" s="166"/>
      <c r="U1613" s="166"/>
      <c r="V1613" s="166"/>
    </row>
    <row r="1614" spans="17:22" ht="12">
      <c r="Q1614" s="166"/>
      <c r="R1614" s="166"/>
      <c r="S1614" s="166"/>
      <c r="T1614" s="166"/>
      <c r="U1614" s="166"/>
      <c r="V1614" s="166"/>
    </row>
    <row r="1615" spans="17:22" ht="12">
      <c r="Q1615" s="166"/>
      <c r="R1615" s="166"/>
      <c r="S1615" s="166"/>
      <c r="T1615" s="166"/>
      <c r="U1615" s="166"/>
      <c r="V1615" s="166"/>
    </row>
    <row r="1616" spans="17:22" ht="12">
      <c r="Q1616" s="166"/>
      <c r="R1616" s="166"/>
      <c r="S1616" s="166"/>
      <c r="T1616" s="166"/>
      <c r="U1616" s="166"/>
      <c r="V1616" s="166"/>
    </row>
    <row r="1617" spans="17:22" ht="12">
      <c r="Q1617" s="166"/>
      <c r="R1617" s="166"/>
      <c r="S1617" s="166"/>
      <c r="T1617" s="166"/>
      <c r="U1617" s="166"/>
      <c r="V1617" s="166"/>
    </row>
    <row r="1618" spans="17:22" ht="12">
      <c r="Q1618" s="166"/>
      <c r="R1618" s="166"/>
      <c r="S1618" s="166"/>
      <c r="T1618" s="166"/>
      <c r="U1618" s="166"/>
      <c r="V1618" s="166"/>
    </row>
    <row r="1619" spans="17:22" ht="12">
      <c r="Q1619" s="166"/>
      <c r="R1619" s="166"/>
      <c r="S1619" s="166"/>
      <c r="T1619" s="166"/>
      <c r="U1619" s="166"/>
      <c r="V1619" s="166"/>
    </row>
    <row r="1620" spans="17:22" ht="12">
      <c r="Q1620" s="166"/>
      <c r="R1620" s="166"/>
      <c r="S1620" s="166"/>
      <c r="T1620" s="166"/>
      <c r="U1620" s="166"/>
      <c r="V1620" s="166"/>
    </row>
    <row r="1621" spans="17:22" ht="12">
      <c r="Q1621" s="166"/>
      <c r="R1621" s="166"/>
      <c r="S1621" s="166"/>
      <c r="T1621" s="166"/>
      <c r="U1621" s="166"/>
      <c r="V1621" s="166"/>
    </row>
    <row r="1622" spans="17:22" ht="12">
      <c r="Q1622" s="166"/>
      <c r="R1622" s="166"/>
      <c r="S1622" s="166"/>
      <c r="T1622" s="166"/>
      <c r="U1622" s="166"/>
      <c r="V1622" s="166"/>
    </row>
    <row r="1623" spans="17:22" ht="12">
      <c r="Q1623" s="166"/>
      <c r="R1623" s="166"/>
      <c r="S1623" s="166"/>
      <c r="T1623" s="166"/>
      <c r="U1623" s="166"/>
      <c r="V1623" s="166"/>
    </row>
    <row r="1624" spans="17:22" ht="12">
      <c r="Q1624" s="166"/>
      <c r="R1624" s="166"/>
      <c r="S1624" s="166"/>
      <c r="T1624" s="166"/>
      <c r="U1624" s="166"/>
      <c r="V1624" s="166"/>
    </row>
    <row r="1625" spans="17:22" ht="12">
      <c r="Q1625" s="166"/>
      <c r="R1625" s="166"/>
      <c r="S1625" s="166"/>
      <c r="T1625" s="166"/>
      <c r="U1625" s="166"/>
      <c r="V1625" s="166"/>
    </row>
    <row r="1626" spans="17:22" ht="12">
      <c r="Q1626" s="166"/>
      <c r="R1626" s="166"/>
      <c r="S1626" s="166"/>
      <c r="T1626" s="166"/>
      <c r="U1626" s="166"/>
      <c r="V1626" s="166"/>
    </row>
    <row r="1627" spans="17:22" ht="12">
      <c r="Q1627" s="166"/>
      <c r="R1627" s="166"/>
      <c r="S1627" s="166"/>
      <c r="T1627" s="166"/>
      <c r="U1627" s="166"/>
      <c r="V1627" s="166"/>
    </row>
    <row r="1628" spans="17:22" ht="12">
      <c r="Q1628" s="166"/>
      <c r="R1628" s="166"/>
      <c r="S1628" s="166"/>
      <c r="T1628" s="166"/>
      <c r="U1628" s="166"/>
      <c r="V1628" s="166"/>
    </row>
    <row r="1629" spans="17:22" ht="12">
      <c r="Q1629" s="166"/>
      <c r="R1629" s="166"/>
      <c r="S1629" s="166"/>
      <c r="T1629" s="166"/>
      <c r="U1629" s="166"/>
      <c r="V1629" s="166"/>
    </row>
    <row r="1630" spans="17:22" ht="12">
      <c r="Q1630" s="166"/>
      <c r="R1630" s="166"/>
      <c r="S1630" s="166"/>
      <c r="T1630" s="166"/>
      <c r="U1630" s="166"/>
      <c r="V1630" s="166"/>
    </row>
    <row r="1631" spans="17:22" ht="12">
      <c r="Q1631" s="166"/>
      <c r="R1631" s="166"/>
      <c r="S1631" s="166"/>
      <c r="T1631" s="166"/>
      <c r="U1631" s="166"/>
      <c r="V1631" s="166"/>
    </row>
    <row r="1632" spans="17:22" ht="12">
      <c r="Q1632" s="166"/>
      <c r="R1632" s="166"/>
      <c r="S1632" s="166"/>
      <c r="T1632" s="166"/>
      <c r="U1632" s="166"/>
      <c r="V1632" s="166"/>
    </row>
    <row r="1633" spans="17:22" ht="12">
      <c r="Q1633" s="166"/>
      <c r="R1633" s="166"/>
      <c r="S1633" s="166"/>
      <c r="T1633" s="166"/>
      <c r="U1633" s="166"/>
      <c r="V1633" s="166"/>
    </row>
    <row r="1634" spans="17:22" ht="12">
      <c r="Q1634" s="166"/>
      <c r="R1634" s="166"/>
      <c r="S1634" s="166"/>
      <c r="T1634" s="166"/>
      <c r="U1634" s="166"/>
      <c r="V1634" s="166"/>
    </row>
    <row r="1635" spans="17:22" ht="12">
      <c r="Q1635" s="166"/>
      <c r="R1635" s="166"/>
      <c r="S1635" s="166"/>
      <c r="T1635" s="166"/>
      <c r="U1635" s="166"/>
      <c r="V1635" s="166"/>
    </row>
    <row r="1636" spans="17:22" ht="12">
      <c r="Q1636" s="166"/>
      <c r="R1636" s="166"/>
      <c r="S1636" s="166"/>
      <c r="T1636" s="166"/>
      <c r="U1636" s="166"/>
      <c r="V1636" s="166"/>
    </row>
    <row r="1637" spans="17:22" ht="12">
      <c r="Q1637" s="166"/>
      <c r="R1637" s="166"/>
      <c r="S1637" s="166"/>
      <c r="T1637" s="166"/>
      <c r="U1637" s="166"/>
      <c r="V1637" s="166"/>
    </row>
    <row r="1638" spans="17:22" ht="12">
      <c r="Q1638" s="166"/>
      <c r="R1638" s="166"/>
      <c r="S1638" s="166"/>
      <c r="T1638" s="166"/>
      <c r="U1638" s="166"/>
      <c r="V1638" s="166"/>
    </row>
    <row r="1639" spans="17:22" ht="12">
      <c r="Q1639" s="166"/>
      <c r="R1639" s="166"/>
      <c r="S1639" s="166"/>
      <c r="T1639" s="166"/>
      <c r="U1639" s="166"/>
      <c r="V1639" s="166"/>
    </row>
    <row r="1640" spans="17:22" ht="12">
      <c r="Q1640" s="166"/>
      <c r="R1640" s="166"/>
      <c r="S1640" s="166"/>
      <c r="T1640" s="166"/>
      <c r="U1640" s="166"/>
      <c r="V1640" s="166"/>
    </row>
    <row r="1641" spans="17:22" ht="12">
      <c r="Q1641" s="166"/>
      <c r="R1641" s="166"/>
      <c r="S1641" s="166"/>
      <c r="T1641" s="166"/>
      <c r="U1641" s="166"/>
      <c r="V1641" s="166"/>
    </row>
    <row r="1642" spans="17:22" ht="12">
      <c r="Q1642" s="166"/>
      <c r="R1642" s="166"/>
      <c r="S1642" s="166"/>
      <c r="T1642" s="166"/>
      <c r="U1642" s="166"/>
      <c r="V1642" s="166"/>
    </row>
    <row r="1643" spans="17:22" ht="12">
      <c r="Q1643" s="166"/>
      <c r="R1643" s="166"/>
      <c r="S1643" s="166"/>
      <c r="T1643" s="166"/>
      <c r="U1643" s="166"/>
      <c r="V1643" s="166"/>
    </row>
    <row r="1644" spans="17:22" ht="12">
      <c r="Q1644" s="166"/>
      <c r="R1644" s="166"/>
      <c r="S1644" s="166"/>
      <c r="T1644" s="166"/>
      <c r="U1644" s="166"/>
      <c r="V1644" s="166"/>
    </row>
    <row r="1645" spans="17:22" ht="12">
      <c r="Q1645" s="166"/>
      <c r="R1645" s="166"/>
      <c r="S1645" s="166"/>
      <c r="T1645" s="166"/>
      <c r="U1645" s="166"/>
      <c r="V1645" s="166"/>
    </row>
    <row r="1646" spans="17:22" ht="12">
      <c r="Q1646" s="166"/>
      <c r="R1646" s="166"/>
      <c r="S1646" s="166"/>
      <c r="T1646" s="166"/>
      <c r="U1646" s="166"/>
      <c r="V1646" s="166"/>
    </row>
    <row r="1647" spans="17:22" ht="12">
      <c r="Q1647" s="166"/>
      <c r="R1647" s="166"/>
      <c r="S1647" s="166"/>
      <c r="T1647" s="166"/>
      <c r="U1647" s="166"/>
      <c r="V1647" s="166"/>
    </row>
    <row r="1648" spans="17:22" ht="12">
      <c r="Q1648" s="166"/>
      <c r="R1648" s="166"/>
      <c r="S1648" s="166"/>
      <c r="T1648" s="166"/>
      <c r="U1648" s="166"/>
      <c r="V1648" s="166"/>
    </row>
    <row r="1649" spans="17:22" ht="12">
      <c r="Q1649" s="166"/>
      <c r="R1649" s="166"/>
      <c r="S1649" s="166"/>
      <c r="T1649" s="166"/>
      <c r="U1649" s="166"/>
      <c r="V1649" s="166"/>
    </row>
    <row r="1650" spans="17:22" ht="12">
      <c r="Q1650" s="166"/>
      <c r="R1650" s="166"/>
      <c r="S1650" s="166"/>
      <c r="T1650" s="166"/>
      <c r="U1650" s="166"/>
      <c r="V1650" s="166"/>
    </row>
    <row r="1651" spans="17:22" ht="12">
      <c r="Q1651" s="166"/>
      <c r="R1651" s="166"/>
      <c r="S1651" s="166"/>
      <c r="T1651" s="166"/>
      <c r="U1651" s="166"/>
      <c r="V1651" s="166"/>
    </row>
    <row r="1652" spans="17:22" ht="12">
      <c r="Q1652" s="166"/>
      <c r="R1652" s="166"/>
      <c r="S1652" s="166"/>
      <c r="T1652" s="166"/>
      <c r="U1652" s="166"/>
      <c r="V1652" s="166"/>
    </row>
    <row r="1653" spans="17:22" ht="12">
      <c r="Q1653" s="166"/>
      <c r="R1653" s="166"/>
      <c r="S1653" s="166"/>
      <c r="T1653" s="166"/>
      <c r="U1653" s="166"/>
      <c r="V1653" s="166"/>
    </row>
    <row r="1654" spans="17:22" ht="12">
      <c r="Q1654" s="166"/>
      <c r="R1654" s="166"/>
      <c r="S1654" s="166"/>
      <c r="T1654" s="166"/>
      <c r="U1654" s="166"/>
      <c r="V1654" s="166"/>
    </row>
    <row r="1655" spans="17:22" ht="12">
      <c r="Q1655" s="166"/>
      <c r="R1655" s="166"/>
      <c r="S1655" s="166"/>
      <c r="T1655" s="166"/>
      <c r="U1655" s="166"/>
      <c r="V1655" s="166"/>
    </row>
    <row r="1656" spans="17:22" ht="12">
      <c r="Q1656" s="166"/>
      <c r="R1656" s="166"/>
      <c r="S1656" s="166"/>
      <c r="T1656" s="166"/>
      <c r="U1656" s="166"/>
      <c r="V1656" s="166"/>
    </row>
    <row r="1657" spans="17:22" ht="12">
      <c r="Q1657" s="166"/>
      <c r="R1657" s="166"/>
      <c r="S1657" s="166"/>
      <c r="T1657" s="166"/>
      <c r="U1657" s="166"/>
      <c r="V1657" s="166"/>
    </row>
    <row r="1658" spans="17:22" ht="12">
      <c r="Q1658" s="166"/>
      <c r="R1658" s="166"/>
      <c r="S1658" s="166"/>
      <c r="T1658" s="166"/>
      <c r="U1658" s="166"/>
      <c r="V1658" s="166"/>
    </row>
    <row r="1659" spans="17:22" ht="12">
      <c r="Q1659" s="166"/>
      <c r="R1659" s="166"/>
      <c r="S1659" s="166"/>
      <c r="T1659" s="166"/>
      <c r="U1659" s="166"/>
      <c r="V1659" s="166"/>
    </row>
    <row r="1660" spans="17:22" ht="12">
      <c r="Q1660" s="166"/>
      <c r="R1660" s="166"/>
      <c r="S1660" s="166"/>
      <c r="T1660" s="166"/>
      <c r="U1660" s="166"/>
      <c r="V1660" s="166"/>
    </row>
    <row r="1661" spans="17:22" ht="12">
      <c r="Q1661" s="166"/>
      <c r="R1661" s="166"/>
      <c r="S1661" s="166"/>
      <c r="T1661" s="166"/>
      <c r="U1661" s="166"/>
      <c r="V1661" s="166"/>
    </row>
    <row r="1662" spans="17:22" ht="12">
      <c r="Q1662" s="166"/>
      <c r="R1662" s="166"/>
      <c r="S1662" s="166"/>
      <c r="T1662" s="166"/>
      <c r="U1662" s="166"/>
      <c r="V1662" s="166"/>
    </row>
    <row r="1663" spans="17:22" ht="12">
      <c r="Q1663" s="166"/>
      <c r="R1663" s="166"/>
      <c r="S1663" s="166"/>
      <c r="T1663" s="166"/>
      <c r="U1663" s="166"/>
      <c r="V1663" s="166"/>
    </row>
    <row r="1664" spans="17:22" ht="12">
      <c r="Q1664" s="166"/>
      <c r="R1664" s="166"/>
      <c r="S1664" s="166"/>
      <c r="T1664" s="166"/>
      <c r="U1664" s="166"/>
      <c r="V1664" s="166"/>
    </row>
    <row r="1665" spans="17:22" ht="12">
      <c r="Q1665" s="166"/>
      <c r="R1665" s="166"/>
      <c r="S1665" s="166"/>
      <c r="T1665" s="166"/>
      <c r="U1665" s="166"/>
      <c r="V1665" s="166"/>
    </row>
    <row r="1666" spans="17:22" ht="12">
      <c r="Q1666" s="166"/>
      <c r="R1666" s="166"/>
      <c r="S1666" s="166"/>
      <c r="T1666" s="166"/>
      <c r="U1666" s="166"/>
      <c r="V1666" s="166"/>
    </row>
    <row r="1667" spans="17:22" ht="12">
      <c r="Q1667" s="166"/>
      <c r="R1667" s="166"/>
      <c r="S1667" s="166"/>
      <c r="T1667" s="166"/>
      <c r="U1667" s="166"/>
      <c r="V1667" s="166"/>
    </row>
    <row r="1668" spans="17:22" ht="12">
      <c r="Q1668" s="166"/>
      <c r="R1668" s="166"/>
      <c r="S1668" s="166"/>
      <c r="T1668" s="166"/>
      <c r="U1668" s="166"/>
      <c r="V1668" s="166"/>
    </row>
    <row r="1669" spans="17:22" ht="12">
      <c r="Q1669" s="166"/>
      <c r="R1669" s="166"/>
      <c r="S1669" s="166"/>
      <c r="T1669" s="166"/>
      <c r="U1669" s="166"/>
      <c r="V1669" s="166"/>
    </row>
    <row r="1670" spans="17:22" ht="12">
      <c r="Q1670" s="166"/>
      <c r="R1670" s="166"/>
      <c r="S1670" s="166"/>
      <c r="T1670" s="166"/>
      <c r="U1670" s="166"/>
      <c r="V1670" s="166"/>
    </row>
    <row r="1671" spans="17:22" ht="12">
      <c r="Q1671" s="166"/>
      <c r="R1671" s="166"/>
      <c r="S1671" s="166"/>
      <c r="T1671" s="166"/>
      <c r="U1671" s="166"/>
      <c r="V1671" s="166"/>
    </row>
    <row r="1672" spans="17:22" ht="12">
      <c r="Q1672" s="166"/>
      <c r="R1672" s="166"/>
      <c r="S1672" s="166"/>
      <c r="T1672" s="166"/>
      <c r="U1672" s="166"/>
      <c r="V1672" s="166"/>
    </row>
    <row r="1673" spans="17:22" ht="12">
      <c r="Q1673" s="166"/>
      <c r="R1673" s="166"/>
      <c r="S1673" s="166"/>
      <c r="T1673" s="166"/>
      <c r="U1673" s="166"/>
      <c r="V1673" s="166"/>
    </row>
    <row r="1674" spans="17:22" ht="12">
      <c r="Q1674" s="166"/>
      <c r="R1674" s="166"/>
      <c r="S1674" s="166"/>
      <c r="T1674" s="166"/>
      <c r="U1674" s="166"/>
      <c r="V1674" s="166"/>
    </row>
    <row r="1675" spans="17:22" ht="12">
      <c r="Q1675" s="166"/>
      <c r="R1675" s="166"/>
      <c r="S1675" s="166"/>
      <c r="T1675" s="166"/>
      <c r="U1675" s="166"/>
      <c r="V1675" s="166"/>
    </row>
    <row r="1676" spans="17:22" ht="12">
      <c r="Q1676" s="166"/>
      <c r="R1676" s="166"/>
      <c r="S1676" s="166"/>
      <c r="T1676" s="166"/>
      <c r="U1676" s="166"/>
      <c r="V1676" s="166"/>
    </row>
    <row r="1677" spans="17:22" ht="12">
      <c r="Q1677" s="166"/>
      <c r="R1677" s="166"/>
      <c r="S1677" s="166"/>
      <c r="T1677" s="166"/>
      <c r="U1677" s="166"/>
      <c r="V1677" s="166"/>
    </row>
    <row r="1678" spans="17:22" ht="12">
      <c r="Q1678" s="166"/>
      <c r="R1678" s="166"/>
      <c r="S1678" s="166"/>
      <c r="T1678" s="166"/>
      <c r="U1678" s="166"/>
      <c r="V1678" s="166"/>
    </row>
    <row r="1679" spans="17:22" ht="12">
      <c r="Q1679" s="166"/>
      <c r="R1679" s="166"/>
      <c r="S1679" s="166"/>
      <c r="T1679" s="166"/>
      <c r="U1679" s="166"/>
      <c r="V1679" s="166"/>
    </row>
    <row r="1680" spans="17:22" ht="12">
      <c r="Q1680" s="166"/>
      <c r="R1680" s="166"/>
      <c r="S1680" s="166"/>
      <c r="T1680" s="166"/>
      <c r="U1680" s="166"/>
      <c r="V1680" s="166"/>
    </row>
    <row r="1681" spans="17:22" ht="12">
      <c r="Q1681" s="166"/>
      <c r="R1681" s="166"/>
      <c r="S1681" s="166"/>
      <c r="T1681" s="166"/>
      <c r="U1681" s="166"/>
      <c r="V1681" s="166"/>
    </row>
    <row r="1682" spans="17:22" ht="12">
      <c r="Q1682" s="166"/>
      <c r="R1682" s="166"/>
      <c r="S1682" s="166"/>
      <c r="T1682" s="166"/>
      <c r="U1682" s="166"/>
      <c r="V1682" s="166"/>
    </row>
    <row r="1683" spans="17:22" ht="12">
      <c r="Q1683" s="166"/>
      <c r="R1683" s="166"/>
      <c r="S1683" s="166"/>
      <c r="T1683" s="166"/>
      <c r="U1683" s="166"/>
      <c r="V1683" s="166"/>
    </row>
    <row r="1684" spans="17:22" ht="12">
      <c r="Q1684" s="166"/>
      <c r="R1684" s="166"/>
      <c r="S1684" s="166"/>
      <c r="T1684" s="166"/>
      <c r="U1684" s="166"/>
      <c r="V1684" s="166"/>
    </row>
    <row r="1685" spans="17:22" ht="12">
      <c r="Q1685" s="166"/>
      <c r="R1685" s="166"/>
      <c r="S1685" s="166"/>
      <c r="T1685" s="166"/>
      <c r="U1685" s="166"/>
      <c r="V1685" s="166"/>
    </row>
    <row r="1686" spans="17:22" ht="12">
      <c r="Q1686" s="166"/>
      <c r="R1686" s="166"/>
      <c r="S1686" s="166"/>
      <c r="T1686" s="166"/>
      <c r="U1686" s="166"/>
      <c r="V1686" s="166"/>
    </row>
    <row r="1687" spans="17:22" ht="12">
      <c r="Q1687" s="166"/>
      <c r="R1687" s="166"/>
      <c r="S1687" s="166"/>
      <c r="T1687" s="166"/>
      <c r="U1687" s="166"/>
      <c r="V1687" s="166"/>
    </row>
    <row r="1688" spans="17:22" ht="12">
      <c r="Q1688" s="166"/>
      <c r="R1688" s="166"/>
      <c r="S1688" s="166"/>
      <c r="T1688" s="166"/>
      <c r="U1688" s="166"/>
      <c r="V1688" s="166"/>
    </row>
    <row r="1689" spans="17:22" ht="12">
      <c r="Q1689" s="166"/>
      <c r="R1689" s="166"/>
      <c r="S1689" s="166"/>
      <c r="T1689" s="166"/>
      <c r="U1689" s="166"/>
      <c r="V1689" s="166"/>
    </row>
    <row r="1690" spans="17:22" ht="12">
      <c r="Q1690" s="166"/>
      <c r="R1690" s="166"/>
      <c r="S1690" s="166"/>
      <c r="T1690" s="166"/>
      <c r="U1690" s="166"/>
      <c r="V1690" s="166"/>
    </row>
    <row r="1691" spans="17:22" ht="12">
      <c r="Q1691" s="166"/>
      <c r="R1691" s="166"/>
      <c r="S1691" s="166"/>
      <c r="T1691" s="166"/>
      <c r="U1691" s="166"/>
      <c r="V1691" s="166"/>
    </row>
    <row r="1692" spans="17:22" ht="12">
      <c r="Q1692" s="166"/>
      <c r="R1692" s="166"/>
      <c r="S1692" s="166"/>
      <c r="T1692" s="166"/>
      <c r="U1692" s="166"/>
      <c r="V1692" s="166"/>
    </row>
    <row r="1693" spans="17:22" ht="12">
      <c r="Q1693" s="166"/>
      <c r="R1693" s="166"/>
      <c r="S1693" s="166"/>
      <c r="T1693" s="166"/>
      <c r="U1693" s="166"/>
      <c r="V1693" s="166"/>
    </row>
    <row r="1694" spans="17:22" ht="12">
      <c r="Q1694" s="166"/>
      <c r="R1694" s="166"/>
      <c r="S1694" s="166"/>
      <c r="T1694" s="166"/>
      <c r="U1694" s="166"/>
      <c r="V1694" s="166"/>
    </row>
    <row r="1695" spans="17:22" ht="12">
      <c r="Q1695" s="166"/>
      <c r="R1695" s="166"/>
      <c r="S1695" s="166"/>
      <c r="T1695" s="166"/>
      <c r="U1695" s="166"/>
      <c r="V1695" s="166"/>
    </row>
    <row r="1696" spans="17:22" ht="12">
      <c r="Q1696" s="166"/>
      <c r="R1696" s="166"/>
      <c r="S1696" s="166"/>
      <c r="T1696" s="166"/>
      <c r="U1696" s="166"/>
      <c r="V1696" s="166"/>
    </row>
    <row r="1697" spans="17:22" ht="12">
      <c r="Q1697" s="166"/>
      <c r="R1697" s="166"/>
      <c r="S1697" s="166"/>
      <c r="T1697" s="166"/>
      <c r="U1697" s="166"/>
      <c r="V1697" s="166"/>
    </row>
    <row r="1698" spans="17:22" ht="12">
      <c r="Q1698" s="166"/>
      <c r="R1698" s="166"/>
      <c r="S1698" s="166"/>
      <c r="T1698" s="166"/>
      <c r="U1698" s="166"/>
      <c r="V1698" s="166"/>
    </row>
    <row r="1699" spans="17:22" ht="12">
      <c r="Q1699" s="166"/>
      <c r="R1699" s="166"/>
      <c r="S1699" s="166"/>
      <c r="T1699" s="166"/>
      <c r="U1699" s="166"/>
      <c r="V1699" s="166"/>
    </row>
    <row r="1700" spans="17:22" ht="12">
      <c r="Q1700" s="166"/>
      <c r="R1700" s="166"/>
      <c r="S1700" s="166"/>
      <c r="T1700" s="166"/>
      <c r="U1700" s="166"/>
      <c r="V1700" s="166"/>
    </row>
    <row r="1701" spans="17:22" ht="12">
      <c r="Q1701" s="166"/>
      <c r="R1701" s="166"/>
      <c r="S1701" s="166"/>
      <c r="T1701" s="166"/>
      <c r="U1701" s="166"/>
      <c r="V1701" s="166"/>
    </row>
    <row r="1702" spans="17:22" ht="12">
      <c r="Q1702" s="166"/>
      <c r="R1702" s="166"/>
      <c r="S1702" s="166"/>
      <c r="T1702" s="166"/>
      <c r="U1702" s="166"/>
      <c r="V1702" s="166"/>
    </row>
    <row r="1703" spans="17:22" ht="12">
      <c r="Q1703" s="166"/>
      <c r="R1703" s="166"/>
      <c r="S1703" s="166"/>
      <c r="T1703" s="166"/>
      <c r="U1703" s="166"/>
      <c r="V1703" s="166"/>
    </row>
    <row r="1704" spans="17:22" ht="12">
      <c r="Q1704" s="166"/>
      <c r="R1704" s="166"/>
      <c r="S1704" s="166"/>
      <c r="T1704" s="166"/>
      <c r="U1704" s="166"/>
      <c r="V1704" s="166"/>
    </row>
    <row r="1705" spans="17:22" ht="12">
      <c r="Q1705" s="166"/>
      <c r="R1705" s="166"/>
      <c r="S1705" s="166"/>
      <c r="T1705" s="166"/>
      <c r="U1705" s="166"/>
      <c r="V1705" s="166"/>
    </row>
    <row r="1706" spans="17:22" ht="12">
      <c r="Q1706" s="166"/>
      <c r="R1706" s="166"/>
      <c r="S1706" s="166"/>
      <c r="T1706" s="166"/>
      <c r="U1706" s="166"/>
      <c r="V1706" s="166"/>
    </row>
    <row r="1707" spans="17:22" ht="12">
      <c r="Q1707" s="166"/>
      <c r="R1707" s="166"/>
      <c r="S1707" s="166"/>
      <c r="T1707" s="166"/>
      <c r="U1707" s="166"/>
      <c r="V1707" s="166"/>
    </row>
    <row r="1708" spans="17:22" ht="12">
      <c r="Q1708" s="166"/>
      <c r="R1708" s="166"/>
      <c r="S1708" s="166"/>
      <c r="T1708" s="166"/>
      <c r="U1708" s="166"/>
      <c r="V1708" s="166"/>
    </row>
    <row r="1709" spans="17:22" ht="12">
      <c r="Q1709" s="166"/>
      <c r="R1709" s="166"/>
      <c r="S1709" s="166"/>
      <c r="T1709" s="166"/>
      <c r="U1709" s="166"/>
      <c r="V1709" s="166"/>
    </row>
    <row r="1710" spans="17:22" ht="12">
      <c r="Q1710" s="166"/>
      <c r="R1710" s="166"/>
      <c r="S1710" s="166"/>
      <c r="T1710" s="166"/>
      <c r="U1710" s="166"/>
      <c r="V1710" s="166"/>
    </row>
    <row r="1711" spans="17:22" ht="12">
      <c r="Q1711" s="166"/>
      <c r="R1711" s="166"/>
      <c r="S1711" s="166"/>
      <c r="T1711" s="166"/>
      <c r="U1711" s="166"/>
      <c r="V1711" s="166"/>
    </row>
    <row r="1712" spans="17:22" ht="12">
      <c r="Q1712" s="166"/>
      <c r="R1712" s="166"/>
      <c r="S1712" s="166"/>
      <c r="T1712" s="166"/>
      <c r="U1712" s="166"/>
      <c r="V1712" s="166"/>
    </row>
    <row r="1713" spans="17:22" ht="12">
      <c r="Q1713" s="166"/>
      <c r="R1713" s="166"/>
      <c r="S1713" s="166"/>
      <c r="T1713" s="166"/>
      <c r="U1713" s="166"/>
      <c r="V1713" s="166"/>
    </row>
    <row r="1714" spans="17:22" ht="12">
      <c r="Q1714" s="166"/>
      <c r="R1714" s="166"/>
      <c r="S1714" s="166"/>
      <c r="T1714" s="166"/>
      <c r="U1714" s="166"/>
      <c r="V1714" s="166"/>
    </row>
    <row r="1715" spans="17:22" ht="12">
      <c r="Q1715" s="166"/>
      <c r="R1715" s="166"/>
      <c r="S1715" s="166"/>
      <c r="T1715" s="166"/>
      <c r="U1715" s="166"/>
      <c r="V1715" s="166"/>
    </row>
    <row r="1716" spans="17:22" ht="12">
      <c r="Q1716" s="166"/>
      <c r="R1716" s="166"/>
      <c r="S1716" s="166"/>
      <c r="T1716" s="166"/>
      <c r="U1716" s="166"/>
      <c r="V1716" s="166"/>
    </row>
    <row r="1717" spans="17:22" ht="12">
      <c r="Q1717" s="166"/>
      <c r="R1717" s="166"/>
      <c r="S1717" s="166"/>
      <c r="T1717" s="166"/>
      <c r="U1717" s="166"/>
      <c r="V1717" s="166"/>
    </row>
    <row r="1718" spans="17:22" ht="12">
      <c r="Q1718" s="166"/>
      <c r="R1718" s="166"/>
      <c r="S1718" s="166"/>
      <c r="T1718" s="166"/>
      <c r="U1718" s="166"/>
      <c r="V1718" s="166"/>
    </row>
    <row r="1719" spans="17:22" ht="12">
      <c r="Q1719" s="166"/>
      <c r="R1719" s="166"/>
      <c r="S1719" s="166"/>
      <c r="T1719" s="166"/>
      <c r="U1719" s="166"/>
      <c r="V1719" s="166"/>
    </row>
    <row r="1720" spans="17:22" ht="12">
      <c r="Q1720" s="166"/>
      <c r="R1720" s="166"/>
      <c r="S1720" s="166"/>
      <c r="T1720" s="166"/>
      <c r="U1720" s="166"/>
      <c r="V1720" s="166"/>
    </row>
    <row r="1721" spans="17:22" ht="12">
      <c r="Q1721" s="166"/>
      <c r="R1721" s="166"/>
      <c r="S1721" s="166"/>
      <c r="T1721" s="166"/>
      <c r="U1721" s="166"/>
      <c r="V1721" s="166"/>
    </row>
    <row r="1722" spans="17:22" ht="12">
      <c r="Q1722" s="166"/>
      <c r="R1722" s="166"/>
      <c r="S1722" s="166"/>
      <c r="T1722" s="166"/>
      <c r="U1722" s="166"/>
      <c r="V1722" s="166"/>
    </row>
    <row r="1723" spans="17:22" ht="12">
      <c r="Q1723" s="166"/>
      <c r="R1723" s="166"/>
      <c r="S1723" s="166"/>
      <c r="T1723" s="166"/>
      <c r="U1723" s="166"/>
      <c r="V1723" s="166"/>
    </row>
    <row r="1724" spans="17:22" ht="12">
      <c r="Q1724" s="166"/>
      <c r="R1724" s="166"/>
      <c r="S1724" s="166"/>
      <c r="T1724" s="166"/>
      <c r="U1724" s="166"/>
      <c r="V1724" s="166"/>
    </row>
    <row r="1725" spans="17:22" ht="12">
      <c r="Q1725" s="166"/>
      <c r="R1725" s="166"/>
      <c r="S1725" s="166"/>
      <c r="T1725" s="166"/>
      <c r="U1725" s="166"/>
      <c r="V1725" s="166"/>
    </row>
    <row r="1726" spans="17:22" ht="12">
      <c r="Q1726" s="166"/>
      <c r="R1726" s="166"/>
      <c r="S1726" s="166"/>
      <c r="T1726" s="166"/>
      <c r="U1726" s="166"/>
      <c r="V1726" s="166"/>
    </row>
    <row r="1727" spans="17:22" ht="12">
      <c r="Q1727" s="166"/>
      <c r="R1727" s="166"/>
      <c r="S1727" s="166"/>
      <c r="T1727" s="166"/>
      <c r="U1727" s="166"/>
      <c r="V1727" s="166"/>
    </row>
    <row r="1728" spans="17:22" ht="12">
      <c r="Q1728" s="166"/>
      <c r="R1728" s="166"/>
      <c r="S1728" s="166"/>
      <c r="T1728" s="166"/>
      <c r="U1728" s="166"/>
      <c r="V1728" s="166"/>
    </row>
    <row r="1729" spans="17:22" ht="12">
      <c r="Q1729" s="166"/>
      <c r="R1729" s="166"/>
      <c r="S1729" s="166"/>
      <c r="T1729" s="166"/>
      <c r="U1729" s="166"/>
      <c r="V1729" s="166"/>
    </row>
    <row r="1730" spans="17:22" ht="12">
      <c r="Q1730" s="166"/>
      <c r="R1730" s="166"/>
      <c r="S1730" s="166"/>
      <c r="T1730" s="166"/>
      <c r="U1730" s="166"/>
      <c r="V1730" s="166"/>
    </row>
    <row r="1731" spans="17:22" ht="12">
      <c r="Q1731" s="166"/>
      <c r="R1731" s="166"/>
      <c r="S1731" s="166"/>
      <c r="T1731" s="166"/>
      <c r="U1731" s="166"/>
      <c r="V1731" s="166"/>
    </row>
    <row r="1732" spans="17:22" ht="12">
      <c r="Q1732" s="166"/>
      <c r="R1732" s="166"/>
      <c r="S1732" s="166"/>
      <c r="T1732" s="166"/>
      <c r="U1732" s="166"/>
      <c r="V1732" s="166"/>
    </row>
    <row r="1733" spans="17:22" ht="12">
      <c r="Q1733" s="166"/>
      <c r="R1733" s="166"/>
      <c r="S1733" s="166"/>
      <c r="T1733" s="166"/>
      <c r="U1733" s="166"/>
      <c r="V1733" s="166"/>
    </row>
    <row r="1734" spans="17:22" ht="12">
      <c r="Q1734" s="166"/>
      <c r="R1734" s="166"/>
      <c r="S1734" s="166"/>
      <c r="T1734" s="166"/>
      <c r="U1734" s="166"/>
      <c r="V1734" s="166"/>
    </row>
    <row r="1735" spans="17:22" ht="12">
      <c r="Q1735" s="166"/>
      <c r="R1735" s="166"/>
      <c r="S1735" s="166"/>
      <c r="T1735" s="166"/>
      <c r="U1735" s="166"/>
      <c r="V1735" s="166"/>
    </row>
    <row r="1736" spans="17:22" ht="12">
      <c r="Q1736" s="166"/>
      <c r="R1736" s="166"/>
      <c r="S1736" s="166"/>
      <c r="T1736" s="166"/>
      <c r="U1736" s="166"/>
      <c r="V1736" s="166"/>
    </row>
    <row r="1737" spans="17:22" ht="12">
      <c r="Q1737" s="166"/>
      <c r="R1737" s="166"/>
      <c r="S1737" s="166"/>
      <c r="T1737" s="166"/>
      <c r="U1737" s="166"/>
      <c r="V1737" s="166"/>
    </row>
    <row r="1738" spans="17:22" ht="12">
      <c r="Q1738" s="166"/>
      <c r="R1738" s="166"/>
      <c r="S1738" s="166"/>
      <c r="T1738" s="166"/>
      <c r="U1738" s="166"/>
      <c r="V1738" s="166"/>
    </row>
    <row r="1739" spans="17:22" ht="12">
      <c r="Q1739" s="166"/>
      <c r="R1739" s="166"/>
      <c r="S1739" s="166"/>
      <c r="T1739" s="166"/>
      <c r="U1739" s="166"/>
      <c r="V1739" s="166"/>
    </row>
    <row r="1740" spans="17:22" ht="12">
      <c r="Q1740" s="166"/>
      <c r="R1740" s="166"/>
      <c r="S1740" s="166"/>
      <c r="T1740" s="166"/>
      <c r="U1740" s="166"/>
      <c r="V1740" s="166"/>
    </row>
    <row r="1741" spans="17:22" ht="12">
      <c r="Q1741" s="166"/>
      <c r="R1741" s="166"/>
      <c r="S1741" s="166"/>
      <c r="T1741" s="166"/>
      <c r="U1741" s="166"/>
      <c r="V1741" s="166"/>
    </row>
    <row r="1742" spans="17:22" ht="12">
      <c r="Q1742" s="166"/>
      <c r="R1742" s="166"/>
      <c r="S1742" s="166"/>
      <c r="T1742" s="166"/>
      <c r="U1742" s="166"/>
      <c r="V1742" s="166"/>
    </row>
    <row r="1743" spans="17:22" ht="12">
      <c r="Q1743" s="166"/>
      <c r="R1743" s="166"/>
      <c r="S1743" s="166"/>
      <c r="T1743" s="166"/>
      <c r="U1743" s="166"/>
      <c r="V1743" s="166"/>
    </row>
    <row r="1744" spans="17:22" ht="12">
      <c r="Q1744" s="166"/>
      <c r="R1744" s="166"/>
      <c r="S1744" s="166"/>
      <c r="T1744" s="166"/>
      <c r="U1744" s="166"/>
      <c r="V1744" s="166"/>
    </row>
    <row r="1745" spans="17:22" ht="12">
      <c r="Q1745" s="166"/>
      <c r="R1745" s="166"/>
      <c r="S1745" s="166"/>
      <c r="T1745" s="166"/>
      <c r="U1745" s="166"/>
      <c r="V1745" s="166"/>
    </row>
    <row r="1746" spans="17:22" ht="12">
      <c r="Q1746" s="166"/>
      <c r="R1746" s="166"/>
      <c r="S1746" s="166"/>
      <c r="T1746" s="166"/>
      <c r="U1746" s="166"/>
      <c r="V1746" s="166"/>
    </row>
    <row r="1747" spans="17:22" ht="12">
      <c r="Q1747" s="166"/>
      <c r="R1747" s="166"/>
      <c r="S1747" s="166"/>
      <c r="T1747" s="166"/>
      <c r="U1747" s="166"/>
      <c r="V1747" s="166"/>
    </row>
    <row r="1748" spans="17:22" ht="12">
      <c r="Q1748" s="166"/>
      <c r="R1748" s="166"/>
      <c r="S1748" s="166"/>
      <c r="T1748" s="166"/>
      <c r="U1748" s="166"/>
      <c r="V1748" s="166"/>
    </row>
    <row r="1749" spans="17:22" ht="12">
      <c r="Q1749" s="166"/>
      <c r="R1749" s="166"/>
      <c r="S1749" s="166"/>
      <c r="T1749" s="166"/>
      <c r="U1749" s="166"/>
      <c r="V1749" s="166"/>
    </row>
    <row r="1750" spans="17:22" ht="12">
      <c r="Q1750" s="166"/>
      <c r="R1750" s="166"/>
      <c r="S1750" s="166"/>
      <c r="T1750" s="166"/>
      <c r="U1750" s="166"/>
      <c r="V1750" s="166"/>
    </row>
    <row r="1751" spans="17:22" ht="12">
      <c r="Q1751" s="166"/>
      <c r="R1751" s="166"/>
      <c r="S1751" s="166"/>
      <c r="T1751" s="166"/>
      <c r="U1751" s="166"/>
      <c r="V1751" s="166"/>
    </row>
    <row r="1752" spans="17:22" ht="12">
      <c r="Q1752" s="166"/>
      <c r="R1752" s="166"/>
      <c r="S1752" s="166"/>
      <c r="T1752" s="166"/>
      <c r="U1752" s="166"/>
      <c r="V1752" s="166"/>
    </row>
    <row r="1753" spans="17:22" ht="12">
      <c r="Q1753" s="166"/>
      <c r="R1753" s="166"/>
      <c r="S1753" s="166"/>
      <c r="T1753" s="166"/>
      <c r="U1753" s="166"/>
      <c r="V1753" s="166"/>
    </row>
    <row r="1754" spans="17:22" ht="12">
      <c r="Q1754" s="166"/>
      <c r="R1754" s="166"/>
      <c r="S1754" s="166"/>
      <c r="T1754" s="166"/>
      <c r="U1754" s="166"/>
      <c r="V1754" s="166"/>
    </row>
    <row r="1755" spans="17:22" ht="12">
      <c r="Q1755" s="166"/>
      <c r="R1755" s="166"/>
      <c r="S1755" s="166"/>
      <c r="T1755" s="166"/>
      <c r="U1755" s="166"/>
      <c r="V1755" s="166"/>
    </row>
    <row r="1756" spans="17:22" ht="12">
      <c r="Q1756" s="166"/>
      <c r="R1756" s="166"/>
      <c r="S1756" s="166"/>
      <c r="T1756" s="166"/>
      <c r="U1756" s="166"/>
      <c r="V1756" s="166"/>
    </row>
    <row r="1757" spans="17:22" ht="12">
      <c r="Q1757" s="166"/>
      <c r="R1757" s="166"/>
      <c r="S1757" s="166"/>
      <c r="T1757" s="166"/>
      <c r="U1757" s="166"/>
      <c r="V1757" s="166"/>
    </row>
    <row r="1758" spans="17:22" ht="12">
      <c r="Q1758" s="166"/>
      <c r="R1758" s="166"/>
      <c r="S1758" s="166"/>
      <c r="T1758" s="166"/>
      <c r="U1758" s="166"/>
      <c r="V1758" s="166"/>
    </row>
    <row r="1759" spans="17:22" ht="12">
      <c r="Q1759" s="166"/>
      <c r="R1759" s="166"/>
      <c r="S1759" s="166"/>
      <c r="T1759" s="166"/>
      <c r="U1759" s="166"/>
      <c r="V1759" s="166"/>
    </row>
    <row r="1760" spans="17:22" ht="12">
      <c r="Q1760" s="166"/>
      <c r="R1760" s="166"/>
      <c r="S1760" s="166"/>
      <c r="T1760" s="166"/>
      <c r="U1760" s="166"/>
      <c r="V1760" s="166"/>
    </row>
    <row r="1761" spans="17:22" ht="12">
      <c r="Q1761" s="166"/>
      <c r="R1761" s="166"/>
      <c r="S1761" s="166"/>
      <c r="T1761" s="166"/>
      <c r="U1761" s="166"/>
      <c r="V1761" s="166"/>
    </row>
    <row r="1762" spans="17:22" ht="12">
      <c r="Q1762" s="166"/>
      <c r="R1762" s="166"/>
      <c r="S1762" s="166"/>
      <c r="T1762" s="166"/>
      <c r="U1762" s="166"/>
      <c r="V1762" s="166"/>
    </row>
    <row r="1763" spans="17:22" ht="12">
      <c r="Q1763" s="166"/>
      <c r="R1763" s="166"/>
      <c r="S1763" s="166"/>
      <c r="T1763" s="166"/>
      <c r="U1763" s="166"/>
      <c r="V1763" s="166"/>
    </row>
    <row r="1764" spans="17:22" ht="12">
      <c r="Q1764" s="166"/>
      <c r="R1764" s="166"/>
      <c r="S1764" s="166"/>
      <c r="T1764" s="166"/>
      <c r="U1764" s="166"/>
      <c r="V1764" s="166"/>
    </row>
    <row r="1765" spans="17:22" ht="12">
      <c r="Q1765" s="166"/>
      <c r="R1765" s="166"/>
      <c r="S1765" s="166"/>
      <c r="T1765" s="166"/>
      <c r="U1765" s="166"/>
      <c r="V1765" s="166"/>
    </row>
    <row r="1766" spans="17:22" ht="12">
      <c r="Q1766" s="166"/>
      <c r="R1766" s="166"/>
      <c r="S1766" s="166"/>
      <c r="T1766" s="166"/>
      <c r="U1766" s="166"/>
      <c r="V1766" s="166"/>
    </row>
    <row r="1767" spans="17:22" ht="12">
      <c r="Q1767" s="166"/>
      <c r="R1767" s="166"/>
      <c r="S1767" s="166"/>
      <c r="T1767" s="166"/>
      <c r="U1767" s="166"/>
      <c r="V1767" s="166"/>
    </row>
    <row r="1768" spans="17:22" ht="12">
      <c r="Q1768" s="166"/>
      <c r="R1768" s="166"/>
      <c r="S1768" s="166"/>
      <c r="T1768" s="166"/>
      <c r="U1768" s="166"/>
      <c r="V1768" s="166"/>
    </row>
    <row r="1769" spans="17:22" ht="12">
      <c r="Q1769" s="166"/>
      <c r="R1769" s="166"/>
      <c r="S1769" s="166"/>
      <c r="T1769" s="166"/>
      <c r="U1769" s="166"/>
      <c r="V1769" s="166"/>
    </row>
    <row r="1770" spans="17:22" ht="12">
      <c r="Q1770" s="166"/>
      <c r="R1770" s="166"/>
      <c r="S1770" s="166"/>
      <c r="T1770" s="166"/>
      <c r="U1770" s="166"/>
      <c r="V1770" s="166"/>
    </row>
    <row r="1771" spans="17:22" ht="12">
      <c r="Q1771" s="166"/>
      <c r="R1771" s="166"/>
      <c r="S1771" s="166"/>
      <c r="T1771" s="166"/>
      <c r="U1771" s="166"/>
      <c r="V1771" s="166"/>
    </row>
    <row r="1772" spans="17:22" ht="12">
      <c r="Q1772" s="166"/>
      <c r="R1772" s="166"/>
      <c r="S1772" s="166"/>
      <c r="T1772" s="166"/>
      <c r="U1772" s="166"/>
      <c r="V1772" s="166"/>
    </row>
    <row r="1773" spans="17:22" ht="12">
      <c r="Q1773" s="166"/>
      <c r="R1773" s="166"/>
      <c r="S1773" s="166"/>
      <c r="T1773" s="166"/>
      <c r="U1773" s="166"/>
      <c r="V1773" s="166"/>
    </row>
    <row r="1774" spans="17:22" ht="12">
      <c r="Q1774" s="166"/>
      <c r="R1774" s="166"/>
      <c r="S1774" s="166"/>
      <c r="T1774" s="166"/>
      <c r="U1774" s="166"/>
      <c r="V1774" s="166"/>
    </row>
    <row r="1775" spans="17:22" ht="12">
      <c r="Q1775" s="166"/>
      <c r="R1775" s="166"/>
      <c r="S1775" s="166"/>
      <c r="T1775" s="166"/>
      <c r="U1775" s="166"/>
      <c r="V1775" s="166"/>
    </row>
    <row r="1776" spans="17:22" ht="12">
      <c r="Q1776" s="166"/>
      <c r="R1776" s="166"/>
      <c r="S1776" s="166"/>
      <c r="T1776" s="166"/>
      <c r="U1776" s="166"/>
      <c r="V1776" s="166"/>
    </row>
    <row r="1777" spans="17:22" ht="12">
      <c r="Q1777" s="166"/>
      <c r="R1777" s="166"/>
      <c r="S1777" s="166"/>
      <c r="T1777" s="166"/>
      <c r="U1777" s="166"/>
      <c r="V1777" s="166"/>
    </row>
    <row r="1778" spans="17:22" ht="12">
      <c r="Q1778" s="166"/>
      <c r="R1778" s="166"/>
      <c r="S1778" s="166"/>
      <c r="T1778" s="166"/>
      <c r="U1778" s="166"/>
      <c r="V1778" s="166"/>
    </row>
    <row r="1779" spans="17:22" ht="12">
      <c r="Q1779" s="166"/>
      <c r="R1779" s="166"/>
      <c r="S1779" s="166"/>
      <c r="T1779" s="166"/>
      <c r="U1779" s="166"/>
      <c r="V1779" s="166"/>
    </row>
    <row r="1780" spans="17:22" ht="12">
      <c r="Q1780" s="166"/>
      <c r="R1780" s="166"/>
      <c r="S1780" s="166"/>
      <c r="T1780" s="166"/>
      <c r="U1780" s="166"/>
      <c r="V1780" s="166"/>
    </row>
    <row r="1781" spans="17:22" ht="12">
      <c r="Q1781" s="166"/>
      <c r="R1781" s="166"/>
      <c r="S1781" s="166"/>
      <c r="T1781" s="166"/>
      <c r="U1781" s="166"/>
      <c r="V1781" s="166"/>
    </row>
    <row r="1782" spans="17:22" ht="12">
      <c r="Q1782" s="166"/>
      <c r="R1782" s="166"/>
      <c r="S1782" s="166"/>
      <c r="T1782" s="166"/>
      <c r="U1782" s="166"/>
      <c r="V1782" s="166"/>
    </row>
    <row r="1783" spans="17:22" ht="12">
      <c r="Q1783" s="166"/>
      <c r="R1783" s="166"/>
      <c r="S1783" s="166"/>
      <c r="T1783" s="166"/>
      <c r="U1783" s="166"/>
      <c r="V1783" s="166"/>
    </row>
    <row r="1784" spans="17:22" ht="12">
      <c r="Q1784" s="166"/>
      <c r="R1784" s="166"/>
      <c r="S1784" s="166"/>
      <c r="T1784" s="166"/>
      <c r="U1784" s="166"/>
      <c r="V1784" s="166"/>
    </row>
    <row r="1785" spans="17:22" ht="12">
      <c r="Q1785" s="166"/>
      <c r="R1785" s="166"/>
      <c r="S1785" s="166"/>
      <c r="T1785" s="166"/>
      <c r="U1785" s="166"/>
      <c r="V1785" s="166"/>
    </row>
    <row r="1786" spans="17:22" ht="12">
      <c r="Q1786" s="166"/>
      <c r="R1786" s="166"/>
      <c r="S1786" s="166"/>
      <c r="T1786" s="166"/>
      <c r="U1786" s="166"/>
      <c r="V1786" s="166"/>
    </row>
    <row r="1787" spans="17:22" ht="12">
      <c r="Q1787" s="166"/>
      <c r="R1787" s="166"/>
      <c r="S1787" s="166"/>
      <c r="T1787" s="166"/>
      <c r="U1787" s="166"/>
      <c r="V1787" s="166"/>
    </row>
    <row r="1788" spans="17:22" ht="12">
      <c r="Q1788" s="166"/>
      <c r="R1788" s="166"/>
      <c r="S1788" s="166"/>
      <c r="T1788" s="166"/>
      <c r="U1788" s="166"/>
      <c r="V1788" s="166"/>
    </row>
    <row r="1789" spans="17:22" ht="12">
      <c r="Q1789" s="166"/>
      <c r="R1789" s="166"/>
      <c r="S1789" s="166"/>
      <c r="T1789" s="166"/>
      <c r="U1789" s="166"/>
      <c r="V1789" s="166"/>
    </row>
    <row r="1790" spans="17:22" ht="12">
      <c r="Q1790" s="166"/>
      <c r="R1790" s="166"/>
      <c r="S1790" s="166"/>
      <c r="T1790" s="166"/>
      <c r="U1790" s="166"/>
      <c r="V1790" s="166"/>
    </row>
    <row r="1791" spans="17:22" ht="12">
      <c r="Q1791" s="166"/>
      <c r="R1791" s="166"/>
      <c r="S1791" s="166"/>
      <c r="T1791" s="166"/>
      <c r="U1791" s="166"/>
      <c r="V1791" s="166"/>
    </row>
    <row r="1792" spans="17:22" ht="12">
      <c r="Q1792" s="166"/>
      <c r="R1792" s="166"/>
      <c r="S1792" s="166"/>
      <c r="T1792" s="166"/>
      <c r="U1792" s="166"/>
      <c r="V1792" s="166"/>
    </row>
    <row r="1793" spans="17:22" ht="12">
      <c r="Q1793" s="166"/>
      <c r="R1793" s="166"/>
      <c r="S1793" s="166"/>
      <c r="T1793" s="166"/>
      <c r="U1793" s="166"/>
      <c r="V1793" s="166"/>
    </row>
    <row r="1794" spans="17:22" ht="12">
      <c r="Q1794" s="166"/>
      <c r="R1794" s="166"/>
      <c r="S1794" s="166"/>
      <c r="T1794" s="166"/>
      <c r="U1794" s="166"/>
      <c r="V1794" s="166"/>
    </row>
    <row r="1795" spans="17:22" ht="12">
      <c r="Q1795" s="166"/>
      <c r="R1795" s="166"/>
      <c r="S1795" s="166"/>
      <c r="T1795" s="166"/>
      <c r="U1795" s="166"/>
      <c r="V1795" s="166"/>
    </row>
    <row r="1796" spans="17:22" ht="12">
      <c r="Q1796" s="166"/>
      <c r="R1796" s="166"/>
      <c r="S1796" s="166"/>
      <c r="T1796" s="166"/>
      <c r="U1796" s="166"/>
      <c r="V1796" s="166"/>
    </row>
    <row r="1797" spans="17:22" ht="12">
      <c r="Q1797" s="166"/>
      <c r="R1797" s="166"/>
      <c r="S1797" s="166"/>
      <c r="T1797" s="166"/>
      <c r="U1797" s="166"/>
      <c r="V1797" s="166"/>
    </row>
    <row r="1798" spans="17:22" ht="12">
      <c r="Q1798" s="166"/>
      <c r="R1798" s="166"/>
      <c r="S1798" s="166"/>
      <c r="T1798" s="166"/>
      <c r="U1798" s="166"/>
      <c r="V1798" s="166"/>
    </row>
    <row r="1799" spans="17:22" ht="12">
      <c r="Q1799" s="166"/>
      <c r="R1799" s="166"/>
      <c r="S1799" s="166"/>
      <c r="T1799" s="166"/>
      <c r="U1799" s="166"/>
      <c r="V1799" s="166"/>
    </row>
    <row r="1800" spans="17:22" ht="12">
      <c r="Q1800" s="166"/>
      <c r="R1800" s="166"/>
      <c r="S1800" s="166"/>
      <c r="T1800" s="166"/>
      <c r="U1800" s="166"/>
      <c r="V1800" s="166"/>
    </row>
    <row r="1801" spans="17:22" ht="12">
      <c r="Q1801" s="166"/>
      <c r="R1801" s="166"/>
      <c r="S1801" s="166"/>
      <c r="T1801" s="166"/>
      <c r="U1801" s="166"/>
      <c r="V1801" s="166"/>
    </row>
    <row r="1802" spans="17:22" ht="12">
      <c r="Q1802" s="166"/>
      <c r="R1802" s="166"/>
      <c r="S1802" s="166"/>
      <c r="T1802" s="166"/>
      <c r="U1802" s="166"/>
      <c r="V1802" s="166"/>
    </row>
    <row r="1803" spans="17:22" ht="12">
      <c r="Q1803" s="166"/>
      <c r="R1803" s="166"/>
      <c r="S1803" s="166"/>
      <c r="T1803" s="166"/>
      <c r="U1803" s="166"/>
      <c r="V1803" s="166"/>
    </row>
    <row r="1804" spans="17:22" ht="12">
      <c r="Q1804" s="166"/>
      <c r="R1804" s="166"/>
      <c r="S1804" s="166"/>
      <c r="T1804" s="166"/>
      <c r="U1804" s="166"/>
      <c r="V1804" s="166"/>
    </row>
    <row r="1805" spans="17:22" ht="12">
      <c r="Q1805" s="166"/>
      <c r="R1805" s="166"/>
      <c r="S1805" s="166"/>
      <c r="T1805" s="166"/>
      <c r="U1805" s="166"/>
      <c r="V1805" s="166"/>
    </row>
    <row r="1806" spans="17:22" ht="12">
      <c r="Q1806" s="166"/>
      <c r="R1806" s="166"/>
      <c r="S1806" s="166"/>
      <c r="T1806" s="166"/>
      <c r="U1806" s="166"/>
      <c r="V1806" s="166"/>
    </row>
    <row r="1807" spans="17:22" ht="12">
      <c r="Q1807" s="166"/>
      <c r="R1807" s="166"/>
      <c r="S1807" s="166"/>
      <c r="T1807" s="166"/>
      <c r="U1807" s="166"/>
      <c r="V1807" s="166"/>
    </row>
    <row r="1808" spans="17:22" ht="12">
      <c r="Q1808" s="166"/>
      <c r="R1808" s="166"/>
      <c r="S1808" s="166"/>
      <c r="T1808" s="166"/>
      <c r="U1808" s="166"/>
      <c r="V1808" s="166"/>
    </row>
    <row r="1809" spans="17:22" ht="12">
      <c r="Q1809" s="166"/>
      <c r="R1809" s="166"/>
      <c r="S1809" s="166"/>
      <c r="T1809" s="166"/>
      <c r="U1809" s="166"/>
      <c r="V1809" s="166"/>
    </row>
    <row r="1810" spans="17:22" ht="12">
      <c r="Q1810" s="166"/>
      <c r="R1810" s="166"/>
      <c r="S1810" s="166"/>
      <c r="T1810" s="166"/>
      <c r="U1810" s="166"/>
      <c r="V1810" s="166"/>
    </row>
    <row r="1811" spans="17:22" ht="12">
      <c r="Q1811" s="166"/>
      <c r="R1811" s="166"/>
      <c r="S1811" s="166"/>
      <c r="T1811" s="166"/>
      <c r="U1811" s="166"/>
      <c r="V1811" s="166"/>
    </row>
    <row r="1812" spans="17:22" ht="12">
      <c r="Q1812" s="166"/>
      <c r="R1812" s="166"/>
      <c r="S1812" s="166"/>
      <c r="T1812" s="166"/>
      <c r="U1812" s="166"/>
      <c r="V1812" s="166"/>
    </row>
    <row r="1813" spans="17:22" ht="12">
      <c r="Q1813" s="166"/>
      <c r="R1813" s="166"/>
      <c r="S1813" s="166"/>
      <c r="T1813" s="166"/>
      <c r="U1813" s="166"/>
      <c r="V1813" s="166"/>
    </row>
    <row r="1814" spans="17:22" ht="12">
      <c r="Q1814" s="166"/>
      <c r="R1814" s="166"/>
      <c r="S1814" s="166"/>
      <c r="T1814" s="166"/>
      <c r="U1814" s="166"/>
      <c r="V1814" s="166"/>
    </row>
    <row r="1815" spans="17:22" ht="12">
      <c r="Q1815" s="166"/>
      <c r="R1815" s="166"/>
      <c r="S1815" s="166"/>
      <c r="T1815" s="166"/>
      <c r="U1815" s="166"/>
      <c r="V1815" s="166"/>
    </row>
    <row r="1816" spans="17:22" ht="12">
      <c r="Q1816" s="166"/>
      <c r="R1816" s="166"/>
      <c r="S1816" s="166"/>
      <c r="T1816" s="166"/>
      <c r="U1816" s="166"/>
      <c r="V1816" s="166"/>
    </row>
    <row r="1817" spans="17:22" ht="12">
      <c r="Q1817" s="166"/>
      <c r="R1817" s="166"/>
      <c r="S1817" s="166"/>
      <c r="T1817" s="166"/>
      <c r="U1817" s="166"/>
      <c r="V1817" s="166"/>
    </row>
    <row r="1818" spans="17:22" ht="12">
      <c r="Q1818" s="166"/>
      <c r="R1818" s="166"/>
      <c r="S1818" s="166"/>
      <c r="T1818" s="166"/>
      <c r="U1818" s="166"/>
      <c r="V1818" s="166"/>
    </row>
    <row r="1819" spans="17:22" ht="12">
      <c r="Q1819" s="166"/>
      <c r="R1819" s="166"/>
      <c r="S1819" s="166"/>
      <c r="T1819" s="166"/>
      <c r="U1819" s="166"/>
      <c r="V1819" s="166"/>
    </row>
    <row r="1820" spans="17:22" ht="12">
      <c r="Q1820" s="166"/>
      <c r="R1820" s="166"/>
      <c r="S1820" s="166"/>
      <c r="T1820" s="166"/>
      <c r="U1820" s="166"/>
      <c r="V1820" s="166"/>
    </row>
    <row r="1821" spans="17:22" ht="12">
      <c r="Q1821" s="166"/>
      <c r="R1821" s="166"/>
      <c r="S1821" s="166"/>
      <c r="T1821" s="166"/>
      <c r="U1821" s="166"/>
      <c r="V1821" s="166"/>
    </row>
    <row r="1822" spans="17:22" ht="12">
      <c r="Q1822" s="166"/>
      <c r="R1822" s="166"/>
      <c r="S1822" s="166"/>
      <c r="T1822" s="166"/>
      <c r="U1822" s="166"/>
      <c r="V1822" s="166"/>
    </row>
    <row r="1823" spans="17:22" ht="12">
      <c r="Q1823" s="166"/>
      <c r="R1823" s="166"/>
      <c r="S1823" s="166"/>
      <c r="T1823" s="166"/>
      <c r="U1823" s="166"/>
      <c r="V1823" s="166"/>
    </row>
    <row r="1824" spans="17:22" ht="12">
      <c r="Q1824" s="166"/>
      <c r="R1824" s="166"/>
      <c r="S1824" s="166"/>
      <c r="T1824" s="166"/>
      <c r="U1824" s="166"/>
      <c r="V1824" s="166"/>
    </row>
    <row r="1825" spans="17:22" ht="12">
      <c r="Q1825" s="166"/>
      <c r="R1825" s="166"/>
      <c r="S1825" s="166"/>
      <c r="T1825" s="166"/>
      <c r="U1825" s="166"/>
      <c r="V1825" s="166"/>
    </row>
    <row r="1826" spans="17:22" ht="12">
      <c r="Q1826" s="166"/>
      <c r="R1826" s="166"/>
      <c r="S1826" s="166"/>
      <c r="T1826" s="166"/>
      <c r="U1826" s="166"/>
      <c r="V1826" s="166"/>
    </row>
    <row r="1827" spans="17:22" ht="12">
      <c r="Q1827" s="166"/>
      <c r="R1827" s="166"/>
      <c r="S1827" s="166"/>
      <c r="T1827" s="166"/>
      <c r="U1827" s="166"/>
      <c r="V1827" s="166"/>
    </row>
    <row r="1828" spans="17:22" ht="12">
      <c r="Q1828" s="166"/>
      <c r="R1828" s="166"/>
      <c r="S1828" s="166"/>
      <c r="T1828" s="166"/>
      <c r="U1828" s="166"/>
      <c r="V1828" s="166"/>
    </row>
    <row r="1829" spans="17:22" ht="12">
      <c r="Q1829" s="166"/>
      <c r="R1829" s="166"/>
      <c r="S1829" s="166"/>
      <c r="T1829" s="166"/>
      <c r="U1829" s="166"/>
      <c r="V1829" s="166"/>
    </row>
    <row r="1830" spans="17:22" ht="12">
      <c r="Q1830" s="166"/>
      <c r="R1830" s="166"/>
      <c r="S1830" s="166"/>
      <c r="T1830" s="166"/>
      <c r="U1830" s="166"/>
      <c r="V1830" s="166"/>
    </row>
    <row r="1831" spans="17:22" ht="12">
      <c r="Q1831" s="166"/>
      <c r="R1831" s="166"/>
      <c r="S1831" s="166"/>
      <c r="T1831" s="166"/>
      <c r="U1831" s="166"/>
      <c r="V1831" s="166"/>
    </row>
    <row r="1832" spans="17:22" ht="12">
      <c r="Q1832" s="166"/>
      <c r="R1832" s="166"/>
      <c r="S1832" s="166"/>
      <c r="T1832" s="166"/>
      <c r="U1832" s="166"/>
      <c r="V1832" s="166"/>
    </row>
    <row r="1833" spans="17:22" ht="12">
      <c r="Q1833" s="166"/>
      <c r="R1833" s="166"/>
      <c r="S1833" s="166"/>
      <c r="T1833" s="166"/>
      <c r="U1833" s="166"/>
      <c r="V1833" s="166"/>
    </row>
    <row r="1834" spans="17:22" ht="12">
      <c r="Q1834" s="166"/>
      <c r="R1834" s="166"/>
      <c r="S1834" s="166"/>
      <c r="T1834" s="166"/>
      <c r="U1834" s="166"/>
      <c r="V1834" s="166"/>
    </row>
    <row r="1835" spans="17:22" ht="12">
      <c r="Q1835" s="166"/>
      <c r="R1835" s="166"/>
      <c r="S1835" s="166"/>
      <c r="T1835" s="166"/>
      <c r="U1835" s="166"/>
      <c r="V1835" s="166"/>
    </row>
    <row r="1836" spans="17:22" ht="12">
      <c r="Q1836" s="166"/>
      <c r="R1836" s="166"/>
      <c r="S1836" s="166"/>
      <c r="T1836" s="166"/>
      <c r="U1836" s="166"/>
      <c r="V1836" s="166"/>
    </row>
    <row r="1837" spans="17:22" ht="12">
      <c r="Q1837" s="166"/>
      <c r="R1837" s="166"/>
      <c r="S1837" s="166"/>
      <c r="T1837" s="166"/>
      <c r="U1837" s="166"/>
      <c r="V1837" s="166"/>
    </row>
    <row r="1838" spans="17:22" ht="12">
      <c r="Q1838" s="166"/>
      <c r="R1838" s="166"/>
      <c r="S1838" s="166"/>
      <c r="T1838" s="166"/>
      <c r="U1838" s="166"/>
      <c r="V1838" s="166"/>
    </row>
    <row r="1839" spans="17:22" ht="12">
      <c r="Q1839" s="166"/>
      <c r="R1839" s="166"/>
      <c r="S1839" s="166"/>
      <c r="T1839" s="166"/>
      <c r="U1839" s="166"/>
      <c r="V1839" s="166"/>
    </row>
    <row r="1840" spans="17:22" ht="12">
      <c r="Q1840" s="166"/>
      <c r="R1840" s="166"/>
      <c r="S1840" s="166"/>
      <c r="T1840" s="166"/>
      <c r="U1840" s="166"/>
      <c r="V1840" s="166"/>
    </row>
    <row r="1841" spans="17:22" ht="12">
      <c r="Q1841" s="166"/>
      <c r="R1841" s="166"/>
      <c r="S1841" s="166"/>
      <c r="T1841" s="166"/>
      <c r="U1841" s="166"/>
      <c r="V1841" s="166"/>
    </row>
    <row r="1842" spans="17:22" ht="12">
      <c r="Q1842" s="166"/>
      <c r="R1842" s="166"/>
      <c r="S1842" s="166"/>
      <c r="T1842" s="166"/>
      <c r="U1842" s="166"/>
      <c r="V1842" s="166"/>
    </row>
    <row r="1843" spans="17:22" ht="12">
      <c r="Q1843" s="166"/>
      <c r="R1843" s="166"/>
      <c r="S1843" s="166"/>
      <c r="T1843" s="166"/>
      <c r="U1843" s="166"/>
      <c r="V1843" s="166"/>
    </row>
    <row r="1844" spans="17:22" ht="12">
      <c r="Q1844" s="166"/>
      <c r="R1844" s="166"/>
      <c r="S1844" s="166"/>
      <c r="T1844" s="166"/>
      <c r="U1844" s="166"/>
      <c r="V1844" s="166"/>
    </row>
    <row r="1845" spans="17:22" ht="12">
      <c r="Q1845" s="166"/>
      <c r="R1845" s="166"/>
      <c r="S1845" s="166"/>
      <c r="T1845" s="166"/>
      <c r="U1845" s="166"/>
      <c r="V1845" s="166"/>
    </row>
    <row r="1846" spans="17:22" ht="12">
      <c r="Q1846" s="166"/>
      <c r="R1846" s="166"/>
      <c r="S1846" s="166"/>
      <c r="T1846" s="166"/>
      <c r="U1846" s="166"/>
      <c r="V1846" s="166"/>
    </row>
    <row r="1847" spans="17:22" ht="12">
      <c r="Q1847" s="166"/>
      <c r="R1847" s="166"/>
      <c r="S1847" s="166"/>
      <c r="T1847" s="166"/>
      <c r="U1847" s="166"/>
      <c r="V1847" s="166"/>
    </row>
    <row r="1848" spans="17:22" ht="12">
      <c r="Q1848" s="166"/>
      <c r="R1848" s="166"/>
      <c r="S1848" s="166"/>
      <c r="T1848" s="166"/>
      <c r="U1848" s="166"/>
      <c r="V1848" s="166"/>
    </row>
    <row r="1849" spans="17:22" ht="12">
      <c r="Q1849" s="166"/>
      <c r="R1849" s="166"/>
      <c r="S1849" s="166"/>
      <c r="T1849" s="166"/>
      <c r="U1849" s="166"/>
      <c r="V1849" s="166"/>
    </row>
    <row r="1850" spans="17:22" ht="12">
      <c r="Q1850" s="166"/>
      <c r="R1850" s="166"/>
      <c r="S1850" s="166"/>
      <c r="T1850" s="166"/>
      <c r="U1850" s="166"/>
      <c r="V1850" s="166"/>
    </row>
    <row r="1851" spans="17:22" ht="12">
      <c r="Q1851" s="166"/>
      <c r="R1851" s="166"/>
      <c r="S1851" s="166"/>
      <c r="T1851" s="166"/>
      <c r="U1851" s="166"/>
      <c r="V1851" s="166"/>
    </row>
    <row r="1852" spans="17:22" ht="12">
      <c r="Q1852" s="166"/>
      <c r="R1852" s="166"/>
      <c r="S1852" s="166"/>
      <c r="T1852" s="166"/>
      <c r="U1852" s="166"/>
      <c r="V1852" s="166"/>
    </row>
    <row r="1853" spans="17:22" ht="12">
      <c r="Q1853" s="166"/>
      <c r="R1853" s="166"/>
      <c r="S1853" s="166"/>
      <c r="T1853" s="166"/>
      <c r="U1853" s="166"/>
      <c r="V1853" s="166"/>
    </row>
    <row r="1854" spans="17:22" ht="12">
      <c r="Q1854" s="166"/>
      <c r="R1854" s="166"/>
      <c r="S1854" s="166"/>
      <c r="T1854" s="166"/>
      <c r="U1854" s="166"/>
      <c r="V1854" s="166"/>
    </row>
    <row r="1855" spans="17:22" ht="12">
      <c r="Q1855" s="166"/>
      <c r="R1855" s="166"/>
      <c r="S1855" s="166"/>
      <c r="T1855" s="166"/>
      <c r="U1855" s="166"/>
      <c r="V1855" s="166"/>
    </row>
    <row r="1856" spans="17:22" ht="12">
      <c r="Q1856" s="166"/>
      <c r="R1856" s="166"/>
      <c r="S1856" s="166"/>
      <c r="T1856" s="166"/>
      <c r="U1856" s="166"/>
      <c r="V1856" s="166"/>
    </row>
    <row r="1857" spans="17:22" ht="12">
      <c r="Q1857" s="166"/>
      <c r="R1857" s="166"/>
      <c r="S1857" s="166"/>
      <c r="T1857" s="166"/>
      <c r="U1857" s="166"/>
      <c r="V1857" s="166"/>
    </row>
    <row r="1858" spans="17:22" ht="12">
      <c r="Q1858" s="166"/>
      <c r="R1858" s="166"/>
      <c r="S1858" s="166"/>
      <c r="T1858" s="166"/>
      <c r="U1858" s="166"/>
      <c r="V1858" s="166"/>
    </row>
    <row r="1859" spans="17:22" ht="12">
      <c r="Q1859" s="166"/>
      <c r="R1859" s="166"/>
      <c r="S1859" s="166"/>
      <c r="T1859" s="166"/>
      <c r="U1859" s="166"/>
      <c r="V1859" s="166"/>
    </row>
    <row r="1860" spans="17:22" ht="12">
      <c r="Q1860" s="166"/>
      <c r="R1860" s="166"/>
      <c r="S1860" s="166"/>
      <c r="T1860" s="166"/>
      <c r="U1860" s="166"/>
      <c r="V1860" s="166"/>
    </row>
    <row r="1861" spans="17:22" ht="12">
      <c r="Q1861" s="166"/>
      <c r="R1861" s="166"/>
      <c r="S1861" s="166"/>
      <c r="T1861" s="166"/>
      <c r="U1861" s="166"/>
      <c r="V1861" s="166"/>
    </row>
    <row r="1862" spans="17:22" ht="12">
      <c r="Q1862" s="166"/>
      <c r="R1862" s="166"/>
      <c r="S1862" s="166"/>
      <c r="T1862" s="166"/>
      <c r="U1862" s="166"/>
      <c r="V1862" s="166"/>
    </row>
    <row r="1863" spans="17:22" ht="12">
      <c r="Q1863" s="166"/>
      <c r="R1863" s="166"/>
      <c r="S1863" s="166"/>
      <c r="T1863" s="166"/>
      <c r="U1863" s="166"/>
      <c r="V1863" s="166"/>
    </row>
    <row r="1864" spans="17:22" ht="12">
      <c r="Q1864" s="166"/>
      <c r="R1864" s="166"/>
      <c r="S1864" s="166"/>
      <c r="T1864" s="166"/>
      <c r="U1864" s="166"/>
      <c r="V1864" s="166"/>
    </row>
    <row r="1865" spans="17:22" ht="12">
      <c r="Q1865" s="166"/>
      <c r="R1865" s="166"/>
      <c r="S1865" s="166"/>
      <c r="T1865" s="166"/>
      <c r="U1865" s="166"/>
      <c r="V1865" s="166"/>
    </row>
    <row r="1866" spans="17:22" ht="12">
      <c r="Q1866" s="166"/>
      <c r="R1866" s="166"/>
      <c r="S1866" s="166"/>
      <c r="T1866" s="166"/>
      <c r="U1866" s="166"/>
      <c r="V1866" s="166"/>
    </row>
    <row r="1867" spans="17:22" ht="12">
      <c r="Q1867" s="166"/>
      <c r="R1867" s="166"/>
      <c r="S1867" s="166"/>
      <c r="T1867" s="166"/>
      <c r="U1867" s="166"/>
      <c r="V1867" s="166"/>
    </row>
    <row r="1868" spans="17:22" ht="12">
      <c r="Q1868" s="166"/>
      <c r="R1868" s="166"/>
      <c r="S1868" s="166"/>
      <c r="T1868" s="166"/>
      <c r="U1868" s="166"/>
      <c r="V1868" s="166"/>
    </row>
    <row r="1869" spans="17:22" ht="12">
      <c r="Q1869" s="166"/>
      <c r="R1869" s="166"/>
      <c r="S1869" s="166"/>
      <c r="T1869" s="166"/>
      <c r="U1869" s="166"/>
      <c r="V1869" s="166"/>
    </row>
    <row r="1870" spans="17:22" ht="12">
      <c r="Q1870" s="166"/>
      <c r="R1870" s="166"/>
      <c r="S1870" s="166"/>
      <c r="T1870" s="166"/>
      <c r="U1870" s="166"/>
      <c r="V1870" s="166"/>
    </row>
    <row r="1871" spans="17:22" ht="12">
      <c r="Q1871" s="166"/>
      <c r="R1871" s="166"/>
      <c r="S1871" s="166"/>
      <c r="T1871" s="166"/>
      <c r="U1871" s="166"/>
      <c r="V1871" s="166"/>
    </row>
    <row r="1872" spans="17:22" ht="12">
      <c r="Q1872" s="166"/>
      <c r="R1872" s="166"/>
      <c r="S1872" s="166"/>
      <c r="T1872" s="166"/>
      <c r="U1872" s="166"/>
      <c r="V1872" s="166"/>
    </row>
    <row r="1873" spans="17:22" ht="12">
      <c r="Q1873" s="166"/>
      <c r="R1873" s="166"/>
      <c r="S1873" s="166"/>
      <c r="T1873" s="166"/>
      <c r="U1873" s="166"/>
      <c r="V1873" s="166"/>
    </row>
    <row r="1874" spans="17:22" ht="12">
      <c r="Q1874" s="166"/>
      <c r="R1874" s="166"/>
      <c r="S1874" s="166"/>
      <c r="T1874" s="166"/>
      <c r="U1874" s="166"/>
      <c r="V1874" s="166"/>
    </row>
    <row r="1875" spans="17:22" ht="12">
      <c r="Q1875" s="166"/>
      <c r="R1875" s="166"/>
      <c r="S1875" s="166"/>
      <c r="T1875" s="166"/>
      <c r="U1875" s="166"/>
      <c r="V1875" s="166"/>
    </row>
    <row r="1876" spans="17:22" ht="12">
      <c r="Q1876" s="166"/>
      <c r="R1876" s="166"/>
      <c r="S1876" s="166"/>
      <c r="T1876" s="166"/>
      <c r="U1876" s="166"/>
      <c r="V1876" s="166"/>
    </row>
    <row r="1877" spans="17:22" ht="12">
      <c r="Q1877" s="166"/>
      <c r="R1877" s="166"/>
      <c r="S1877" s="166"/>
      <c r="T1877" s="166"/>
      <c r="U1877" s="166"/>
      <c r="V1877" s="166"/>
    </row>
    <row r="1878" spans="17:22" ht="12">
      <c r="Q1878" s="166"/>
      <c r="R1878" s="166"/>
      <c r="S1878" s="166"/>
      <c r="T1878" s="166"/>
      <c r="U1878" s="166"/>
      <c r="V1878" s="166"/>
    </row>
    <row r="1879" spans="17:22" ht="12">
      <c r="Q1879" s="166"/>
      <c r="R1879" s="166"/>
      <c r="S1879" s="166"/>
      <c r="T1879" s="166"/>
      <c r="U1879" s="166"/>
      <c r="V1879" s="166"/>
    </row>
    <row r="1880" spans="17:22" ht="12">
      <c r="Q1880" s="166"/>
      <c r="R1880" s="166"/>
      <c r="S1880" s="166"/>
      <c r="T1880" s="166"/>
      <c r="U1880" s="166"/>
      <c r="V1880" s="166"/>
    </row>
    <row r="1881" spans="17:22" ht="12">
      <c r="Q1881" s="166"/>
      <c r="R1881" s="166"/>
      <c r="S1881" s="166"/>
      <c r="T1881" s="166"/>
      <c r="U1881" s="166"/>
      <c r="V1881" s="166"/>
    </row>
    <row r="1882" spans="17:22" ht="12">
      <c r="Q1882" s="166"/>
      <c r="R1882" s="166"/>
      <c r="S1882" s="166"/>
      <c r="T1882" s="166"/>
      <c r="U1882" s="166"/>
      <c r="V1882" s="166"/>
    </row>
    <row r="1883" spans="17:22" ht="12">
      <c r="Q1883" s="166"/>
      <c r="R1883" s="166"/>
      <c r="S1883" s="166"/>
      <c r="T1883" s="166"/>
      <c r="U1883" s="166"/>
      <c r="V1883" s="166"/>
    </row>
    <row r="1884" spans="17:22" ht="12">
      <c r="Q1884" s="166"/>
      <c r="R1884" s="166"/>
      <c r="S1884" s="166"/>
      <c r="T1884" s="166"/>
      <c r="U1884" s="166"/>
      <c r="V1884" s="166"/>
    </row>
    <row r="1885" spans="17:22" ht="12">
      <c r="Q1885" s="166"/>
      <c r="R1885" s="166"/>
      <c r="S1885" s="166"/>
      <c r="T1885" s="166"/>
      <c r="U1885" s="166"/>
      <c r="V1885" s="166"/>
    </row>
    <row r="1886" spans="17:22" ht="12">
      <c r="Q1886" s="166"/>
      <c r="R1886" s="166"/>
      <c r="S1886" s="166"/>
      <c r="T1886" s="166"/>
      <c r="U1886" s="166"/>
      <c r="V1886" s="166"/>
    </row>
    <row r="1887" spans="17:22" ht="12">
      <c r="Q1887" s="166"/>
      <c r="R1887" s="166"/>
      <c r="S1887" s="166"/>
      <c r="T1887" s="166"/>
      <c r="U1887" s="166"/>
      <c r="V1887" s="166"/>
    </row>
    <row r="1888" spans="17:22" ht="12">
      <c r="Q1888" s="166"/>
      <c r="R1888" s="166"/>
      <c r="S1888" s="166"/>
      <c r="T1888" s="166"/>
      <c r="U1888" s="166"/>
      <c r="V1888" s="166"/>
    </row>
    <row r="1889" spans="17:22" ht="12">
      <c r="Q1889" s="166"/>
      <c r="R1889" s="166"/>
      <c r="S1889" s="166"/>
      <c r="T1889" s="166"/>
      <c r="U1889" s="166"/>
      <c r="V1889" s="166"/>
    </row>
    <row r="1890" spans="17:22" ht="12">
      <c r="Q1890" s="166"/>
      <c r="R1890" s="166"/>
      <c r="S1890" s="166"/>
      <c r="T1890" s="166"/>
      <c r="U1890" s="166"/>
      <c r="V1890" s="166"/>
    </row>
    <row r="1891" spans="17:22" ht="12">
      <c r="Q1891" s="166"/>
      <c r="R1891" s="166"/>
      <c r="S1891" s="166"/>
      <c r="T1891" s="166"/>
      <c r="U1891" s="166"/>
      <c r="V1891" s="166"/>
    </row>
    <row r="1892" spans="17:22" ht="12">
      <c r="Q1892" s="166"/>
      <c r="R1892" s="166"/>
      <c r="S1892" s="166"/>
      <c r="T1892" s="166"/>
      <c r="U1892" s="166"/>
      <c r="V1892" s="166"/>
    </row>
    <row r="1893" spans="17:22" ht="12">
      <c r="Q1893" s="166"/>
      <c r="R1893" s="166"/>
      <c r="S1893" s="166"/>
      <c r="T1893" s="166"/>
      <c r="U1893" s="166"/>
      <c r="V1893" s="166"/>
    </row>
    <row r="1894" spans="17:22" ht="12">
      <c r="Q1894" s="166"/>
      <c r="R1894" s="166"/>
      <c r="S1894" s="166"/>
      <c r="T1894" s="166"/>
      <c r="U1894" s="166"/>
      <c r="V1894" s="166"/>
    </row>
    <row r="1895" spans="17:22" ht="12">
      <c r="Q1895" s="166"/>
      <c r="R1895" s="166"/>
      <c r="S1895" s="166"/>
      <c r="T1895" s="166"/>
      <c r="U1895" s="166"/>
      <c r="V1895" s="166"/>
    </row>
    <row r="1896" spans="17:22" ht="12">
      <c r="Q1896" s="166"/>
      <c r="R1896" s="166"/>
      <c r="S1896" s="166"/>
      <c r="T1896" s="166"/>
      <c r="U1896" s="166"/>
      <c r="V1896" s="166"/>
    </row>
    <row r="1897" spans="17:22" ht="12">
      <c r="Q1897" s="166"/>
      <c r="R1897" s="166"/>
      <c r="S1897" s="166"/>
      <c r="T1897" s="166"/>
      <c r="U1897" s="166"/>
      <c r="V1897" s="166"/>
    </row>
    <row r="1898" spans="17:22" ht="12">
      <c r="Q1898" s="166"/>
      <c r="R1898" s="166"/>
      <c r="S1898" s="166"/>
      <c r="T1898" s="166"/>
      <c r="U1898" s="166"/>
      <c r="V1898" s="166"/>
    </row>
    <row r="1899" spans="17:22" ht="12">
      <c r="Q1899" s="166"/>
      <c r="R1899" s="166"/>
      <c r="S1899" s="166"/>
      <c r="T1899" s="166"/>
      <c r="U1899" s="166"/>
      <c r="V1899" s="166"/>
    </row>
    <row r="1900" spans="17:22" ht="12">
      <c r="Q1900" s="166"/>
      <c r="R1900" s="166"/>
      <c r="S1900" s="166"/>
      <c r="T1900" s="166"/>
      <c r="U1900" s="166"/>
      <c r="V1900" s="166"/>
    </row>
    <row r="1901" spans="17:22" ht="12">
      <c r="Q1901" s="166"/>
      <c r="R1901" s="166"/>
      <c r="S1901" s="166"/>
      <c r="T1901" s="166"/>
      <c r="U1901" s="166"/>
      <c r="V1901" s="166"/>
    </row>
    <row r="1902" spans="17:22" ht="12">
      <c r="Q1902" s="166"/>
      <c r="R1902" s="166"/>
      <c r="S1902" s="166"/>
      <c r="T1902" s="166"/>
      <c r="U1902" s="166"/>
      <c r="V1902" s="166"/>
    </row>
    <row r="1903" spans="17:22" ht="12">
      <c r="Q1903" s="166"/>
      <c r="R1903" s="166"/>
      <c r="S1903" s="166"/>
      <c r="T1903" s="166"/>
      <c r="U1903" s="166"/>
      <c r="V1903" s="166"/>
    </row>
    <row r="1904" spans="17:22" ht="12">
      <c r="Q1904" s="166"/>
      <c r="R1904" s="166"/>
      <c r="S1904" s="166"/>
      <c r="T1904" s="166"/>
      <c r="U1904" s="166"/>
      <c r="V1904" s="166"/>
    </row>
    <row r="1905" spans="17:22" ht="12">
      <c r="Q1905" s="166"/>
      <c r="R1905" s="166"/>
      <c r="S1905" s="166"/>
      <c r="T1905" s="166"/>
      <c r="U1905" s="166"/>
      <c r="V1905" s="166"/>
    </row>
    <row r="1906" spans="17:22" ht="12">
      <c r="Q1906" s="166"/>
      <c r="R1906" s="166"/>
      <c r="S1906" s="166"/>
      <c r="T1906" s="166"/>
      <c r="U1906" s="166"/>
      <c r="V1906" s="166"/>
    </row>
    <row r="1907" spans="17:22" ht="12">
      <c r="Q1907" s="166"/>
      <c r="R1907" s="166"/>
      <c r="S1907" s="166"/>
      <c r="T1907" s="166"/>
      <c r="U1907" s="166"/>
      <c r="V1907" s="166"/>
    </row>
    <row r="1908" spans="17:22" ht="12">
      <c r="Q1908" s="166"/>
      <c r="R1908" s="166"/>
      <c r="S1908" s="166"/>
      <c r="T1908" s="166"/>
      <c r="U1908" s="166"/>
      <c r="V1908" s="166"/>
    </row>
    <row r="1909" spans="17:22" ht="12">
      <c r="Q1909" s="166"/>
      <c r="R1909" s="166"/>
      <c r="S1909" s="166"/>
      <c r="T1909" s="166"/>
      <c r="U1909" s="166"/>
      <c r="V1909" s="166"/>
    </row>
    <row r="1910" spans="17:22" ht="12">
      <c r="Q1910" s="166"/>
      <c r="R1910" s="166"/>
      <c r="S1910" s="166"/>
      <c r="T1910" s="166"/>
      <c r="U1910" s="166"/>
      <c r="V1910" s="166"/>
    </row>
    <row r="1911" spans="17:22" ht="12">
      <c r="Q1911" s="166"/>
      <c r="R1911" s="166"/>
      <c r="S1911" s="166"/>
      <c r="T1911" s="166"/>
      <c r="U1911" s="166"/>
      <c r="V1911" s="166"/>
    </row>
    <row r="1912" spans="17:22" ht="12">
      <c r="Q1912" s="166"/>
      <c r="R1912" s="166"/>
      <c r="S1912" s="166"/>
      <c r="T1912" s="166"/>
      <c r="U1912" s="166"/>
      <c r="V1912" s="166"/>
    </row>
    <row r="1913" spans="17:22" ht="12">
      <c r="Q1913" s="166"/>
      <c r="R1913" s="166"/>
      <c r="S1913" s="166"/>
      <c r="T1913" s="166"/>
      <c r="U1913" s="166"/>
      <c r="V1913" s="166"/>
    </row>
    <row r="1914" spans="17:22" ht="12">
      <c r="Q1914" s="166"/>
      <c r="R1914" s="166"/>
      <c r="S1914" s="166"/>
      <c r="T1914" s="166"/>
      <c r="U1914" s="166"/>
      <c r="V1914" s="166"/>
    </row>
    <row r="1915" spans="17:22" ht="12">
      <c r="Q1915" s="166"/>
      <c r="R1915" s="166"/>
      <c r="S1915" s="166"/>
      <c r="T1915" s="166"/>
      <c r="U1915" s="166"/>
      <c r="V1915" s="166"/>
    </row>
    <row r="1916" spans="17:22" ht="12">
      <c r="Q1916" s="166"/>
      <c r="R1916" s="166"/>
      <c r="S1916" s="166"/>
      <c r="T1916" s="166"/>
      <c r="U1916" s="166"/>
      <c r="V1916" s="166"/>
    </row>
    <row r="1917" spans="17:22" ht="12">
      <c r="Q1917" s="166"/>
      <c r="R1917" s="166"/>
      <c r="S1917" s="166"/>
      <c r="T1917" s="166"/>
      <c r="U1917" s="166"/>
      <c r="V1917" s="166"/>
    </row>
    <row r="1918" spans="17:22" ht="12">
      <c r="Q1918" s="166"/>
      <c r="R1918" s="166"/>
      <c r="S1918" s="166"/>
      <c r="T1918" s="166"/>
      <c r="U1918" s="166"/>
      <c r="V1918" s="166"/>
    </row>
    <row r="1919" spans="17:22" ht="12">
      <c r="Q1919" s="166"/>
      <c r="R1919" s="166"/>
      <c r="S1919" s="166"/>
      <c r="T1919" s="166"/>
      <c r="U1919" s="166"/>
      <c r="V1919" s="166"/>
    </row>
    <row r="1920" spans="17:22" ht="12">
      <c r="Q1920" s="166"/>
      <c r="R1920" s="166"/>
      <c r="S1920" s="166"/>
      <c r="T1920" s="166"/>
      <c r="U1920" s="166"/>
      <c r="V1920" s="166"/>
    </row>
    <row r="1921" spans="17:22" ht="12">
      <c r="Q1921" s="166"/>
      <c r="R1921" s="166"/>
      <c r="S1921" s="166"/>
      <c r="T1921" s="166"/>
      <c r="U1921" s="166"/>
      <c r="V1921" s="166"/>
    </row>
    <row r="1922" spans="17:22" ht="12">
      <c r="Q1922" s="166"/>
      <c r="R1922" s="166"/>
      <c r="S1922" s="166"/>
      <c r="T1922" s="166"/>
      <c r="U1922" s="166"/>
      <c r="V1922" s="166"/>
    </row>
    <row r="1923" spans="17:22" ht="12">
      <c r="Q1923" s="166"/>
      <c r="R1923" s="166"/>
      <c r="S1923" s="166"/>
      <c r="T1923" s="166"/>
      <c r="U1923" s="166"/>
      <c r="V1923" s="166"/>
    </row>
    <row r="1924" spans="17:22" ht="12">
      <c r="Q1924" s="166"/>
      <c r="R1924" s="166"/>
      <c r="S1924" s="166"/>
      <c r="T1924" s="166"/>
      <c r="U1924" s="166"/>
      <c r="V1924" s="166"/>
    </row>
    <row r="1925" spans="17:22" ht="12">
      <c r="Q1925" s="166"/>
      <c r="R1925" s="166"/>
      <c r="S1925" s="166"/>
      <c r="T1925" s="166"/>
      <c r="U1925" s="166"/>
      <c r="V1925" s="166"/>
    </row>
    <row r="1926" spans="17:22" ht="12">
      <c r="Q1926" s="166"/>
      <c r="R1926" s="166"/>
      <c r="S1926" s="166"/>
      <c r="T1926" s="166"/>
      <c r="U1926" s="166"/>
      <c r="V1926" s="166"/>
    </row>
    <row r="1927" spans="17:22" ht="12">
      <c r="Q1927" s="166"/>
      <c r="R1927" s="166"/>
      <c r="S1927" s="166"/>
      <c r="T1927" s="166"/>
      <c r="U1927" s="166"/>
      <c r="V1927" s="166"/>
    </row>
    <row r="1928" spans="17:22" ht="12">
      <c r="Q1928" s="166"/>
      <c r="R1928" s="166"/>
      <c r="S1928" s="166"/>
      <c r="T1928" s="166"/>
      <c r="U1928" s="166"/>
      <c r="V1928" s="166"/>
    </row>
    <row r="1929" spans="17:22" ht="12">
      <c r="Q1929" s="166"/>
      <c r="R1929" s="166"/>
      <c r="S1929" s="166"/>
      <c r="T1929" s="166"/>
      <c r="U1929" s="166"/>
      <c r="V1929" s="166"/>
    </row>
    <row r="1930" spans="17:22" ht="12">
      <c r="Q1930" s="166"/>
      <c r="R1930" s="166"/>
      <c r="S1930" s="166"/>
      <c r="T1930" s="166"/>
      <c r="U1930" s="166"/>
      <c r="V1930" s="166"/>
    </row>
    <row r="1931" spans="17:22" ht="12">
      <c r="Q1931" s="166"/>
      <c r="R1931" s="166"/>
      <c r="S1931" s="166"/>
      <c r="T1931" s="166"/>
      <c r="U1931" s="166"/>
      <c r="V1931" s="166"/>
    </row>
    <row r="1932" spans="17:22" ht="12">
      <c r="Q1932" s="166"/>
      <c r="R1932" s="166"/>
      <c r="S1932" s="166"/>
      <c r="T1932" s="166"/>
      <c r="U1932" s="166"/>
      <c r="V1932" s="166"/>
    </row>
    <row r="1933" spans="17:22" ht="12">
      <c r="Q1933" s="166"/>
      <c r="R1933" s="166"/>
      <c r="S1933" s="166"/>
      <c r="T1933" s="166"/>
      <c r="U1933" s="166"/>
      <c r="V1933" s="166"/>
    </row>
    <row r="1934" spans="17:22" ht="12">
      <c r="Q1934" s="166"/>
      <c r="R1934" s="166"/>
      <c r="S1934" s="166"/>
      <c r="T1934" s="166"/>
      <c r="U1934" s="166"/>
      <c r="V1934" s="166"/>
    </row>
    <row r="1935" spans="17:22" ht="12">
      <c r="Q1935" s="166"/>
      <c r="R1935" s="166"/>
      <c r="S1935" s="166"/>
      <c r="T1935" s="166"/>
      <c r="U1935" s="166"/>
      <c r="V1935" s="166"/>
    </row>
    <row r="1936" spans="17:22" ht="12">
      <c r="Q1936" s="166"/>
      <c r="R1936" s="166"/>
      <c r="S1936" s="166"/>
      <c r="T1936" s="166"/>
      <c r="U1936" s="166"/>
      <c r="V1936" s="166"/>
    </row>
    <row r="1937" spans="17:22" ht="12">
      <c r="Q1937" s="166"/>
      <c r="R1937" s="166"/>
      <c r="S1937" s="166"/>
      <c r="T1937" s="166"/>
      <c r="U1937" s="166"/>
      <c r="V1937" s="166"/>
    </row>
    <row r="1938" spans="17:22" ht="12">
      <c r="Q1938" s="166"/>
      <c r="R1938" s="166"/>
      <c r="S1938" s="166"/>
      <c r="T1938" s="166"/>
      <c r="U1938" s="166"/>
      <c r="V1938" s="166"/>
    </row>
    <row r="1939" spans="17:22" ht="12">
      <c r="Q1939" s="166"/>
      <c r="R1939" s="166"/>
      <c r="S1939" s="166"/>
      <c r="T1939" s="166"/>
      <c r="U1939" s="166"/>
      <c r="V1939" s="166"/>
    </row>
    <row r="1940" spans="17:22" ht="12">
      <c r="Q1940" s="166"/>
      <c r="R1940" s="166"/>
      <c r="S1940" s="166"/>
      <c r="T1940" s="166"/>
      <c r="U1940" s="166"/>
      <c r="V1940" s="166"/>
    </row>
    <row r="1941" spans="17:22" ht="12">
      <c r="Q1941" s="166"/>
      <c r="R1941" s="166"/>
      <c r="S1941" s="166"/>
      <c r="T1941" s="166"/>
      <c r="U1941" s="166"/>
      <c r="V1941" s="166"/>
    </row>
    <row r="1942" spans="17:22" ht="12">
      <c r="Q1942" s="166"/>
      <c r="R1942" s="166"/>
      <c r="S1942" s="166"/>
      <c r="T1942" s="166"/>
      <c r="U1942" s="166"/>
      <c r="V1942" s="166"/>
    </row>
    <row r="1943" spans="17:22" ht="12">
      <c r="Q1943" s="166"/>
      <c r="R1943" s="166"/>
      <c r="S1943" s="166"/>
      <c r="T1943" s="166"/>
      <c r="U1943" s="166"/>
      <c r="V1943" s="166"/>
    </row>
    <row r="1944" spans="17:22" ht="12">
      <c r="Q1944" s="166"/>
      <c r="R1944" s="166"/>
      <c r="S1944" s="166"/>
      <c r="T1944" s="166"/>
      <c r="U1944" s="166"/>
      <c r="V1944" s="166"/>
    </row>
    <row r="1945" spans="17:22" ht="12">
      <c r="Q1945" s="166"/>
      <c r="R1945" s="166"/>
      <c r="S1945" s="166"/>
      <c r="T1945" s="166"/>
      <c r="U1945" s="166"/>
      <c r="V1945" s="166"/>
    </row>
    <row r="1946" spans="17:22" ht="12">
      <c r="Q1946" s="166"/>
      <c r="R1946" s="166"/>
      <c r="S1946" s="166"/>
      <c r="T1946" s="166"/>
      <c r="U1946" s="166"/>
      <c r="V1946" s="166"/>
    </row>
    <row r="1947" spans="17:22" ht="12">
      <c r="Q1947" s="166"/>
      <c r="R1947" s="166"/>
      <c r="S1947" s="166"/>
      <c r="T1947" s="166"/>
      <c r="U1947" s="166"/>
      <c r="V1947" s="166"/>
    </row>
    <row r="1948" spans="17:22" ht="12">
      <c r="Q1948" s="166"/>
      <c r="R1948" s="166"/>
      <c r="S1948" s="166"/>
      <c r="T1948" s="166"/>
      <c r="U1948" s="166"/>
      <c r="V1948" s="166"/>
    </row>
    <row r="1949" spans="17:22" ht="12">
      <c r="Q1949" s="166"/>
      <c r="R1949" s="166"/>
      <c r="S1949" s="166"/>
      <c r="T1949" s="166"/>
      <c r="U1949" s="166"/>
      <c r="V1949" s="166"/>
    </row>
    <row r="1950" spans="17:22" ht="12">
      <c r="Q1950" s="166"/>
      <c r="R1950" s="166"/>
      <c r="S1950" s="166"/>
      <c r="T1950" s="166"/>
      <c r="U1950" s="166"/>
      <c r="V1950" s="166"/>
    </row>
    <row r="1951" spans="17:22" ht="12">
      <c r="Q1951" s="166"/>
      <c r="R1951" s="166"/>
      <c r="S1951" s="166"/>
      <c r="T1951" s="166"/>
      <c r="U1951" s="166"/>
      <c r="V1951" s="166"/>
    </row>
    <row r="1952" spans="17:22" ht="12">
      <c r="Q1952" s="166"/>
      <c r="R1952" s="166"/>
      <c r="S1952" s="166"/>
      <c r="T1952" s="166"/>
      <c r="U1952" s="166"/>
      <c r="V1952" s="166"/>
    </row>
    <row r="1953" spans="17:22" ht="12">
      <c r="Q1953" s="166"/>
      <c r="R1953" s="166"/>
      <c r="S1953" s="166"/>
      <c r="T1953" s="166"/>
      <c r="U1953" s="166"/>
      <c r="V1953" s="166"/>
    </row>
    <row r="1954" spans="17:22" ht="12">
      <c r="Q1954" s="166"/>
      <c r="R1954" s="166"/>
      <c r="S1954" s="166"/>
      <c r="T1954" s="166"/>
      <c r="U1954" s="166"/>
      <c r="V1954" s="166"/>
    </row>
    <row r="1955" spans="17:22" ht="12">
      <c r="Q1955" s="166"/>
      <c r="R1955" s="166"/>
      <c r="S1955" s="166"/>
      <c r="T1955" s="166"/>
      <c r="U1955" s="166"/>
      <c r="V1955" s="166"/>
    </row>
    <row r="1956" spans="17:22" ht="12">
      <c r="Q1956" s="166"/>
      <c r="R1956" s="166"/>
      <c r="S1956" s="166"/>
      <c r="T1956" s="166"/>
      <c r="U1956" s="166"/>
      <c r="V1956" s="166"/>
    </row>
    <row r="1957" spans="17:22" ht="12">
      <c r="Q1957" s="166"/>
      <c r="R1957" s="166"/>
      <c r="S1957" s="166"/>
      <c r="T1957" s="166"/>
      <c r="U1957" s="166"/>
      <c r="V1957" s="166"/>
    </row>
    <row r="1958" spans="17:22" ht="12">
      <c r="Q1958" s="166"/>
      <c r="R1958" s="166"/>
      <c r="S1958" s="166"/>
      <c r="T1958" s="166"/>
      <c r="U1958" s="166"/>
      <c r="V1958" s="166"/>
    </row>
    <row r="1959" spans="17:22" ht="12">
      <c r="Q1959" s="166"/>
      <c r="R1959" s="166"/>
      <c r="S1959" s="166"/>
      <c r="T1959" s="166"/>
      <c r="U1959" s="166"/>
      <c r="V1959" s="166"/>
    </row>
    <row r="1960" spans="17:22" ht="12">
      <c r="Q1960" s="166"/>
      <c r="R1960" s="166"/>
      <c r="S1960" s="166"/>
      <c r="T1960" s="166"/>
      <c r="U1960" s="166"/>
      <c r="V1960" s="166"/>
    </row>
    <row r="1961" spans="17:22" ht="12">
      <c r="Q1961" s="166"/>
      <c r="R1961" s="166"/>
      <c r="S1961" s="166"/>
      <c r="T1961" s="166"/>
      <c r="U1961" s="166"/>
      <c r="V1961" s="166"/>
    </row>
    <row r="1962" spans="17:22" ht="12">
      <c r="Q1962" s="166"/>
      <c r="R1962" s="166"/>
      <c r="S1962" s="166"/>
      <c r="T1962" s="166"/>
      <c r="U1962" s="166"/>
      <c r="V1962" s="166"/>
    </row>
    <row r="1963" spans="17:22" ht="12">
      <c r="Q1963" s="166"/>
      <c r="R1963" s="166"/>
      <c r="S1963" s="166"/>
      <c r="T1963" s="166"/>
      <c r="U1963" s="166"/>
      <c r="V1963" s="166"/>
    </row>
    <row r="1964" spans="17:22" ht="12">
      <c r="Q1964" s="166"/>
      <c r="R1964" s="166"/>
      <c r="S1964" s="166"/>
      <c r="T1964" s="166"/>
      <c r="U1964" s="166"/>
      <c r="V1964" s="166"/>
    </row>
    <row r="1965" spans="17:22" ht="12">
      <c r="Q1965" s="166"/>
      <c r="R1965" s="166"/>
      <c r="S1965" s="166"/>
      <c r="T1965" s="166"/>
      <c r="U1965" s="166"/>
      <c r="V1965" s="166"/>
    </row>
    <row r="1966" spans="17:22" ht="12">
      <c r="Q1966" s="166"/>
      <c r="R1966" s="166"/>
      <c r="S1966" s="166"/>
      <c r="T1966" s="166"/>
      <c r="U1966" s="166"/>
      <c r="V1966" s="166"/>
    </row>
    <row r="1967" spans="17:22" ht="12">
      <c r="Q1967" s="166"/>
      <c r="R1967" s="166"/>
      <c r="S1967" s="166"/>
      <c r="T1967" s="166"/>
      <c r="U1967" s="166"/>
      <c r="V1967" s="166"/>
    </row>
    <row r="1968" spans="17:22" ht="12">
      <c r="Q1968" s="166"/>
      <c r="R1968" s="166"/>
      <c r="S1968" s="166"/>
      <c r="T1968" s="166"/>
      <c r="U1968" s="166"/>
      <c r="V1968" s="166"/>
    </row>
    <row r="1969" spans="17:22" ht="12">
      <c r="Q1969" s="166"/>
      <c r="R1969" s="166"/>
      <c r="S1969" s="166"/>
      <c r="T1969" s="166"/>
      <c r="U1969" s="166"/>
      <c r="V1969" s="166"/>
    </row>
    <row r="1970" spans="17:22" ht="12">
      <c r="Q1970" s="166"/>
      <c r="R1970" s="166"/>
      <c r="S1970" s="166"/>
      <c r="T1970" s="166"/>
      <c r="U1970" s="166"/>
      <c r="V1970" s="166"/>
    </row>
    <row r="1971" spans="17:22" ht="12">
      <c r="Q1971" s="166"/>
      <c r="R1971" s="166"/>
      <c r="S1971" s="166"/>
      <c r="T1971" s="166"/>
      <c r="U1971" s="166"/>
      <c r="V1971" s="166"/>
    </row>
    <row r="1972" spans="17:22" ht="12">
      <c r="Q1972" s="166"/>
      <c r="R1972" s="166"/>
      <c r="S1972" s="166"/>
      <c r="T1972" s="166"/>
      <c r="U1972" s="166"/>
      <c r="V1972" s="166"/>
    </row>
    <row r="1973" spans="17:22" ht="12">
      <c r="Q1973" s="166"/>
      <c r="R1973" s="166"/>
      <c r="S1973" s="166"/>
      <c r="T1973" s="166"/>
      <c r="U1973" s="166"/>
      <c r="V1973" s="166"/>
    </row>
    <row r="1974" spans="17:22" ht="12">
      <c r="Q1974" s="166"/>
      <c r="R1974" s="166"/>
      <c r="S1974" s="166"/>
      <c r="T1974" s="166"/>
      <c r="U1974" s="166"/>
      <c r="V1974" s="166"/>
    </row>
    <row r="1975" spans="17:22" ht="12">
      <c r="Q1975" s="166"/>
      <c r="R1975" s="166"/>
      <c r="S1975" s="166"/>
      <c r="T1975" s="166"/>
      <c r="U1975" s="166"/>
      <c r="V1975" s="166"/>
    </row>
    <row r="1976" spans="17:22" ht="12">
      <c r="Q1976" s="166"/>
      <c r="R1976" s="166"/>
      <c r="S1976" s="166"/>
      <c r="T1976" s="166"/>
      <c r="U1976" s="166"/>
      <c r="V1976" s="166"/>
    </row>
    <row r="1977" spans="17:22" ht="12">
      <c r="Q1977" s="166"/>
      <c r="R1977" s="166"/>
      <c r="S1977" s="166"/>
      <c r="T1977" s="166"/>
      <c r="U1977" s="166"/>
      <c r="V1977" s="166"/>
    </row>
    <row r="1978" spans="17:22" ht="12">
      <c r="Q1978" s="166"/>
      <c r="R1978" s="166"/>
      <c r="S1978" s="166"/>
      <c r="T1978" s="166"/>
      <c r="U1978" s="166"/>
      <c r="V1978" s="166"/>
    </row>
    <row r="1979" spans="17:22" ht="12">
      <c r="Q1979" s="166"/>
      <c r="R1979" s="166"/>
      <c r="S1979" s="166"/>
      <c r="T1979" s="166"/>
      <c r="U1979" s="166"/>
      <c r="V1979" s="166"/>
    </row>
    <row r="1980" spans="17:22" ht="12">
      <c r="Q1980" s="166"/>
      <c r="R1980" s="166"/>
      <c r="S1980" s="166"/>
      <c r="T1980" s="166"/>
      <c r="U1980" s="166"/>
      <c r="V1980" s="166"/>
    </row>
    <row r="1981" spans="17:22" ht="12">
      <c r="Q1981" s="166"/>
      <c r="R1981" s="166"/>
      <c r="S1981" s="166"/>
      <c r="T1981" s="166"/>
      <c r="U1981" s="166"/>
      <c r="V1981" s="166"/>
    </row>
    <row r="1982" spans="17:22" ht="12">
      <c r="Q1982" s="166"/>
      <c r="R1982" s="166"/>
      <c r="S1982" s="166"/>
      <c r="T1982" s="166"/>
      <c r="U1982" s="166"/>
      <c r="V1982" s="166"/>
    </row>
    <row r="1983" spans="17:22" ht="12">
      <c r="Q1983" s="166"/>
      <c r="R1983" s="166"/>
      <c r="S1983" s="166"/>
      <c r="T1983" s="166"/>
      <c r="U1983" s="166"/>
      <c r="V1983" s="166"/>
    </row>
    <row r="1984" spans="17:22" ht="12">
      <c r="Q1984" s="166"/>
      <c r="R1984" s="166"/>
      <c r="S1984" s="166"/>
      <c r="T1984" s="166"/>
      <c r="U1984" s="166"/>
      <c r="V1984" s="166"/>
    </row>
    <row r="1985" spans="17:22" ht="12">
      <c r="Q1985" s="166"/>
      <c r="R1985" s="166"/>
      <c r="S1985" s="166"/>
      <c r="T1985" s="166"/>
      <c r="U1985" s="166"/>
      <c r="V1985" s="166"/>
    </row>
    <row r="1986" spans="17:22" ht="12">
      <c r="Q1986" s="166"/>
      <c r="R1986" s="166"/>
      <c r="S1986" s="166"/>
      <c r="T1986" s="166"/>
      <c r="U1986" s="166"/>
      <c r="V1986" s="166"/>
    </row>
    <row r="1987" spans="17:22" ht="12">
      <c r="Q1987" s="166"/>
      <c r="R1987" s="166"/>
      <c r="S1987" s="166"/>
      <c r="T1987" s="166"/>
      <c r="U1987" s="166"/>
      <c r="V1987" s="166"/>
    </row>
    <row r="1988" spans="17:22" ht="12">
      <c r="Q1988" s="166"/>
      <c r="R1988" s="166"/>
      <c r="S1988" s="166"/>
      <c r="T1988" s="166"/>
      <c r="U1988" s="166"/>
      <c r="V1988" s="166"/>
    </row>
    <row r="1989" spans="17:22" ht="12">
      <c r="Q1989" s="166"/>
      <c r="R1989" s="166"/>
      <c r="S1989" s="166"/>
      <c r="T1989" s="166"/>
      <c r="U1989" s="166"/>
      <c r="V1989" s="166"/>
    </row>
    <row r="1990" spans="17:22" ht="12">
      <c r="Q1990" s="166"/>
      <c r="R1990" s="166"/>
      <c r="S1990" s="166"/>
      <c r="T1990" s="166"/>
      <c r="U1990" s="166"/>
      <c r="V1990" s="166"/>
    </row>
    <row r="1991" spans="17:22" ht="12">
      <c r="Q1991" s="166"/>
      <c r="R1991" s="166"/>
      <c r="S1991" s="166"/>
      <c r="T1991" s="166"/>
      <c r="U1991" s="166"/>
      <c r="V1991" s="166"/>
    </row>
    <row r="1992" spans="17:22" ht="12">
      <c r="Q1992" s="166"/>
      <c r="R1992" s="166"/>
      <c r="S1992" s="166"/>
      <c r="T1992" s="166"/>
      <c r="U1992" s="166"/>
      <c r="V1992" s="166"/>
    </row>
    <row r="1993" spans="17:22" ht="12">
      <c r="Q1993" s="166"/>
      <c r="R1993" s="166"/>
      <c r="S1993" s="166"/>
      <c r="T1993" s="166"/>
      <c r="U1993" s="166"/>
      <c r="V1993" s="166"/>
    </row>
    <row r="1994" spans="17:22" ht="12">
      <c r="Q1994" s="166"/>
      <c r="R1994" s="166"/>
      <c r="S1994" s="166"/>
      <c r="T1994" s="166"/>
      <c r="U1994" s="166"/>
      <c r="V1994" s="166"/>
    </row>
    <row r="1995" spans="17:22" ht="12">
      <c r="Q1995" s="166"/>
      <c r="R1995" s="166"/>
      <c r="S1995" s="166"/>
      <c r="T1995" s="166"/>
      <c r="U1995" s="166"/>
      <c r="V1995" s="166"/>
    </row>
    <row r="1996" spans="17:22" ht="12">
      <c r="Q1996" s="166"/>
      <c r="R1996" s="166"/>
      <c r="S1996" s="166"/>
      <c r="T1996" s="166"/>
      <c r="U1996" s="166"/>
      <c r="V1996" s="166"/>
    </row>
    <row r="1997" spans="17:22" ht="12">
      <c r="Q1997" s="166"/>
      <c r="R1997" s="166"/>
      <c r="S1997" s="166"/>
      <c r="T1997" s="166"/>
      <c r="U1997" s="166"/>
      <c r="V1997" s="166"/>
    </row>
    <row r="1998" spans="17:22" ht="12">
      <c r="Q1998" s="166"/>
      <c r="R1998" s="166"/>
      <c r="S1998" s="166"/>
      <c r="T1998" s="166"/>
      <c r="U1998" s="166"/>
      <c r="V1998" s="166"/>
    </row>
    <row r="1999" spans="17:22" ht="12">
      <c r="Q1999" s="166"/>
      <c r="R1999" s="166"/>
      <c r="S1999" s="166"/>
      <c r="T1999" s="166"/>
      <c r="U1999" s="166"/>
      <c r="V1999" s="166"/>
    </row>
    <row r="2000" spans="17:22" ht="12">
      <c r="Q2000" s="166"/>
      <c r="R2000" s="166"/>
      <c r="S2000" s="166"/>
      <c r="T2000" s="166"/>
      <c r="U2000" s="166"/>
      <c r="V2000" s="166"/>
    </row>
    <row r="2001" spans="17:22" ht="12">
      <c r="Q2001" s="166"/>
      <c r="R2001" s="166"/>
      <c r="S2001" s="166"/>
      <c r="T2001" s="166"/>
      <c r="U2001" s="166"/>
      <c r="V2001" s="166"/>
    </row>
    <row r="2002" spans="17:22" ht="12">
      <c r="Q2002" s="166"/>
      <c r="R2002" s="166"/>
      <c r="S2002" s="166"/>
      <c r="T2002" s="166"/>
      <c r="U2002" s="166"/>
      <c r="V2002" s="166"/>
    </row>
    <row r="2003" spans="17:22" ht="12">
      <c r="Q2003" s="166"/>
      <c r="R2003" s="166"/>
      <c r="S2003" s="166"/>
      <c r="T2003" s="166"/>
      <c r="U2003" s="166"/>
      <c r="V2003" s="166"/>
    </row>
    <row r="2004" spans="17:22" ht="12">
      <c r="Q2004" s="166"/>
      <c r="R2004" s="166"/>
      <c r="S2004" s="166"/>
      <c r="T2004" s="166"/>
      <c r="U2004" s="166"/>
      <c r="V2004" s="166"/>
    </row>
    <row r="2005" spans="17:22" ht="12">
      <c r="Q2005" s="166"/>
      <c r="R2005" s="166"/>
      <c r="S2005" s="166"/>
      <c r="T2005" s="166"/>
      <c r="U2005" s="166"/>
      <c r="V2005" s="166"/>
    </row>
    <row r="2006" spans="17:22" ht="12">
      <c r="Q2006" s="166"/>
      <c r="R2006" s="166"/>
      <c r="S2006" s="166"/>
      <c r="T2006" s="166"/>
      <c r="U2006" s="166"/>
      <c r="V2006" s="166"/>
    </row>
    <row r="2007" spans="17:22" ht="12">
      <c r="Q2007" s="166"/>
      <c r="R2007" s="166"/>
      <c r="S2007" s="166"/>
      <c r="T2007" s="166"/>
      <c r="U2007" s="166"/>
      <c r="V2007" s="166"/>
    </row>
    <row r="2008" spans="17:22" ht="12">
      <c r="Q2008" s="166"/>
      <c r="R2008" s="166"/>
      <c r="S2008" s="166"/>
      <c r="T2008" s="166"/>
      <c r="U2008" s="166"/>
      <c r="V2008" s="166"/>
    </row>
    <row r="2009" spans="17:22" ht="12">
      <c r="Q2009" s="166"/>
      <c r="R2009" s="166"/>
      <c r="S2009" s="166"/>
      <c r="T2009" s="166"/>
      <c r="U2009" s="166"/>
      <c r="V2009" s="166"/>
    </row>
    <row r="2010" spans="17:22" ht="12">
      <c r="Q2010" s="166"/>
      <c r="R2010" s="166"/>
      <c r="S2010" s="166"/>
      <c r="T2010" s="166"/>
      <c r="U2010" s="166"/>
      <c r="V2010" s="166"/>
    </row>
    <row r="2011" spans="17:22" ht="12">
      <c r="Q2011" s="166"/>
      <c r="R2011" s="166"/>
      <c r="S2011" s="166"/>
      <c r="T2011" s="166"/>
      <c r="U2011" s="166"/>
      <c r="V2011" s="166"/>
    </row>
    <row r="2012" spans="17:22" ht="12">
      <c r="Q2012" s="166"/>
      <c r="R2012" s="166"/>
      <c r="S2012" s="166"/>
      <c r="T2012" s="166"/>
      <c r="U2012" s="166"/>
      <c r="V2012" s="166"/>
    </row>
    <row r="2013" spans="17:22" ht="12">
      <c r="Q2013" s="166"/>
      <c r="R2013" s="166"/>
      <c r="S2013" s="166"/>
      <c r="T2013" s="166"/>
      <c r="U2013" s="166"/>
      <c r="V2013" s="166"/>
    </row>
    <row r="2014" spans="17:22" ht="12">
      <c r="Q2014" s="166"/>
      <c r="R2014" s="166"/>
      <c r="S2014" s="166"/>
      <c r="T2014" s="166"/>
      <c r="U2014" s="166"/>
      <c r="V2014" s="166"/>
    </row>
    <row r="2015" spans="17:22" ht="12">
      <c r="Q2015" s="166"/>
      <c r="R2015" s="166"/>
      <c r="S2015" s="166"/>
      <c r="T2015" s="166"/>
      <c r="U2015" s="166"/>
      <c r="V2015" s="166"/>
    </row>
    <row r="2016" spans="17:22" ht="12">
      <c r="Q2016" s="166"/>
      <c r="R2016" s="166"/>
      <c r="S2016" s="166"/>
      <c r="T2016" s="166"/>
      <c r="U2016" s="166"/>
      <c r="V2016" s="166"/>
    </row>
    <row r="2017" spans="17:22" ht="12">
      <c r="Q2017" s="166"/>
      <c r="R2017" s="166"/>
      <c r="S2017" s="166"/>
      <c r="T2017" s="166"/>
      <c r="U2017" s="166"/>
      <c r="V2017" s="166"/>
    </row>
    <row r="2018" spans="17:22" ht="12">
      <c r="Q2018" s="166"/>
      <c r="R2018" s="166"/>
      <c r="S2018" s="166"/>
      <c r="T2018" s="166"/>
      <c r="U2018" s="166"/>
      <c r="V2018" s="166"/>
    </row>
    <row r="2019" spans="17:22" ht="12">
      <c r="Q2019" s="166"/>
      <c r="R2019" s="166"/>
      <c r="S2019" s="166"/>
      <c r="T2019" s="166"/>
      <c r="U2019" s="166"/>
      <c r="V2019" s="166"/>
    </row>
    <row r="2020" spans="17:22" ht="12">
      <c r="Q2020" s="166"/>
      <c r="R2020" s="166"/>
      <c r="S2020" s="166"/>
      <c r="T2020" s="166"/>
      <c r="U2020" s="166"/>
      <c r="V2020" s="166"/>
    </row>
    <row r="2021" spans="17:22" ht="12">
      <c r="Q2021" s="166"/>
      <c r="R2021" s="166"/>
      <c r="S2021" s="166"/>
      <c r="T2021" s="166"/>
      <c r="U2021" s="166"/>
      <c r="V2021" s="166"/>
    </row>
    <row r="2022" spans="17:22" ht="12">
      <c r="Q2022" s="166"/>
      <c r="R2022" s="166"/>
      <c r="S2022" s="166"/>
      <c r="T2022" s="166"/>
      <c r="U2022" s="166"/>
      <c r="V2022" s="166"/>
    </row>
    <row r="2023" spans="17:22" ht="12">
      <c r="Q2023" s="166"/>
      <c r="R2023" s="166"/>
      <c r="S2023" s="166"/>
      <c r="T2023" s="166"/>
      <c r="U2023" s="166"/>
      <c r="V2023" s="166"/>
    </row>
    <row r="2024" spans="17:22" ht="12">
      <c r="Q2024" s="166"/>
      <c r="R2024" s="166"/>
      <c r="S2024" s="166"/>
      <c r="T2024" s="166"/>
      <c r="U2024" s="166"/>
      <c r="V2024" s="166"/>
    </row>
    <row r="2025" spans="17:22" ht="12">
      <c r="Q2025" s="166"/>
      <c r="R2025" s="166"/>
      <c r="S2025" s="166"/>
      <c r="T2025" s="166"/>
      <c r="U2025" s="166"/>
      <c r="V2025" s="166"/>
    </row>
    <row r="2026" spans="17:22" ht="12">
      <c r="Q2026" s="166"/>
      <c r="R2026" s="166"/>
      <c r="S2026" s="166"/>
      <c r="T2026" s="166"/>
      <c r="U2026" s="166"/>
      <c r="V2026" s="166"/>
    </row>
    <row r="2027" spans="17:22" ht="12">
      <c r="Q2027" s="166"/>
      <c r="R2027" s="166"/>
      <c r="S2027" s="166"/>
      <c r="T2027" s="166"/>
      <c r="U2027" s="166"/>
      <c r="V2027" s="166"/>
    </row>
    <row r="2028" spans="17:22" ht="12">
      <c r="Q2028" s="166"/>
      <c r="R2028" s="166"/>
      <c r="S2028" s="166"/>
      <c r="T2028" s="166"/>
      <c r="U2028" s="166"/>
      <c r="V2028" s="166"/>
    </row>
    <row r="2029" spans="17:22" ht="12">
      <c r="Q2029" s="166"/>
      <c r="R2029" s="166"/>
      <c r="S2029" s="166"/>
      <c r="T2029" s="166"/>
      <c r="U2029" s="166"/>
      <c r="V2029" s="166"/>
    </row>
    <row r="2030" spans="17:22" ht="12">
      <c r="Q2030" s="166"/>
      <c r="R2030" s="166"/>
      <c r="S2030" s="166"/>
      <c r="T2030" s="166"/>
      <c r="U2030" s="166"/>
      <c r="V2030" s="166"/>
    </row>
    <row r="2031" spans="17:22" ht="12">
      <c r="Q2031" s="166"/>
      <c r="R2031" s="166"/>
      <c r="S2031" s="166"/>
      <c r="T2031" s="166"/>
      <c r="U2031" s="166"/>
      <c r="V2031" s="166"/>
    </row>
    <row r="2032" spans="17:22" ht="12">
      <c r="Q2032" s="166"/>
      <c r="R2032" s="166"/>
      <c r="S2032" s="166"/>
      <c r="T2032" s="166"/>
      <c r="U2032" s="166"/>
      <c r="V2032" s="166"/>
    </row>
    <row r="2033" spans="17:22" ht="12">
      <c r="Q2033" s="166"/>
      <c r="R2033" s="166"/>
      <c r="S2033" s="166"/>
      <c r="T2033" s="166"/>
      <c r="U2033" s="166"/>
      <c r="V2033" s="166"/>
    </row>
    <row r="2034" spans="17:22" ht="12">
      <c r="Q2034" s="166"/>
      <c r="R2034" s="166"/>
      <c r="S2034" s="166"/>
      <c r="T2034" s="166"/>
      <c r="U2034" s="166"/>
      <c r="V2034" s="166"/>
    </row>
    <row r="2035" spans="17:22" ht="12">
      <c r="Q2035" s="166"/>
      <c r="R2035" s="166"/>
      <c r="S2035" s="166"/>
      <c r="T2035" s="166"/>
      <c r="U2035" s="166"/>
      <c r="V2035" s="166"/>
    </row>
    <row r="2036" spans="17:22" ht="12">
      <c r="Q2036" s="166"/>
      <c r="R2036" s="166"/>
      <c r="S2036" s="166"/>
      <c r="T2036" s="166"/>
      <c r="U2036" s="166"/>
      <c r="V2036" s="166"/>
    </row>
    <row r="2037" spans="17:22" ht="12">
      <c r="Q2037" s="166"/>
      <c r="R2037" s="166"/>
      <c r="S2037" s="166"/>
      <c r="T2037" s="166"/>
      <c r="U2037" s="166"/>
      <c r="V2037" s="166"/>
    </row>
    <row r="2038" spans="17:22" ht="12">
      <c r="Q2038" s="166"/>
      <c r="R2038" s="166"/>
      <c r="S2038" s="166"/>
      <c r="T2038" s="166"/>
      <c r="U2038" s="166"/>
      <c r="V2038" s="166"/>
    </row>
    <row r="2039" spans="17:22" ht="12">
      <c r="Q2039" s="166"/>
      <c r="R2039" s="166"/>
      <c r="S2039" s="166"/>
      <c r="T2039" s="166"/>
      <c r="U2039" s="166"/>
      <c r="V2039" s="166"/>
    </row>
    <row r="2040" spans="17:22" ht="12">
      <c r="Q2040" s="166"/>
      <c r="R2040" s="166"/>
      <c r="S2040" s="166"/>
      <c r="T2040" s="166"/>
      <c r="U2040" s="166"/>
      <c r="V2040" s="166"/>
    </row>
    <row r="2041" spans="17:22" ht="12">
      <c r="Q2041" s="166"/>
      <c r="R2041" s="166"/>
      <c r="S2041" s="166"/>
      <c r="T2041" s="166"/>
      <c r="U2041" s="166"/>
      <c r="V2041" s="166"/>
    </row>
    <row r="2042" spans="17:22" ht="12">
      <c r="Q2042" s="166"/>
      <c r="R2042" s="166"/>
      <c r="S2042" s="166"/>
      <c r="T2042" s="166"/>
      <c r="U2042" s="166"/>
      <c r="V2042" s="166"/>
    </row>
    <row r="2043" spans="17:22" ht="12">
      <c r="Q2043" s="166"/>
      <c r="R2043" s="166"/>
      <c r="S2043" s="166"/>
      <c r="T2043" s="166"/>
      <c r="U2043" s="166"/>
      <c r="V2043" s="166"/>
    </row>
    <row r="2044" spans="17:22" ht="12">
      <c r="Q2044" s="166"/>
      <c r="R2044" s="166"/>
      <c r="S2044" s="166"/>
      <c r="T2044" s="166"/>
      <c r="U2044" s="166"/>
      <c r="V2044" s="166"/>
    </row>
    <row r="2045" spans="17:22" ht="12">
      <c r="Q2045" s="166"/>
      <c r="R2045" s="166"/>
      <c r="S2045" s="166"/>
      <c r="T2045" s="166"/>
      <c r="U2045" s="166"/>
      <c r="V2045" s="166"/>
    </row>
    <row r="2046" spans="17:22" ht="12">
      <c r="Q2046" s="166"/>
      <c r="R2046" s="166"/>
      <c r="S2046" s="166"/>
      <c r="T2046" s="166"/>
      <c r="U2046" s="166"/>
      <c r="V2046" s="166"/>
    </row>
    <row r="2047" spans="17:22" ht="12">
      <c r="Q2047" s="166"/>
      <c r="R2047" s="166"/>
      <c r="S2047" s="166"/>
      <c r="T2047" s="166"/>
      <c r="U2047" s="166"/>
      <c r="V2047" s="166"/>
    </row>
    <row r="2048" spans="17:22" ht="12">
      <c r="Q2048" s="166"/>
      <c r="R2048" s="166"/>
      <c r="S2048" s="166"/>
      <c r="T2048" s="166"/>
      <c r="U2048" s="166"/>
      <c r="V2048" s="166"/>
    </row>
    <row r="2049" spans="17:22" ht="12">
      <c r="Q2049" s="166"/>
      <c r="R2049" s="166"/>
      <c r="S2049" s="166"/>
      <c r="T2049" s="166"/>
      <c r="U2049" s="166"/>
      <c r="V2049" s="166"/>
    </row>
    <row r="2050" spans="17:22" ht="12">
      <c r="Q2050" s="166"/>
      <c r="R2050" s="166"/>
      <c r="S2050" s="166"/>
      <c r="T2050" s="166"/>
      <c r="U2050" s="166"/>
      <c r="V2050" s="166"/>
    </row>
    <row r="2051" spans="17:22" ht="12">
      <c r="Q2051" s="166"/>
      <c r="R2051" s="166"/>
      <c r="S2051" s="166"/>
      <c r="T2051" s="166"/>
      <c r="U2051" s="166"/>
      <c r="V2051" s="166"/>
    </row>
    <row r="2052" spans="17:22" ht="12">
      <c r="Q2052" s="166"/>
      <c r="R2052" s="166"/>
      <c r="S2052" s="166"/>
      <c r="T2052" s="166"/>
      <c r="U2052" s="166"/>
      <c r="V2052" s="166"/>
    </row>
    <row r="2053" spans="17:22" ht="12">
      <c r="Q2053" s="166"/>
      <c r="R2053" s="166"/>
      <c r="S2053" s="166"/>
      <c r="T2053" s="166"/>
      <c r="U2053" s="166"/>
      <c r="V2053" s="166"/>
    </row>
    <row r="2054" spans="17:22" ht="12">
      <c r="Q2054" s="166"/>
      <c r="R2054" s="166"/>
      <c r="S2054" s="166"/>
      <c r="T2054" s="166"/>
      <c r="U2054" s="166"/>
      <c r="V2054" s="166"/>
    </row>
    <row r="2055" spans="17:22" ht="12">
      <c r="Q2055" s="166"/>
      <c r="R2055" s="166"/>
      <c r="S2055" s="166"/>
      <c r="T2055" s="166"/>
      <c r="U2055" s="166"/>
      <c r="V2055" s="166"/>
    </row>
    <row r="2056" spans="17:22" ht="12">
      <c r="Q2056" s="166"/>
      <c r="R2056" s="166"/>
      <c r="S2056" s="166"/>
      <c r="T2056" s="166"/>
      <c r="U2056" s="166"/>
      <c r="V2056" s="166"/>
    </row>
    <row r="2057" spans="17:22" ht="12">
      <c r="Q2057" s="166"/>
      <c r="R2057" s="166"/>
      <c r="S2057" s="166"/>
      <c r="T2057" s="166"/>
      <c r="U2057" s="166"/>
      <c r="V2057" s="166"/>
    </row>
    <row r="2058" spans="17:22" ht="12">
      <c r="Q2058" s="166"/>
      <c r="R2058" s="166"/>
      <c r="S2058" s="166"/>
      <c r="T2058" s="166"/>
      <c r="U2058" s="166"/>
      <c r="V2058" s="166"/>
    </row>
    <row r="2059" spans="17:22" ht="12">
      <c r="Q2059" s="166"/>
      <c r="R2059" s="166"/>
      <c r="S2059" s="166"/>
      <c r="T2059" s="166"/>
      <c r="U2059" s="166"/>
      <c r="V2059" s="166"/>
    </row>
    <row r="2060" spans="17:22" ht="12">
      <c r="Q2060" s="166"/>
      <c r="R2060" s="166"/>
      <c r="S2060" s="166"/>
      <c r="T2060" s="166"/>
      <c r="U2060" s="166"/>
      <c r="V2060" s="166"/>
    </row>
    <row r="2061" spans="17:22" ht="12">
      <c r="Q2061" s="166"/>
      <c r="R2061" s="166"/>
      <c r="S2061" s="166"/>
      <c r="T2061" s="166"/>
      <c r="U2061" s="166"/>
      <c r="V2061" s="166"/>
    </row>
    <row r="2062" spans="17:22" ht="12">
      <c r="Q2062" s="166"/>
      <c r="R2062" s="166"/>
      <c r="S2062" s="166"/>
      <c r="T2062" s="166"/>
      <c r="U2062" s="166"/>
      <c r="V2062" s="166"/>
    </row>
    <row r="2063" spans="17:22" ht="12">
      <c r="Q2063" s="166"/>
      <c r="R2063" s="166"/>
      <c r="S2063" s="166"/>
      <c r="T2063" s="166"/>
      <c r="U2063" s="166"/>
      <c r="V2063" s="166"/>
    </row>
    <row r="2064" spans="17:22" ht="12">
      <c r="Q2064" s="166"/>
      <c r="R2064" s="166"/>
      <c r="S2064" s="166"/>
      <c r="T2064" s="166"/>
      <c r="U2064" s="166"/>
      <c r="V2064" s="166"/>
    </row>
    <row r="2065" spans="17:22" ht="12">
      <c r="Q2065" s="166"/>
      <c r="R2065" s="166"/>
      <c r="S2065" s="166"/>
      <c r="T2065" s="166"/>
      <c r="U2065" s="166"/>
      <c r="V2065" s="166"/>
    </row>
    <row r="2066" spans="17:22" ht="12">
      <c r="Q2066" s="166"/>
      <c r="R2066" s="166"/>
      <c r="S2066" s="166"/>
      <c r="T2066" s="166"/>
      <c r="U2066" s="166"/>
      <c r="V2066" s="166"/>
    </row>
    <row r="2067" spans="17:22" ht="12">
      <c r="Q2067" s="166"/>
      <c r="R2067" s="166"/>
      <c r="S2067" s="166"/>
      <c r="T2067" s="166"/>
      <c r="U2067" s="166"/>
      <c r="V2067" s="166"/>
    </row>
    <row r="2068" spans="17:22" ht="12">
      <c r="Q2068" s="166"/>
      <c r="R2068" s="166"/>
      <c r="S2068" s="166"/>
      <c r="T2068" s="166"/>
      <c r="U2068" s="166"/>
      <c r="V2068" s="166"/>
    </row>
    <row r="2069" spans="17:22" ht="12">
      <c r="Q2069" s="166"/>
      <c r="R2069" s="166"/>
      <c r="S2069" s="166"/>
      <c r="T2069" s="166"/>
      <c r="U2069" s="166"/>
      <c r="V2069" s="166"/>
    </row>
    <row r="2070" spans="17:22" ht="12">
      <c r="Q2070" s="166"/>
      <c r="R2070" s="166"/>
      <c r="S2070" s="166"/>
      <c r="T2070" s="166"/>
      <c r="U2070" s="166"/>
      <c r="V2070" s="166"/>
    </row>
    <row r="2071" spans="17:22" ht="12">
      <c r="Q2071" s="166"/>
      <c r="R2071" s="166"/>
      <c r="S2071" s="166"/>
      <c r="T2071" s="166"/>
      <c r="U2071" s="166"/>
      <c r="V2071" s="166"/>
    </row>
    <row r="2072" spans="17:22" ht="12">
      <c r="Q2072" s="166"/>
      <c r="R2072" s="166"/>
      <c r="S2072" s="166"/>
      <c r="T2072" s="166"/>
      <c r="U2072" s="166"/>
      <c r="V2072" s="166"/>
    </row>
    <row r="2073" spans="17:22" ht="12">
      <c r="Q2073" s="166"/>
      <c r="R2073" s="166"/>
      <c r="S2073" s="166"/>
      <c r="T2073" s="166"/>
      <c r="U2073" s="166"/>
      <c r="V2073" s="166"/>
    </row>
    <row r="2074" spans="17:22" ht="12">
      <c r="Q2074" s="166"/>
      <c r="R2074" s="166"/>
      <c r="S2074" s="166"/>
      <c r="T2074" s="166"/>
      <c r="U2074" s="166"/>
      <c r="V2074" s="166"/>
    </row>
    <row r="2075" spans="17:22" ht="12">
      <c r="Q2075" s="166"/>
      <c r="R2075" s="166"/>
      <c r="S2075" s="166"/>
      <c r="T2075" s="166"/>
      <c r="U2075" s="166"/>
      <c r="V2075" s="166"/>
    </row>
    <row r="2076" spans="17:22" ht="12">
      <c r="Q2076" s="166"/>
      <c r="R2076" s="166"/>
      <c r="S2076" s="166"/>
      <c r="T2076" s="166"/>
      <c r="U2076" s="166"/>
      <c r="V2076" s="166"/>
    </row>
    <row r="2077" spans="17:22" ht="12">
      <c r="Q2077" s="166"/>
      <c r="R2077" s="166"/>
      <c r="S2077" s="166"/>
      <c r="T2077" s="166"/>
      <c r="U2077" s="166"/>
      <c r="V2077" s="166"/>
    </row>
    <row r="2078" spans="17:22" ht="12">
      <c r="Q2078" s="166"/>
      <c r="R2078" s="166"/>
      <c r="S2078" s="166"/>
      <c r="T2078" s="166"/>
      <c r="U2078" s="166"/>
      <c r="V2078" s="166"/>
    </row>
    <row r="2079" spans="17:22" ht="12">
      <c r="Q2079" s="166"/>
      <c r="R2079" s="166"/>
      <c r="S2079" s="166"/>
      <c r="T2079" s="166"/>
      <c r="U2079" s="166"/>
      <c r="V2079" s="166"/>
    </row>
    <row r="2080" spans="17:22" ht="12">
      <c r="Q2080" s="166"/>
      <c r="R2080" s="166"/>
      <c r="S2080" s="166"/>
      <c r="T2080" s="166"/>
      <c r="U2080" s="166"/>
      <c r="V2080" s="166"/>
    </row>
    <row r="2081" spans="17:22" ht="12">
      <c r="Q2081" s="166"/>
      <c r="R2081" s="166"/>
      <c r="S2081" s="166"/>
      <c r="T2081" s="166"/>
      <c r="U2081" s="166"/>
      <c r="V2081" s="166"/>
    </row>
    <row r="2082" spans="17:22" ht="12">
      <c r="Q2082" s="166"/>
      <c r="R2082" s="166"/>
      <c r="S2082" s="166"/>
      <c r="T2082" s="166"/>
      <c r="U2082" s="166"/>
      <c r="V2082" s="166"/>
    </row>
    <row r="2083" spans="17:22" ht="12">
      <c r="Q2083" s="166"/>
      <c r="R2083" s="166"/>
      <c r="S2083" s="166"/>
      <c r="T2083" s="166"/>
      <c r="U2083" s="166"/>
      <c r="V2083" s="166"/>
    </row>
    <row r="2084" spans="17:22" ht="12">
      <c r="Q2084" s="166"/>
      <c r="R2084" s="166"/>
      <c r="S2084" s="166"/>
      <c r="T2084" s="166"/>
      <c r="U2084" s="166"/>
      <c r="V2084" s="166"/>
    </row>
    <row r="2085" spans="17:22" ht="12">
      <c r="Q2085" s="166"/>
      <c r="R2085" s="166"/>
      <c r="S2085" s="166"/>
      <c r="T2085" s="166"/>
      <c r="U2085" s="166"/>
      <c r="V2085" s="166"/>
    </row>
    <row r="2086" spans="17:22" ht="12">
      <c r="Q2086" s="166"/>
      <c r="R2086" s="166"/>
      <c r="S2086" s="166"/>
      <c r="T2086" s="166"/>
      <c r="U2086" s="166"/>
      <c r="V2086" s="166"/>
    </row>
    <row r="2087" spans="17:22" ht="12">
      <c r="Q2087" s="166"/>
      <c r="R2087" s="166"/>
      <c r="S2087" s="166"/>
      <c r="T2087" s="166"/>
      <c r="U2087" s="166"/>
      <c r="V2087" s="166"/>
    </row>
    <row r="2088" spans="17:22" ht="12">
      <c r="Q2088" s="166"/>
      <c r="R2088" s="166"/>
      <c r="S2088" s="166"/>
      <c r="T2088" s="166"/>
      <c r="U2088" s="166"/>
      <c r="V2088" s="166"/>
    </row>
    <row r="2089" spans="17:22" ht="12">
      <c r="Q2089" s="166"/>
      <c r="R2089" s="166"/>
      <c r="S2089" s="166"/>
      <c r="T2089" s="166"/>
      <c r="U2089" s="166"/>
      <c r="V2089" s="166"/>
    </row>
    <row r="2090" spans="17:22" ht="12">
      <c r="Q2090" s="166"/>
      <c r="R2090" s="166"/>
      <c r="S2090" s="166"/>
      <c r="T2090" s="166"/>
      <c r="U2090" s="166"/>
      <c r="V2090" s="166"/>
    </row>
    <row r="2091" spans="17:22" ht="12">
      <c r="Q2091" s="166"/>
      <c r="R2091" s="166"/>
      <c r="S2091" s="166"/>
      <c r="T2091" s="166"/>
      <c r="U2091" s="166"/>
      <c r="V2091" s="166"/>
    </row>
    <row r="2092" spans="17:22" ht="12">
      <c r="Q2092" s="166"/>
      <c r="R2092" s="166"/>
      <c r="S2092" s="166"/>
      <c r="T2092" s="166"/>
      <c r="U2092" s="166"/>
      <c r="V2092" s="166"/>
    </row>
    <row r="2093" spans="17:22" ht="12">
      <c r="Q2093" s="166"/>
      <c r="R2093" s="166"/>
      <c r="S2093" s="166"/>
      <c r="T2093" s="166"/>
      <c r="U2093" s="166"/>
      <c r="V2093" s="166"/>
    </row>
    <row r="2094" spans="17:22" ht="12">
      <c r="Q2094" s="166"/>
      <c r="R2094" s="166"/>
      <c r="S2094" s="166"/>
      <c r="T2094" s="166"/>
      <c r="U2094" s="166"/>
      <c r="V2094" s="166"/>
    </row>
    <row r="2095" spans="17:22" ht="12">
      <c r="Q2095" s="166"/>
      <c r="R2095" s="166"/>
      <c r="S2095" s="166"/>
      <c r="T2095" s="166"/>
      <c r="U2095" s="166"/>
      <c r="V2095" s="166"/>
    </row>
    <row r="2096" spans="17:22" ht="12">
      <c r="Q2096" s="166"/>
      <c r="R2096" s="166"/>
      <c r="S2096" s="166"/>
      <c r="T2096" s="166"/>
      <c r="U2096" s="166"/>
      <c r="V2096" s="166"/>
    </row>
    <row r="2097" spans="17:22" ht="12">
      <c r="Q2097" s="166"/>
      <c r="R2097" s="166"/>
      <c r="S2097" s="166"/>
      <c r="T2097" s="166"/>
      <c r="U2097" s="166"/>
      <c r="V2097" s="166"/>
    </row>
    <row r="2098" spans="17:22" ht="12">
      <c r="Q2098" s="166"/>
      <c r="R2098" s="166"/>
      <c r="S2098" s="166"/>
      <c r="T2098" s="166"/>
      <c r="U2098" s="166"/>
      <c r="V2098" s="166"/>
    </row>
    <row r="2099" spans="17:22" ht="12">
      <c r="Q2099" s="166"/>
      <c r="R2099" s="166"/>
      <c r="S2099" s="166"/>
      <c r="T2099" s="166"/>
      <c r="U2099" s="166"/>
      <c r="V2099" s="166"/>
    </row>
    <row r="2100" spans="17:22" ht="12">
      <c r="Q2100" s="166"/>
      <c r="R2100" s="166"/>
      <c r="S2100" s="166"/>
      <c r="T2100" s="166"/>
      <c r="U2100" s="166"/>
      <c r="V2100" s="166"/>
    </row>
    <row r="2101" spans="17:22" ht="12">
      <c r="Q2101" s="166"/>
      <c r="R2101" s="166"/>
      <c r="S2101" s="166"/>
      <c r="T2101" s="166"/>
      <c r="U2101" s="166"/>
      <c r="V2101" s="166"/>
    </row>
    <row r="2102" spans="17:22" ht="12">
      <c r="Q2102" s="166"/>
      <c r="R2102" s="166"/>
      <c r="S2102" s="166"/>
      <c r="T2102" s="166"/>
      <c r="U2102" s="166"/>
      <c r="V2102" s="166"/>
    </row>
    <row r="2103" spans="17:22" ht="12">
      <c r="Q2103" s="166"/>
      <c r="R2103" s="166"/>
      <c r="S2103" s="166"/>
      <c r="T2103" s="166"/>
      <c r="U2103" s="166"/>
      <c r="V2103" s="166"/>
    </row>
    <row r="2104" spans="17:22" ht="12">
      <c r="Q2104" s="166"/>
      <c r="R2104" s="166"/>
      <c r="S2104" s="166"/>
      <c r="T2104" s="166"/>
      <c r="U2104" s="166"/>
      <c r="V2104" s="166"/>
    </row>
    <row r="2105" spans="17:22" ht="12">
      <c r="Q2105" s="166"/>
      <c r="R2105" s="166"/>
      <c r="S2105" s="166"/>
      <c r="T2105" s="166"/>
      <c r="U2105" s="166"/>
      <c r="V2105" s="166"/>
    </row>
    <row r="2106" spans="17:22" ht="12">
      <c r="Q2106" s="166"/>
      <c r="R2106" s="166"/>
      <c r="S2106" s="166"/>
      <c r="T2106" s="166"/>
      <c r="U2106" s="166"/>
      <c r="V2106" s="166"/>
    </row>
    <row r="2107" spans="17:22" ht="12">
      <c r="Q2107" s="166"/>
      <c r="R2107" s="166"/>
      <c r="S2107" s="166"/>
      <c r="T2107" s="166"/>
      <c r="U2107" s="166"/>
      <c r="V2107" s="166"/>
    </row>
    <row r="2108" spans="17:22" ht="12">
      <c r="Q2108" s="166"/>
      <c r="R2108" s="166"/>
      <c r="S2108" s="166"/>
      <c r="T2108" s="166"/>
      <c r="U2108" s="166"/>
      <c r="V2108" s="166"/>
    </row>
    <row r="2109" spans="17:22" ht="12">
      <c r="Q2109" s="166"/>
      <c r="R2109" s="166"/>
      <c r="S2109" s="166"/>
      <c r="T2109" s="166"/>
      <c r="U2109" s="166"/>
      <c r="V2109" s="166"/>
    </row>
    <row r="2110" spans="17:22" ht="12">
      <c r="Q2110" s="166"/>
      <c r="R2110" s="166"/>
      <c r="S2110" s="166"/>
      <c r="T2110" s="166"/>
      <c r="U2110" s="166"/>
      <c r="V2110" s="166"/>
    </row>
    <row r="2111" spans="17:22" ht="12">
      <c r="Q2111" s="166"/>
      <c r="R2111" s="166"/>
      <c r="S2111" s="166"/>
      <c r="T2111" s="166"/>
      <c r="U2111" s="166"/>
      <c r="V2111" s="166"/>
    </row>
    <row r="2112" spans="17:22" ht="12">
      <c r="Q2112" s="166"/>
      <c r="R2112" s="166"/>
      <c r="S2112" s="166"/>
      <c r="T2112" s="166"/>
      <c r="U2112" s="166"/>
      <c r="V2112" s="166"/>
    </row>
    <row r="2113" spans="17:22" ht="12">
      <c r="Q2113" s="166"/>
      <c r="R2113" s="166"/>
      <c r="S2113" s="166"/>
      <c r="T2113" s="166"/>
      <c r="U2113" s="166"/>
      <c r="V2113" s="166"/>
    </row>
    <row r="2114" spans="17:22" ht="12">
      <c r="Q2114" s="166"/>
      <c r="R2114" s="166"/>
      <c r="S2114" s="166"/>
      <c r="T2114" s="166"/>
      <c r="U2114" s="166"/>
      <c r="V2114" s="166"/>
    </row>
    <row r="2115" spans="17:22" ht="12">
      <c r="Q2115" s="166"/>
      <c r="R2115" s="166"/>
      <c r="S2115" s="166"/>
      <c r="T2115" s="166"/>
      <c r="U2115" s="166"/>
      <c r="V2115" s="166"/>
    </row>
    <row r="2116" spans="17:22" ht="12">
      <c r="Q2116" s="166"/>
      <c r="R2116" s="166"/>
      <c r="S2116" s="166"/>
      <c r="T2116" s="166"/>
      <c r="U2116" s="166"/>
      <c r="V2116" s="166"/>
    </row>
    <row r="2117" spans="17:22" ht="12">
      <c r="Q2117" s="166"/>
      <c r="R2117" s="166"/>
      <c r="S2117" s="166"/>
      <c r="T2117" s="166"/>
      <c r="U2117" s="166"/>
      <c r="V2117" s="166"/>
    </row>
    <row r="2118" spans="17:22" ht="12">
      <c r="Q2118" s="166"/>
      <c r="R2118" s="166"/>
      <c r="S2118" s="166"/>
      <c r="T2118" s="166"/>
      <c r="U2118" s="166"/>
      <c r="V2118" s="166"/>
    </row>
    <row r="2119" spans="17:22" ht="12">
      <c r="Q2119" s="166"/>
      <c r="R2119" s="166"/>
      <c r="S2119" s="166"/>
      <c r="T2119" s="166"/>
      <c r="U2119" s="166"/>
      <c r="V2119" s="166"/>
    </row>
    <row r="2120" spans="17:22" ht="12">
      <c r="Q2120" s="166"/>
      <c r="R2120" s="166"/>
      <c r="S2120" s="166"/>
      <c r="T2120" s="166"/>
      <c r="U2120" s="166"/>
      <c r="V2120" s="166"/>
    </row>
    <row r="2121" spans="17:22" ht="12">
      <c r="Q2121" s="166"/>
      <c r="R2121" s="166"/>
      <c r="S2121" s="166"/>
      <c r="T2121" s="166"/>
      <c r="U2121" s="166"/>
      <c r="V2121" s="166"/>
    </row>
    <row r="2122" spans="17:22" ht="12">
      <c r="Q2122" s="166"/>
      <c r="R2122" s="166"/>
      <c r="S2122" s="166"/>
      <c r="T2122" s="166"/>
      <c r="U2122" s="166"/>
      <c r="V2122" s="166"/>
    </row>
    <row r="2123" spans="17:22" ht="12">
      <c r="Q2123" s="166"/>
      <c r="R2123" s="166"/>
      <c r="S2123" s="166"/>
      <c r="T2123" s="166"/>
      <c r="U2123" s="166"/>
      <c r="V2123" s="166"/>
    </row>
    <row r="2124" spans="17:22" ht="12">
      <c r="Q2124" s="166"/>
      <c r="R2124" s="166"/>
      <c r="S2124" s="166"/>
      <c r="T2124" s="166"/>
      <c r="U2124" s="166"/>
      <c r="V2124" s="166"/>
    </row>
    <row r="2125" spans="17:22" ht="12">
      <c r="Q2125" s="166"/>
      <c r="R2125" s="166"/>
      <c r="S2125" s="166"/>
      <c r="T2125" s="166"/>
      <c r="U2125" s="166"/>
      <c r="V2125" s="166"/>
    </row>
    <row r="2126" spans="17:22" ht="12">
      <c r="Q2126" s="166"/>
      <c r="R2126" s="166"/>
      <c r="S2126" s="166"/>
      <c r="T2126" s="166"/>
      <c r="U2126" s="166"/>
      <c r="V2126" s="166"/>
    </row>
    <row r="2127" spans="17:22" ht="12">
      <c r="Q2127" s="166"/>
      <c r="R2127" s="166"/>
      <c r="S2127" s="166"/>
      <c r="T2127" s="166"/>
      <c r="U2127" s="166"/>
      <c r="V2127" s="166"/>
    </row>
    <row r="2128" spans="17:22" ht="12">
      <c r="Q2128" s="166"/>
      <c r="R2128" s="166"/>
      <c r="S2128" s="166"/>
      <c r="T2128" s="166"/>
      <c r="U2128" s="166"/>
      <c r="V2128" s="166"/>
    </row>
    <row r="2129" spans="17:22" ht="12">
      <c r="Q2129" s="166"/>
      <c r="R2129" s="166"/>
      <c r="S2129" s="166"/>
      <c r="T2129" s="166"/>
      <c r="U2129" s="166"/>
      <c r="V2129" s="166"/>
    </row>
    <row r="2130" spans="17:22" ht="12">
      <c r="Q2130" s="166"/>
      <c r="R2130" s="166"/>
      <c r="S2130" s="166"/>
      <c r="T2130" s="166"/>
      <c r="U2130" s="166"/>
      <c r="V2130" s="166"/>
    </row>
    <row r="2131" spans="17:22" ht="12">
      <c r="Q2131" s="166"/>
      <c r="R2131" s="166"/>
      <c r="S2131" s="166"/>
      <c r="T2131" s="166"/>
      <c r="U2131" s="166"/>
      <c r="V2131" s="166"/>
    </row>
    <row r="2132" spans="17:22" ht="12">
      <c r="Q2132" s="166"/>
      <c r="R2132" s="166"/>
      <c r="S2132" s="166"/>
      <c r="T2132" s="166"/>
      <c r="U2132" s="166"/>
      <c r="V2132" s="166"/>
    </row>
    <row r="2133" spans="17:22" ht="12">
      <c r="Q2133" s="166"/>
      <c r="R2133" s="166"/>
      <c r="S2133" s="166"/>
      <c r="T2133" s="166"/>
      <c r="U2133" s="166"/>
      <c r="V2133" s="166"/>
    </row>
    <row r="2134" spans="17:22" ht="12">
      <c r="Q2134" s="166"/>
      <c r="R2134" s="166"/>
      <c r="S2134" s="166"/>
      <c r="T2134" s="166"/>
      <c r="U2134" s="166"/>
      <c r="V2134" s="166"/>
    </row>
    <row r="2135" spans="17:22" ht="12">
      <c r="Q2135" s="166"/>
      <c r="R2135" s="166"/>
      <c r="S2135" s="166"/>
      <c r="T2135" s="166"/>
      <c r="U2135" s="166"/>
      <c r="V2135" s="166"/>
    </row>
    <row r="2136" spans="17:22" ht="12">
      <c r="Q2136" s="166"/>
      <c r="R2136" s="166"/>
      <c r="S2136" s="166"/>
      <c r="T2136" s="166"/>
      <c r="U2136" s="166"/>
      <c r="V2136" s="166"/>
    </row>
    <row r="2137" spans="17:22" ht="12">
      <c r="Q2137" s="166"/>
      <c r="R2137" s="166"/>
      <c r="S2137" s="166"/>
      <c r="T2137" s="166"/>
      <c r="U2137" s="166"/>
      <c r="V2137" s="166"/>
    </row>
    <row r="2138" spans="17:22" ht="12">
      <c r="Q2138" s="166"/>
      <c r="R2138" s="166"/>
      <c r="S2138" s="166"/>
      <c r="T2138" s="166"/>
      <c r="U2138" s="166"/>
      <c r="V2138" s="166"/>
    </row>
    <row r="2139" spans="17:22" ht="12">
      <c r="Q2139" s="166"/>
      <c r="R2139" s="166"/>
      <c r="S2139" s="166"/>
      <c r="T2139" s="166"/>
      <c r="U2139" s="166"/>
      <c r="V2139" s="166"/>
    </row>
    <row r="2140" spans="17:22" ht="12">
      <c r="Q2140" s="166"/>
      <c r="R2140" s="166"/>
      <c r="S2140" s="166"/>
      <c r="T2140" s="166"/>
      <c r="U2140" s="166"/>
      <c r="V2140" s="166"/>
    </row>
    <row r="2141" spans="17:22" ht="12">
      <c r="Q2141" s="166"/>
      <c r="R2141" s="166"/>
      <c r="S2141" s="166"/>
      <c r="T2141" s="166"/>
      <c r="U2141" s="166"/>
      <c r="V2141" s="166"/>
    </row>
    <row r="2142" spans="17:22" ht="12">
      <c r="Q2142" s="166"/>
      <c r="R2142" s="166"/>
      <c r="S2142" s="166"/>
      <c r="T2142" s="166"/>
      <c r="U2142" s="166"/>
      <c r="V2142" s="166"/>
    </row>
    <row r="2143" spans="17:22" ht="12">
      <c r="Q2143" s="166"/>
      <c r="R2143" s="166"/>
      <c r="S2143" s="166"/>
      <c r="T2143" s="166"/>
      <c r="U2143" s="166"/>
      <c r="V2143" s="166"/>
    </row>
    <row r="2144" spans="17:22" ht="12">
      <c r="Q2144" s="166"/>
      <c r="R2144" s="166"/>
      <c r="S2144" s="166"/>
      <c r="T2144" s="166"/>
      <c r="U2144" s="166"/>
      <c r="V2144" s="166"/>
    </row>
    <row r="2145" spans="17:22" ht="12">
      <c r="Q2145" s="166"/>
      <c r="R2145" s="166"/>
      <c r="S2145" s="166"/>
      <c r="T2145" s="166"/>
      <c r="U2145" s="166"/>
      <c r="V2145" s="166"/>
    </row>
    <row r="2146" spans="17:22" ht="12">
      <c r="Q2146" s="166"/>
      <c r="R2146" s="166"/>
      <c r="S2146" s="166"/>
      <c r="T2146" s="166"/>
      <c r="U2146" s="166"/>
      <c r="V2146" s="166"/>
    </row>
    <row r="2147" spans="17:22" ht="12">
      <c r="Q2147" s="166"/>
      <c r="R2147" s="166"/>
      <c r="S2147" s="166"/>
      <c r="T2147" s="166"/>
      <c r="U2147" s="166"/>
      <c r="V2147" s="166"/>
    </row>
    <row r="2148" spans="17:22" ht="12">
      <c r="Q2148" s="166"/>
      <c r="R2148" s="166"/>
      <c r="S2148" s="166"/>
      <c r="T2148" s="166"/>
      <c r="U2148" s="166"/>
      <c r="V2148" s="166"/>
    </row>
    <row r="2149" spans="17:22" ht="12">
      <c r="Q2149" s="166"/>
      <c r="R2149" s="166"/>
      <c r="S2149" s="166"/>
      <c r="T2149" s="166"/>
      <c r="U2149" s="166"/>
      <c r="V2149" s="166"/>
    </row>
    <row r="2150" spans="17:22" ht="12">
      <c r="Q2150" s="166"/>
      <c r="R2150" s="166"/>
      <c r="S2150" s="166"/>
      <c r="T2150" s="166"/>
      <c r="U2150" s="166"/>
      <c r="V2150" s="166"/>
    </row>
    <row r="2151" spans="17:22" ht="12">
      <c r="Q2151" s="166"/>
      <c r="R2151" s="166"/>
      <c r="S2151" s="166"/>
      <c r="T2151" s="166"/>
      <c r="U2151" s="166"/>
      <c r="V2151" s="166"/>
    </row>
    <row r="2152" spans="17:22" ht="12">
      <c r="Q2152" s="166"/>
      <c r="R2152" s="166"/>
      <c r="S2152" s="166"/>
      <c r="T2152" s="166"/>
      <c r="U2152" s="166"/>
      <c r="V2152" s="166"/>
    </row>
    <row r="2153" spans="17:22" ht="12">
      <c r="Q2153" s="166"/>
      <c r="R2153" s="166"/>
      <c r="S2153" s="166"/>
      <c r="T2153" s="166"/>
      <c r="U2153" s="166"/>
      <c r="V2153" s="166"/>
    </row>
    <row r="2154" spans="17:22" ht="12">
      <c r="Q2154" s="166"/>
      <c r="R2154" s="166"/>
      <c r="S2154" s="166"/>
      <c r="T2154" s="166"/>
      <c r="U2154" s="166"/>
      <c r="V2154" s="166"/>
    </row>
    <row r="2155" spans="17:22" ht="12">
      <c r="Q2155" s="166"/>
      <c r="R2155" s="166"/>
      <c r="S2155" s="166"/>
      <c r="T2155" s="166"/>
      <c r="U2155" s="166"/>
      <c r="V2155" s="166"/>
    </row>
    <row r="2156" spans="17:22" ht="12">
      <c r="Q2156" s="166"/>
      <c r="R2156" s="166"/>
      <c r="S2156" s="166"/>
      <c r="T2156" s="166"/>
      <c r="U2156" s="166"/>
      <c r="V2156" s="166"/>
    </row>
    <row r="2157" spans="17:22" ht="12">
      <c r="Q2157" s="166"/>
      <c r="R2157" s="166"/>
      <c r="S2157" s="166"/>
      <c r="T2157" s="166"/>
      <c r="U2157" s="166"/>
      <c r="V2157" s="166"/>
    </row>
    <row r="2158" spans="17:22" ht="12">
      <c r="Q2158" s="166"/>
      <c r="R2158" s="166"/>
      <c r="S2158" s="166"/>
      <c r="T2158" s="166"/>
      <c r="U2158" s="166"/>
      <c r="V2158" s="166"/>
    </row>
    <row r="2159" spans="17:22" ht="12">
      <c r="Q2159" s="166"/>
      <c r="R2159" s="166"/>
      <c r="S2159" s="166"/>
      <c r="T2159" s="166"/>
      <c r="U2159" s="166"/>
      <c r="V2159" s="166"/>
    </row>
    <row r="2160" spans="17:22" ht="12">
      <c r="Q2160" s="166"/>
      <c r="R2160" s="166"/>
      <c r="S2160" s="166"/>
      <c r="T2160" s="166"/>
      <c r="U2160" s="166"/>
      <c r="V2160" s="166"/>
    </row>
    <row r="2161" spans="17:22" ht="12">
      <c r="Q2161" s="166"/>
      <c r="R2161" s="166"/>
      <c r="S2161" s="166"/>
      <c r="T2161" s="166"/>
      <c r="U2161" s="166"/>
      <c r="V2161" s="166"/>
    </row>
    <row r="2162" spans="17:22" ht="12">
      <c r="Q2162" s="166"/>
      <c r="R2162" s="166"/>
      <c r="S2162" s="166"/>
      <c r="T2162" s="166"/>
      <c r="U2162" s="166"/>
      <c r="V2162" s="166"/>
    </row>
    <row r="2163" spans="17:22" ht="12">
      <c r="Q2163" s="166"/>
      <c r="R2163" s="166"/>
      <c r="S2163" s="166"/>
      <c r="T2163" s="166"/>
      <c r="U2163" s="166"/>
      <c r="V2163" s="166"/>
    </row>
    <row r="2164" spans="17:22" ht="12">
      <c r="Q2164" s="166"/>
      <c r="R2164" s="166"/>
      <c r="S2164" s="166"/>
      <c r="T2164" s="166"/>
      <c r="U2164" s="166"/>
      <c r="V2164" s="166"/>
    </row>
    <row r="2165" spans="17:22" ht="12">
      <c r="Q2165" s="166"/>
      <c r="R2165" s="166"/>
      <c r="S2165" s="166"/>
      <c r="T2165" s="166"/>
      <c r="U2165" s="166"/>
      <c r="V2165" s="166"/>
    </row>
    <row r="2166" spans="17:22" ht="12">
      <c r="Q2166" s="166"/>
      <c r="R2166" s="166"/>
      <c r="S2166" s="166"/>
      <c r="T2166" s="166"/>
      <c r="U2166" s="166"/>
      <c r="V2166" s="166"/>
    </row>
    <row r="2167" spans="17:22" ht="12">
      <c r="Q2167" s="166"/>
      <c r="R2167" s="166"/>
      <c r="S2167" s="166"/>
      <c r="T2167" s="166"/>
      <c r="U2167" s="166"/>
      <c r="V2167" s="166"/>
    </row>
    <row r="2168" spans="17:22" ht="12">
      <c r="Q2168" s="166"/>
      <c r="R2168" s="166"/>
      <c r="S2168" s="166"/>
      <c r="T2168" s="166"/>
      <c r="U2168" s="166"/>
      <c r="V2168" s="166"/>
    </row>
    <row r="2169" spans="17:22" ht="12">
      <c r="Q2169" s="166"/>
      <c r="R2169" s="166"/>
      <c r="S2169" s="166"/>
      <c r="T2169" s="166"/>
      <c r="U2169" s="166"/>
      <c r="V2169" s="166"/>
    </row>
    <row r="2170" spans="17:22" ht="12">
      <c r="Q2170" s="166"/>
      <c r="R2170" s="166"/>
      <c r="S2170" s="166"/>
      <c r="T2170" s="166"/>
      <c r="U2170" s="166"/>
      <c r="V2170" s="166"/>
    </row>
    <row r="2171" spans="17:22" ht="12">
      <c r="Q2171" s="166"/>
      <c r="R2171" s="166"/>
      <c r="S2171" s="166"/>
      <c r="T2171" s="166"/>
      <c r="U2171" s="166"/>
      <c r="V2171" s="166"/>
    </row>
    <row r="2172" spans="17:22" ht="12">
      <c r="Q2172" s="166"/>
      <c r="R2172" s="166"/>
      <c r="S2172" s="166"/>
      <c r="T2172" s="166"/>
      <c r="U2172" s="166"/>
      <c r="V2172" s="166"/>
    </row>
    <row r="2173" spans="17:22" ht="12">
      <c r="Q2173" s="166"/>
      <c r="R2173" s="166"/>
      <c r="S2173" s="166"/>
      <c r="T2173" s="166"/>
      <c r="U2173" s="166"/>
      <c r="V2173" s="166"/>
    </row>
    <row r="2174" spans="17:22" ht="12">
      <c r="Q2174" s="166"/>
      <c r="R2174" s="166"/>
      <c r="S2174" s="166"/>
      <c r="T2174" s="166"/>
      <c r="U2174" s="166"/>
      <c r="V2174" s="166"/>
    </row>
    <row r="2175" spans="17:22" ht="12">
      <c r="Q2175" s="166"/>
      <c r="R2175" s="166"/>
      <c r="S2175" s="166"/>
      <c r="T2175" s="166"/>
      <c r="U2175" s="166"/>
      <c r="V2175" s="166"/>
    </row>
    <row r="2176" spans="17:22" ht="12">
      <c r="Q2176" s="166"/>
      <c r="R2176" s="166"/>
      <c r="S2176" s="166"/>
      <c r="T2176" s="166"/>
      <c r="U2176" s="166"/>
      <c r="V2176" s="166"/>
    </row>
    <row r="2177" spans="17:22" ht="12">
      <c r="Q2177" s="166"/>
      <c r="R2177" s="166"/>
      <c r="S2177" s="166"/>
      <c r="T2177" s="166"/>
      <c r="U2177" s="166"/>
      <c r="V2177" s="166"/>
    </row>
    <row r="2178" spans="17:22" ht="12">
      <c r="Q2178" s="166"/>
      <c r="R2178" s="166"/>
      <c r="S2178" s="166"/>
      <c r="T2178" s="166"/>
      <c r="U2178" s="166"/>
      <c r="V2178" s="166"/>
    </row>
    <row r="2179" spans="17:22" ht="12">
      <c r="Q2179" s="166"/>
      <c r="R2179" s="166"/>
      <c r="S2179" s="166"/>
      <c r="T2179" s="166"/>
      <c r="U2179" s="166"/>
      <c r="V2179" s="166"/>
    </row>
    <row r="2180" spans="17:22" ht="12">
      <c r="Q2180" s="166"/>
      <c r="R2180" s="166"/>
      <c r="S2180" s="166"/>
      <c r="T2180" s="166"/>
      <c r="U2180" s="166"/>
      <c r="V2180" s="166"/>
    </row>
    <row r="2181" spans="17:22" ht="12">
      <c r="Q2181" s="166"/>
      <c r="R2181" s="166"/>
      <c r="S2181" s="166"/>
      <c r="T2181" s="166"/>
      <c r="U2181" s="166"/>
      <c r="V2181" s="166"/>
    </row>
    <row r="2182" spans="17:22" ht="12">
      <c r="Q2182" s="166"/>
      <c r="R2182" s="166"/>
      <c r="S2182" s="166"/>
      <c r="T2182" s="166"/>
      <c r="U2182" s="166"/>
      <c r="V2182" s="166"/>
    </row>
    <row r="2183" spans="17:22" ht="12">
      <c r="Q2183" s="166"/>
      <c r="R2183" s="166"/>
      <c r="S2183" s="166"/>
      <c r="T2183" s="166"/>
      <c r="U2183" s="166"/>
      <c r="V2183" s="166"/>
    </row>
    <row r="2184" spans="17:22" ht="12">
      <c r="Q2184" s="166"/>
      <c r="R2184" s="166"/>
      <c r="S2184" s="166"/>
      <c r="T2184" s="166"/>
      <c r="U2184" s="166"/>
      <c r="V2184" s="166"/>
    </row>
    <row r="2185" spans="17:22" ht="12">
      <c r="Q2185" s="166"/>
      <c r="R2185" s="166"/>
      <c r="S2185" s="166"/>
      <c r="T2185" s="166"/>
      <c r="U2185" s="166"/>
      <c r="V2185" s="166"/>
    </row>
    <row r="2186" spans="17:22" ht="12">
      <c r="Q2186" s="166"/>
      <c r="R2186" s="166"/>
      <c r="S2186" s="166"/>
      <c r="T2186" s="166"/>
      <c r="U2186" s="166"/>
      <c r="V2186" s="166"/>
    </row>
    <row r="2187" spans="17:22" ht="12">
      <c r="Q2187" s="166"/>
      <c r="R2187" s="166"/>
      <c r="S2187" s="166"/>
      <c r="T2187" s="166"/>
      <c r="U2187" s="166"/>
      <c r="V2187" s="166"/>
    </row>
    <row r="2188" spans="17:22" ht="12">
      <c r="Q2188" s="166"/>
      <c r="R2188" s="166"/>
      <c r="S2188" s="166"/>
      <c r="T2188" s="166"/>
      <c r="U2188" s="166"/>
      <c r="V2188" s="166"/>
    </row>
    <row r="2189" spans="17:22" ht="12">
      <c r="Q2189" s="166"/>
      <c r="R2189" s="166"/>
      <c r="S2189" s="166"/>
      <c r="T2189" s="166"/>
      <c r="U2189" s="166"/>
      <c r="V2189" s="166"/>
    </row>
    <row r="2190" spans="17:22" ht="12">
      <c r="Q2190" s="166"/>
      <c r="R2190" s="166"/>
      <c r="S2190" s="166"/>
      <c r="T2190" s="166"/>
      <c r="U2190" s="166"/>
      <c r="V2190" s="166"/>
    </row>
    <row r="2191" spans="17:22" ht="12">
      <c r="Q2191" s="166"/>
      <c r="R2191" s="166"/>
      <c r="S2191" s="166"/>
      <c r="T2191" s="166"/>
      <c r="U2191" s="166"/>
      <c r="V2191" s="166"/>
    </row>
    <row r="2192" spans="17:22" ht="12">
      <c r="Q2192" s="166"/>
      <c r="R2192" s="166"/>
      <c r="S2192" s="166"/>
      <c r="T2192" s="166"/>
      <c r="U2192" s="166"/>
      <c r="V2192" s="166"/>
    </row>
    <row r="2193" spans="17:22" ht="12">
      <c r="Q2193" s="166"/>
      <c r="R2193" s="166"/>
      <c r="S2193" s="166"/>
      <c r="T2193" s="166"/>
      <c r="U2193" s="166"/>
      <c r="V2193" s="166"/>
    </row>
    <row r="2194" spans="17:22" ht="12">
      <c r="Q2194" s="166"/>
      <c r="R2194" s="166"/>
      <c r="S2194" s="166"/>
      <c r="T2194" s="166"/>
      <c r="U2194" s="166"/>
      <c r="V2194" s="166"/>
    </row>
    <row r="2195" spans="17:22" ht="12">
      <c r="Q2195" s="166"/>
      <c r="R2195" s="166"/>
      <c r="S2195" s="166"/>
      <c r="T2195" s="166"/>
      <c r="U2195" s="166"/>
      <c r="V2195" s="166"/>
    </row>
    <row r="2196" spans="17:22" ht="12">
      <c r="Q2196" s="166"/>
      <c r="R2196" s="166"/>
      <c r="S2196" s="166"/>
      <c r="T2196" s="166"/>
      <c r="U2196" s="166"/>
      <c r="V2196" s="166"/>
    </row>
    <row r="2197" spans="17:22" ht="12">
      <c r="Q2197" s="166"/>
      <c r="R2197" s="166"/>
      <c r="S2197" s="166"/>
      <c r="T2197" s="166"/>
      <c r="U2197" s="166"/>
      <c r="V2197" s="166"/>
    </row>
    <row r="2198" spans="17:22" ht="12">
      <c r="Q2198" s="166"/>
      <c r="R2198" s="166"/>
      <c r="S2198" s="166"/>
      <c r="T2198" s="166"/>
      <c r="U2198" s="166"/>
      <c r="V2198" s="166"/>
    </row>
    <row r="2199" spans="17:22" ht="12">
      <c r="Q2199" s="166"/>
      <c r="R2199" s="166"/>
      <c r="S2199" s="166"/>
      <c r="T2199" s="166"/>
      <c r="U2199" s="166"/>
      <c r="V2199" s="166"/>
    </row>
    <row r="2200" spans="17:22" ht="12">
      <c r="Q2200" s="166"/>
      <c r="R2200" s="166"/>
      <c r="S2200" s="166"/>
      <c r="T2200" s="166"/>
      <c r="U2200" s="166"/>
      <c r="V2200" s="166"/>
    </row>
    <row r="2201" spans="17:22" ht="12">
      <c r="Q2201" s="166"/>
      <c r="R2201" s="166"/>
      <c r="S2201" s="166"/>
      <c r="T2201" s="166"/>
      <c r="U2201" s="166"/>
      <c r="V2201" s="166"/>
    </row>
    <row r="2202" spans="17:22" ht="12">
      <c r="Q2202" s="166"/>
      <c r="R2202" s="166"/>
      <c r="S2202" s="166"/>
      <c r="T2202" s="166"/>
      <c r="U2202" s="166"/>
      <c r="V2202" s="166"/>
    </row>
    <row r="2203" spans="17:22" ht="12">
      <c r="Q2203" s="166"/>
      <c r="R2203" s="166"/>
      <c r="S2203" s="166"/>
      <c r="T2203" s="166"/>
      <c r="U2203" s="166"/>
      <c r="V2203" s="166"/>
    </row>
    <row r="2204" spans="17:22" ht="12">
      <c r="Q2204" s="166"/>
      <c r="R2204" s="166"/>
      <c r="S2204" s="166"/>
      <c r="T2204" s="166"/>
      <c r="U2204" s="166"/>
      <c r="V2204" s="166"/>
    </row>
    <row r="2205" spans="17:22" ht="12">
      <c r="Q2205" s="166"/>
      <c r="R2205" s="166"/>
      <c r="S2205" s="166"/>
      <c r="T2205" s="166"/>
      <c r="U2205" s="166"/>
      <c r="V2205" s="166"/>
    </row>
    <row r="2206" spans="17:22" ht="12">
      <c r="Q2206" s="166"/>
      <c r="R2206" s="166"/>
      <c r="S2206" s="166"/>
      <c r="T2206" s="166"/>
      <c r="U2206" s="166"/>
      <c r="V2206" s="166"/>
    </row>
    <row r="2207" spans="17:22" ht="12">
      <c r="Q2207" s="166"/>
      <c r="R2207" s="166"/>
      <c r="S2207" s="166"/>
      <c r="T2207" s="166"/>
      <c r="U2207" s="166"/>
      <c r="V2207" s="166"/>
    </row>
    <row r="2208" spans="17:22" ht="12">
      <c r="Q2208" s="166"/>
      <c r="R2208" s="166"/>
      <c r="S2208" s="166"/>
      <c r="T2208" s="166"/>
      <c r="U2208" s="166"/>
      <c r="V2208" s="166"/>
    </row>
    <row r="2209" spans="17:22" ht="12">
      <c r="Q2209" s="166"/>
      <c r="R2209" s="166"/>
      <c r="S2209" s="166"/>
      <c r="T2209" s="166"/>
      <c r="U2209" s="166"/>
      <c r="V2209" s="166"/>
    </row>
    <row r="2210" spans="17:22" ht="12">
      <c r="Q2210" s="166"/>
      <c r="R2210" s="166"/>
      <c r="S2210" s="166"/>
      <c r="T2210" s="166"/>
      <c r="U2210" s="166"/>
      <c r="V2210" s="166"/>
    </row>
  </sheetData>
  <printOptions horizontalCentered="1"/>
  <pageMargins left="0.167" right="0.167" top="0.52" bottom="0.75" header="0" footer="0.28"/>
  <pageSetup fitToHeight="1" fitToWidth="1" horizontalDpi="600" verticalDpi="600" orientation="portrait" scale="83" r:id="rId1"/>
  <headerFooter alignWithMargins="0">
    <oddFooter>&amp;C&amp;"Arial,Italic"&amp;9Vegetables and Melons Outlook&amp;"Arial,Regular"/VGS-330/December 16, 2008
Economic Research Service, USDA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Gary Lucier</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and Melons Outlook--Fresh vegetable market tables</dc:title>
  <dc:subject>Agricultural economics</dc:subject>
  <dc:creator>Gary Lucier</dc:creator>
  <cp:keywords>VGS-330, fresh vegetables, acres, prices, production, value, shipments, pumpkins, tomatoes, lettuce, onions, broccoli, carrots, peppers, melons, watermelon, spinach, celery, cabbage, sweet corn, cucumbers, cantaloup, snap beans, herbs, peppermint, spearmint, ERS, Economic Research Service,  USDA, U.S. Department of Agriculture</cp:keywords>
  <dc:description>Updated 12/16/2008.
</dc:description>
  <cp:lastModifiedBy>glucier</cp:lastModifiedBy>
  <cp:lastPrinted>2008-12-16T15:36:07Z</cp:lastPrinted>
  <dcterms:created xsi:type="dcterms:W3CDTF">2001-08-09T17:16:40Z</dcterms:created>
  <dcterms:modified xsi:type="dcterms:W3CDTF">2008-12-16T15:37:39Z</dcterms:modified>
  <cp:category>Fresh vegetables</cp:category>
  <cp:version/>
  <cp:contentType/>
  <cp:contentStatus/>
</cp:coreProperties>
</file>

<file path=docProps/custom.xml><?xml version="1.0" encoding="utf-8"?>
<Properties xmlns="http://schemas.openxmlformats.org/officeDocument/2006/custom-properties" xmlns:vt="http://schemas.openxmlformats.org/officeDocument/2006/docPropsVTypes"/>
</file>