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1780" windowHeight="12620" activeTab="0"/>
  </bookViews>
  <sheets>
    <sheet name="FIRE PS Costs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<sst xmlns="http://schemas.openxmlformats.org/spreadsheetml/2006/main" count="280" uniqueCount="60">
  <si>
    <t>CATEGORY</t>
  </si>
  <si>
    <t>ITER Rating (MVA)</t>
  </si>
  <si>
    <t>PCAST Rating (MVA)</t>
  </si>
  <si>
    <t>FIRE Rating (MVA)</t>
  </si>
  <si>
    <t>ITER Scaling ($95/ MVA)</t>
  </si>
  <si>
    <t>ITER Cost (M$95)</t>
  </si>
  <si>
    <t>PCAST Cost (M$95)</t>
  </si>
  <si>
    <t>Utility Grid Interface</t>
  </si>
  <si>
    <t>Substation</t>
  </si>
  <si>
    <t>Energy Storage System</t>
  </si>
  <si>
    <t>∑AC Distribution</t>
  </si>
  <si>
    <t>AC/DC Converters</t>
  </si>
  <si>
    <t>Auxiliary Heating</t>
  </si>
  <si>
    <t>Reactive Compensation</t>
  </si>
  <si>
    <t xml:space="preserve"> </t>
  </si>
  <si>
    <t>-Fast Discharge Circuits</t>
  </si>
  <si>
    <t>-Booster Converters</t>
  </si>
  <si>
    <t>-Switching Network Units</t>
  </si>
  <si>
    <t>Fast Plasma Position Control PS</t>
  </si>
  <si>
    <t>Instrumentation</t>
  </si>
  <si>
    <t>DC Components &amp; Dummy Loads</t>
  </si>
  <si>
    <t>Auxiliary Power System</t>
  </si>
  <si>
    <t>TF AC/DC Converters</t>
  </si>
  <si>
    <t>∑PF AC/DC Converters</t>
  </si>
  <si>
    <t>PF Switching Networks</t>
  </si>
  <si>
    <t>GRAND TOTAL</t>
  </si>
  <si>
    <t>-Main AC/DC Conv (Type A)</t>
  </si>
  <si>
    <t>-Main AC/DC Conv (Type B)</t>
  </si>
  <si>
    <t>-CS Current Balancing Conv</t>
  </si>
  <si>
    <t xml:space="preserve">Reactive Power Compensation </t>
  </si>
  <si>
    <t>Fire Cost (M$99)</t>
  </si>
  <si>
    <t>Field Error Correction PS</t>
  </si>
  <si>
    <t>Resistive Wall Mode PS</t>
  </si>
  <si>
    <t>TOTAL AUX POWER SYSTEM (4.1)</t>
  </si>
  <si>
    <t>TOTAL EXP PWR SYS  (4.2)</t>
  </si>
  <si>
    <t>TR</t>
  </si>
  <si>
    <t>SR</t>
  </si>
  <si>
    <t>CR</t>
  </si>
  <si>
    <t>TW</t>
  </si>
  <si>
    <t>SW</t>
  </si>
  <si>
    <t>CW</t>
  </si>
  <si>
    <t>Cont</t>
  </si>
  <si>
    <t>C$</t>
  </si>
  <si>
    <t>Exp Power System Engineering</t>
  </si>
  <si>
    <t>Aux Power System Engineering</t>
  </si>
  <si>
    <t>8m*6yr</t>
  </si>
  <si>
    <t>4m*6yr</t>
  </si>
  <si>
    <t>8m*6y</t>
  </si>
  <si>
    <t>4m*6y</t>
  </si>
  <si>
    <t>-PCAST/FIRE* 4Q AC/DC PF</t>
  </si>
  <si>
    <t>-FIRE* 2Q AC/DC PF</t>
  </si>
  <si>
    <t>Cu/BeCu</t>
  </si>
  <si>
    <t>TF</t>
  </si>
  <si>
    <t>PF</t>
  </si>
  <si>
    <t>RF</t>
  </si>
  <si>
    <t>∑</t>
  </si>
  <si>
    <t>BeCuFire Cost (M$99)</t>
  </si>
  <si>
    <t>CuFire Cost (M$99)</t>
  </si>
  <si>
    <t>w/cntgy--&gt;</t>
  </si>
  <si>
    <t>w/o cntgy-&gt;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</si>
</sst>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 wrapText="1"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 wrapText="1"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Border="1" applyAlignment="1">
      <alignment/>
    </xf>
    <xf numFmtId="0" fontId="0" fillId="0" borderId="9" xfId="0" applyBorder="1" applyAlignment="1">
      <alignment wrapText="1"/>
    </xf>
    <xf numFmtId="0" fontId="0" fillId="0" borderId="7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9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wrapText="1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Font="1" applyBorder="1" applyAlignment="1">
      <alignment wrapText="1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11" xfId="0" applyFont="1" applyBorder="1" applyAlignment="1" quotePrefix="1">
      <alignment horizontal="left"/>
    </xf>
    <xf numFmtId="0" fontId="0" fillId="0" borderId="9" xfId="0" applyFont="1" applyBorder="1" applyAlignment="1">
      <alignment/>
    </xf>
    <xf numFmtId="164" fontId="0" fillId="2" borderId="4" xfId="0" applyNumberFormat="1" applyFill="1" applyBorder="1" applyAlignment="1">
      <alignment wrapText="1"/>
    </xf>
    <xf numFmtId="164" fontId="0" fillId="2" borderId="4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4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ER\ITER%20Cost%20Est\4.1/Cost%20Assess,%201\4.1cost%205.0-instrum.%20(1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sc\PCAST\PCAST%20Cost%20Spreadsheets\PCAST%20DC%20Comp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sc\PCAST\PCAST%20Cost%20Spreadsheets\PCAST%20SNU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cost 5.0-instrum. (1)"/>
    </sheetNames>
    <sheetDataSet>
      <sheetData sheetId="0">
        <row r="58">
          <cell r="F58">
            <v>2.4119029999999997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CAST DC Comp"/>
    </sheetNames>
    <sheetDataSet>
      <sheetData sheetId="0">
        <row r="107">
          <cell r="F107">
            <v>15.132858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CAST SNU"/>
    </sheetNames>
    <sheetDataSet>
      <sheetData sheetId="0">
        <row r="86">
          <cell r="F86">
            <v>28.944393186150005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tabSelected="1" workbookViewId="0" topLeftCell="B18">
      <pane xSplit="8600" topLeftCell="AD257" activePane="topRight" state="split"/>
      <selection pane="topLeft" activeCell="K35" sqref="K35"/>
      <selection pane="topRight" activeCell="AH42" sqref="AH42"/>
    </sheetView>
  </sheetViews>
  <sheetFormatPr defaultColWidth="11.00390625" defaultRowHeight="12.75"/>
  <cols>
    <col min="1" max="1" width="3.00390625" style="0" hidden="1" customWidth="1"/>
    <col min="2" max="2" width="30.75390625" style="3" customWidth="1"/>
    <col min="3" max="3" width="8.375" style="1" hidden="1" customWidth="1"/>
    <col min="4" max="5" width="6.75390625" style="1" hidden="1" customWidth="1"/>
    <col min="6" max="7" width="6.75390625" style="1" customWidth="1"/>
    <col min="8" max="8" width="6.75390625" style="1" hidden="1" customWidth="1"/>
    <col min="9" max="9" width="8.375" style="1" hidden="1" customWidth="1"/>
    <col min="10" max="10" width="9.375" style="1" hidden="1" customWidth="1"/>
    <col min="11" max="11" width="6.75390625" style="1" customWidth="1"/>
    <col min="12" max="12" width="2.875" style="0" bestFit="1" customWidth="1"/>
    <col min="13" max="13" width="3.25390625" style="0" bestFit="1" customWidth="1"/>
    <col min="14" max="14" width="2.875" style="0" bestFit="1" customWidth="1"/>
    <col min="15" max="15" width="3.25390625" style="0" bestFit="1" customWidth="1"/>
    <col min="16" max="16" width="2.875" style="0" bestFit="1" customWidth="1"/>
    <col min="17" max="17" width="3.25390625" style="0" bestFit="1" customWidth="1"/>
    <col min="18" max="18" width="4.00390625" style="0" bestFit="1" customWidth="1"/>
    <col min="19" max="19" width="4.375" style="0" hidden="1" customWidth="1"/>
    <col min="20" max="20" width="4.375" style="0" customWidth="1"/>
    <col min="21" max="22" width="12.375" style="0" customWidth="1"/>
    <col min="23" max="23" width="2.875" style="0" bestFit="1" customWidth="1"/>
    <col min="24" max="24" width="12.00390625" style="0" bestFit="1" customWidth="1"/>
    <col min="25" max="25" width="3.00390625" style="0" bestFit="1" customWidth="1"/>
    <col min="26" max="26" width="24.625" style="0" bestFit="1" customWidth="1"/>
    <col min="27" max="27" width="9.125" style="0" hidden="1" customWidth="1"/>
    <col min="28" max="28" width="10.25390625" style="0" hidden="1" customWidth="1"/>
    <col min="29" max="30" width="9.125" style="0" bestFit="1" customWidth="1"/>
    <col min="31" max="31" width="10.00390625" style="0" bestFit="1" customWidth="1"/>
    <col min="32" max="32" width="7.625" style="0" hidden="1" customWidth="1"/>
    <col min="33" max="33" width="8.75390625" style="0" hidden="1" customWidth="1"/>
    <col min="34" max="35" width="7.25390625" style="0" bestFit="1" customWidth="1"/>
    <col min="36" max="36" width="2.875" style="0" bestFit="1" customWidth="1"/>
    <col min="37" max="37" width="3.25390625" style="0" bestFit="1" customWidth="1"/>
    <col min="38" max="38" width="2.875" style="0" bestFit="1" customWidth="1"/>
    <col min="39" max="39" width="3.25390625" style="0" bestFit="1" customWidth="1"/>
    <col min="40" max="40" width="2.875" style="0" bestFit="1" customWidth="1"/>
    <col min="41" max="41" width="3.25390625" style="0" bestFit="1" customWidth="1"/>
    <col min="42" max="42" width="12.00390625" style="0" bestFit="1" customWidth="1"/>
    <col min="43" max="44" width="4.375" style="0" bestFit="1" customWidth="1"/>
    <col min="45" max="16384" width="12.375" style="0" customWidth="1"/>
  </cols>
  <sheetData>
    <row r="1" spans="1:44" s="2" customFormat="1" ht="51.75" customHeight="1">
      <c r="A1" s="20"/>
      <c r="B1" s="39" t="s">
        <v>0</v>
      </c>
      <c r="C1" s="10" t="s">
        <v>1</v>
      </c>
      <c r="D1" s="7" t="s">
        <v>2</v>
      </c>
      <c r="E1" s="10" t="s">
        <v>3</v>
      </c>
      <c r="F1" s="10" t="s">
        <v>3</v>
      </c>
      <c r="G1" s="7" t="s">
        <v>4</v>
      </c>
      <c r="H1" s="10" t="s">
        <v>5</v>
      </c>
      <c r="I1" s="7" t="s">
        <v>6</v>
      </c>
      <c r="J1" s="10" t="s">
        <v>30</v>
      </c>
      <c r="K1" s="10" t="s">
        <v>30</v>
      </c>
      <c r="L1" s="30" t="s">
        <v>35</v>
      </c>
      <c r="M1" s="30" t="s">
        <v>38</v>
      </c>
      <c r="N1" s="30" t="s">
        <v>36</v>
      </c>
      <c r="O1" s="30" t="s">
        <v>39</v>
      </c>
      <c r="P1" s="30" t="s">
        <v>37</v>
      </c>
      <c r="Q1" s="30" t="s">
        <v>40</v>
      </c>
      <c r="R1" s="30" t="s">
        <v>41</v>
      </c>
      <c r="S1" s="30" t="s">
        <v>42</v>
      </c>
      <c r="T1" s="30" t="s">
        <v>42</v>
      </c>
      <c r="Y1" s="20"/>
      <c r="Z1" s="39" t="s">
        <v>0</v>
      </c>
      <c r="AA1" s="10" t="s">
        <v>1</v>
      </c>
      <c r="AB1" s="7" t="s">
        <v>2</v>
      </c>
      <c r="AC1" s="10" t="s">
        <v>3</v>
      </c>
      <c r="AD1" s="10" t="s">
        <v>3</v>
      </c>
      <c r="AE1" s="7" t="s">
        <v>4</v>
      </c>
      <c r="AF1" s="10" t="s">
        <v>5</v>
      </c>
      <c r="AG1" s="7" t="s">
        <v>6</v>
      </c>
      <c r="AH1" s="46" t="s">
        <v>56</v>
      </c>
      <c r="AI1" s="46" t="s">
        <v>57</v>
      </c>
      <c r="AJ1" s="30" t="s">
        <v>35</v>
      </c>
      <c r="AK1" s="30" t="s">
        <v>38</v>
      </c>
      <c r="AL1" s="30" t="s">
        <v>36</v>
      </c>
      <c r="AM1" s="30" t="s">
        <v>39</v>
      </c>
      <c r="AN1" s="30" t="s">
        <v>37</v>
      </c>
      <c r="AO1" s="30" t="s">
        <v>40</v>
      </c>
      <c r="AP1" s="30" t="s">
        <v>41</v>
      </c>
      <c r="AQ1" s="30" t="s">
        <v>42</v>
      </c>
      <c r="AR1" s="30" t="s">
        <v>42</v>
      </c>
    </row>
    <row r="2" spans="1:44" ht="12.75">
      <c r="A2" s="35">
        <v>1</v>
      </c>
      <c r="B2" s="31" t="s">
        <v>7</v>
      </c>
      <c r="C2" s="11">
        <v>1200</v>
      </c>
      <c r="D2" s="8">
        <v>1200</v>
      </c>
      <c r="E2" s="11">
        <v>600</v>
      </c>
      <c r="F2" s="11">
        <v>600</v>
      </c>
      <c r="G2" s="8">
        <v>4.6</v>
      </c>
      <c r="H2" s="11">
        <v>5.57466</v>
      </c>
      <c r="I2" s="8">
        <f>D2*G2/1000</f>
        <v>5.52</v>
      </c>
      <c r="J2" s="11">
        <f>1.117*E2*G2/1000</f>
        <v>3.08292</v>
      </c>
      <c r="K2" s="11">
        <f>1.117*F2*G2/1000</f>
        <v>3.08292</v>
      </c>
      <c r="L2" s="9">
        <v>1</v>
      </c>
      <c r="M2" s="9">
        <v>2</v>
      </c>
      <c r="N2" s="9">
        <v>8</v>
      </c>
      <c r="O2" s="9">
        <v>1</v>
      </c>
      <c r="P2" s="9">
        <v>1</v>
      </c>
      <c r="Q2" s="9">
        <v>2</v>
      </c>
      <c r="R2" s="9">
        <f>L2*M2+N2*O2+P2*Q2</f>
        <v>12</v>
      </c>
      <c r="S2" s="11">
        <f>R2/100*J2</f>
        <v>0.3699504</v>
      </c>
      <c r="T2" s="11">
        <f>R2/100*K2</f>
        <v>0.3699504</v>
      </c>
      <c r="V2" t="s">
        <v>51</v>
      </c>
      <c r="W2" t="s">
        <v>52</v>
      </c>
      <c r="X2">
        <f>170/490</f>
        <v>0.3469387755102041</v>
      </c>
      <c r="Y2" s="35">
        <v>1</v>
      </c>
      <c r="Z2" s="31" t="s">
        <v>7</v>
      </c>
      <c r="AA2" s="11">
        <v>1200</v>
      </c>
      <c r="AB2" s="8">
        <v>1200</v>
      </c>
      <c r="AC2" s="11">
        <v>600</v>
      </c>
      <c r="AD2" s="11">
        <f>0.6*AC2</f>
        <v>360</v>
      </c>
      <c r="AE2" s="8">
        <v>4.6</v>
      </c>
      <c r="AF2" s="11">
        <v>5.57466</v>
      </c>
      <c r="AG2" s="8">
        <f>AB2*AE2/1000</f>
        <v>5.52</v>
      </c>
      <c r="AH2" s="47">
        <f>1.117*AC2*AE2/1000</f>
        <v>3.08292</v>
      </c>
      <c r="AI2" s="47">
        <f>1.117*AD2*AE2/1000</f>
        <v>1.849752</v>
      </c>
      <c r="AJ2" s="9">
        <v>1</v>
      </c>
      <c r="AK2" s="9">
        <v>2</v>
      </c>
      <c r="AL2" s="9">
        <v>8</v>
      </c>
      <c r="AM2" s="9">
        <v>1</v>
      </c>
      <c r="AN2" s="9">
        <v>1</v>
      </c>
      <c r="AO2" s="9">
        <v>2</v>
      </c>
      <c r="AP2" s="9">
        <f>AJ2*AK2+AL2*AM2+AN2*AO2</f>
        <v>12</v>
      </c>
      <c r="AQ2" s="11">
        <f>AP2/100*AH2</f>
        <v>0.3699504</v>
      </c>
      <c r="AR2" s="11">
        <f>AP2/100*AI2</f>
        <v>0.22197024</v>
      </c>
    </row>
    <row r="3" spans="1:44" ht="12.75">
      <c r="A3" s="35">
        <v>2</v>
      </c>
      <c r="B3" s="31" t="s">
        <v>8</v>
      </c>
      <c r="C3" s="11">
        <v>1200</v>
      </c>
      <c r="D3" s="8">
        <v>1200</v>
      </c>
      <c r="E3" s="11">
        <v>600</v>
      </c>
      <c r="F3" s="11">
        <v>600</v>
      </c>
      <c r="G3" s="8">
        <v>15.1</v>
      </c>
      <c r="H3" s="11">
        <v>18.1545</v>
      </c>
      <c r="I3" s="8">
        <f>D3*G3/1000</f>
        <v>18.12</v>
      </c>
      <c r="J3" s="11">
        <f>1.117*E3*G3/1000</f>
        <v>10.12002</v>
      </c>
      <c r="K3" s="11">
        <f>1.117*F3*G3/1000</f>
        <v>10.12002</v>
      </c>
      <c r="L3" s="9">
        <v>1</v>
      </c>
      <c r="M3" s="9">
        <v>2</v>
      </c>
      <c r="N3" s="9">
        <v>8</v>
      </c>
      <c r="O3" s="9">
        <v>1</v>
      </c>
      <c r="P3" s="9">
        <v>1</v>
      </c>
      <c r="Q3" s="9">
        <v>2</v>
      </c>
      <c r="R3" s="9">
        <f>L3*M3+N3*O3+P3*Q3</f>
        <v>12</v>
      </c>
      <c r="S3" s="11">
        <f>R3/100*J3</f>
        <v>1.2144024</v>
      </c>
      <c r="T3" s="11">
        <f>R3/100*K3</f>
        <v>1.2144024</v>
      </c>
      <c r="W3" t="s">
        <v>53</v>
      </c>
      <c r="X3">
        <f>1/1</f>
        <v>1</v>
      </c>
      <c r="Y3" s="35">
        <v>2</v>
      </c>
      <c r="Z3" s="31" t="s">
        <v>8</v>
      </c>
      <c r="AA3" s="11">
        <v>1200</v>
      </c>
      <c r="AB3" s="8">
        <v>1200</v>
      </c>
      <c r="AC3" s="11">
        <v>600</v>
      </c>
      <c r="AD3" s="11">
        <f>0.6*AC3</f>
        <v>360</v>
      </c>
      <c r="AE3" s="8">
        <v>15.1</v>
      </c>
      <c r="AF3" s="11">
        <v>18.1545</v>
      </c>
      <c r="AG3" s="8">
        <f>AB3*AE3/1000</f>
        <v>18.12</v>
      </c>
      <c r="AH3" s="47">
        <f>1.117*AC3*AE3/1000</f>
        <v>10.12002</v>
      </c>
      <c r="AI3" s="47">
        <f>1.117*AD3*AE3/1000</f>
        <v>6.072012</v>
      </c>
      <c r="AJ3" s="9">
        <v>1</v>
      </c>
      <c r="AK3" s="9">
        <v>2</v>
      </c>
      <c r="AL3" s="9">
        <v>8</v>
      </c>
      <c r="AM3" s="9">
        <v>1</v>
      </c>
      <c r="AN3" s="9">
        <v>1</v>
      </c>
      <c r="AO3" s="9">
        <v>2</v>
      </c>
      <c r="AP3" s="9">
        <f>AJ3*AK3+AL3*AM3+AN3*AO3</f>
        <v>12</v>
      </c>
      <c r="AQ3" s="11">
        <f>AP3/100*AH3</f>
        <v>1.2144024</v>
      </c>
      <c r="AR3" s="11">
        <f>AP3/100*AI3</f>
        <v>0.72864144</v>
      </c>
    </row>
    <row r="4" spans="1:44" ht="12.75">
      <c r="A4" s="35">
        <v>3</v>
      </c>
      <c r="B4" s="31" t="s">
        <v>9</v>
      </c>
      <c r="C4" s="11">
        <v>0</v>
      </c>
      <c r="D4" s="8">
        <f>4*475</f>
        <v>1900</v>
      </c>
      <c r="E4" s="11">
        <v>0</v>
      </c>
      <c r="F4" s="11">
        <v>0</v>
      </c>
      <c r="G4" s="8"/>
      <c r="H4" s="11">
        <v>0</v>
      </c>
      <c r="I4" s="11">
        <f>2*(6240+2415)/1000*2.315</f>
        <v>40.072649999999996</v>
      </c>
      <c r="J4" s="11">
        <v>0</v>
      </c>
      <c r="K4" s="11">
        <v>0</v>
      </c>
      <c r="L4" s="9">
        <v>2</v>
      </c>
      <c r="M4" s="9">
        <v>2</v>
      </c>
      <c r="N4" s="9">
        <v>8</v>
      </c>
      <c r="O4" s="9">
        <v>1</v>
      </c>
      <c r="P4" s="9">
        <v>4</v>
      </c>
      <c r="Q4" s="9">
        <v>2</v>
      </c>
      <c r="R4" s="9">
        <f>L4*M4+N4*O4+P4*Q4</f>
        <v>20</v>
      </c>
      <c r="S4" s="11">
        <f>R4/100*J4</f>
        <v>0</v>
      </c>
      <c r="T4" s="11">
        <f>R4/100*K4</f>
        <v>0</v>
      </c>
      <c r="W4" t="s">
        <v>54</v>
      </c>
      <c r="X4">
        <f>1/1</f>
        <v>1</v>
      </c>
      <c r="Y4" s="35">
        <v>3</v>
      </c>
      <c r="Z4" s="31" t="s">
        <v>9</v>
      </c>
      <c r="AA4" s="11">
        <v>0</v>
      </c>
      <c r="AB4" s="8">
        <f>4*475</f>
        <v>1900</v>
      </c>
      <c r="AC4" s="11">
        <v>0</v>
      </c>
      <c r="AD4" s="11">
        <f>0.6*AC4</f>
        <v>0</v>
      </c>
      <c r="AE4" s="8"/>
      <c r="AF4" s="11">
        <v>0</v>
      </c>
      <c r="AG4" s="11">
        <f>2*(6240+2415)/1000*2.315</f>
        <v>40.072649999999996</v>
      </c>
      <c r="AH4" s="47">
        <v>0</v>
      </c>
      <c r="AI4" s="47">
        <v>0</v>
      </c>
      <c r="AJ4" s="9">
        <v>2</v>
      </c>
      <c r="AK4" s="9">
        <v>2</v>
      </c>
      <c r="AL4" s="9">
        <v>8</v>
      </c>
      <c r="AM4" s="9">
        <v>1</v>
      </c>
      <c r="AN4" s="9">
        <v>4</v>
      </c>
      <c r="AO4" s="9">
        <v>2</v>
      </c>
      <c r="AP4" s="9">
        <f>AJ4*AK4+AL4*AM4+AN4*AO4</f>
        <v>20</v>
      </c>
      <c r="AQ4" s="11">
        <f>AP4/100*AH4</f>
        <v>0</v>
      </c>
      <c r="AR4" s="11">
        <f>AP4/100*AI4</f>
        <v>0</v>
      </c>
    </row>
    <row r="5" spans="1:44" ht="12.75">
      <c r="A5" s="35">
        <v>4</v>
      </c>
      <c r="B5" s="31" t="s">
        <v>29</v>
      </c>
      <c r="C5" s="11">
        <v>600</v>
      </c>
      <c r="D5" s="8">
        <v>300</v>
      </c>
      <c r="E5" s="11">
        <v>300</v>
      </c>
      <c r="F5" s="11">
        <v>300</v>
      </c>
      <c r="G5" s="8">
        <v>29.2</v>
      </c>
      <c r="H5" s="11">
        <v>17.5383</v>
      </c>
      <c r="I5" s="8">
        <f>D5*G5/1000</f>
        <v>8.76</v>
      </c>
      <c r="J5" s="11">
        <f>1.117*E5*G5/1000</f>
        <v>9.78492</v>
      </c>
      <c r="K5" s="11">
        <f>1.117*F5*G5/1000</f>
        <v>9.78492</v>
      </c>
      <c r="L5" s="9">
        <v>2</v>
      </c>
      <c r="M5" s="9">
        <v>2</v>
      </c>
      <c r="N5" s="9">
        <v>8</v>
      </c>
      <c r="O5" s="9">
        <v>1</v>
      </c>
      <c r="P5" s="9">
        <v>4</v>
      </c>
      <c r="Q5" s="9">
        <v>2</v>
      </c>
      <c r="R5" s="9">
        <f>L5*M5+N5*O5+P5*Q5</f>
        <v>20</v>
      </c>
      <c r="S5" s="11">
        <f>R5/100*J5</f>
        <v>1.956984</v>
      </c>
      <c r="T5" s="11">
        <f>R5/100*K5</f>
        <v>1.956984</v>
      </c>
      <c r="W5" t="s">
        <v>55</v>
      </c>
      <c r="X5">
        <f>480/800</f>
        <v>0.6</v>
      </c>
      <c r="Y5" s="35">
        <v>4</v>
      </c>
      <c r="Z5" s="31" t="s">
        <v>29</v>
      </c>
      <c r="AA5" s="11">
        <v>600</v>
      </c>
      <c r="AB5" s="8">
        <v>300</v>
      </c>
      <c r="AC5" s="11">
        <v>300</v>
      </c>
      <c r="AD5" s="11">
        <f>0.6*AC5</f>
        <v>180</v>
      </c>
      <c r="AE5" s="8">
        <v>29.2</v>
      </c>
      <c r="AF5" s="11">
        <v>17.5383</v>
      </c>
      <c r="AG5" s="8">
        <f>AB5*AE5/1000</f>
        <v>8.76</v>
      </c>
      <c r="AH5" s="47">
        <f>1.117*AC5*AE5/1000</f>
        <v>9.78492</v>
      </c>
      <c r="AI5" s="47">
        <f>1.117*AD5*AE5/1000</f>
        <v>5.870952</v>
      </c>
      <c r="AJ5" s="9">
        <v>2</v>
      </c>
      <c r="AK5" s="9">
        <v>2</v>
      </c>
      <c r="AL5" s="9">
        <v>8</v>
      </c>
      <c r="AM5" s="9">
        <v>1</v>
      </c>
      <c r="AN5" s="9">
        <v>4</v>
      </c>
      <c r="AO5" s="9">
        <v>2</v>
      </c>
      <c r="AP5" s="9">
        <f>AJ5*AK5+AL5*AM5+AN5*AO5</f>
        <v>20</v>
      </c>
      <c r="AQ5" s="11">
        <f>AP5/100*AH5</f>
        <v>1.956984</v>
      </c>
      <c r="AR5" s="11">
        <f>AP5/100*AI5</f>
        <v>1.1741904</v>
      </c>
    </row>
    <row r="6" spans="1:44" ht="12.75">
      <c r="A6" s="36">
        <v>5</v>
      </c>
      <c r="B6" s="40" t="s">
        <v>10</v>
      </c>
      <c r="C6" s="12">
        <f>56*86</f>
        <v>4816</v>
      </c>
      <c r="D6" s="4">
        <f>(122+16)*25000*1012.85/1000000+(40+4)*25000*810/1000000+120/0.8+D5</f>
        <v>4835.3325</v>
      </c>
      <c r="E6" s="12">
        <f>SUM(E7:E9)</f>
        <v>1545.7</v>
      </c>
      <c r="F6" s="12">
        <f>SUM(F7:F9)</f>
        <v>1545.75</v>
      </c>
      <c r="G6" s="11">
        <v>3</v>
      </c>
      <c r="H6" s="11">
        <v>15.693704</v>
      </c>
      <c r="I6" s="11">
        <f>D6*G6/1000</f>
        <v>14.505997500000001</v>
      </c>
      <c r="J6" s="11">
        <f>1.117*E6*G6/1000</f>
        <v>5.1796407</v>
      </c>
      <c r="K6" s="11">
        <f>1.117*F6*G6/1000</f>
        <v>5.17980825</v>
      </c>
      <c r="L6" s="9">
        <v>1</v>
      </c>
      <c r="M6" s="9">
        <v>2</v>
      </c>
      <c r="N6" s="9">
        <v>8</v>
      </c>
      <c r="O6" s="9">
        <v>1</v>
      </c>
      <c r="P6" s="9">
        <v>1</v>
      </c>
      <c r="Q6" s="9">
        <v>2</v>
      </c>
      <c r="R6" s="9">
        <f>L6*M6+N6*O6+P6*Q6</f>
        <v>12</v>
      </c>
      <c r="S6" s="11">
        <f>R6/100*J6</f>
        <v>0.621556884</v>
      </c>
      <c r="T6" s="11">
        <f>R6/100*K6</f>
        <v>0.62157699</v>
      </c>
      <c r="Y6" s="36">
        <v>5</v>
      </c>
      <c r="Z6" s="40" t="s">
        <v>10</v>
      </c>
      <c r="AA6" s="12">
        <f>56*86</f>
        <v>4816</v>
      </c>
      <c r="AB6" s="4">
        <f>(122+16)*25000*1012.85/1000000+(40+4)*25000*810/1000000+120/0.8+AB5</f>
        <v>4835.3325</v>
      </c>
      <c r="AC6" s="12">
        <f>SUM(AC7:AC9)</f>
        <v>1545.7</v>
      </c>
      <c r="AD6" s="12">
        <f>SUM(AD7:AD9)</f>
        <v>1193.8075</v>
      </c>
      <c r="AE6" s="11">
        <v>3</v>
      </c>
      <c r="AF6" s="11">
        <v>15.693704</v>
      </c>
      <c r="AG6" s="11">
        <f>AB6*AE6/1000</f>
        <v>14.505997500000001</v>
      </c>
      <c r="AH6" s="47">
        <f>1.117*AC6*AE6/1000</f>
        <v>5.1796407</v>
      </c>
      <c r="AI6" s="47">
        <f>1.117*AD6*AE6/1000</f>
        <v>4.000448932499999</v>
      </c>
      <c r="AJ6" s="9">
        <v>1</v>
      </c>
      <c r="AK6" s="9">
        <v>2</v>
      </c>
      <c r="AL6" s="9">
        <v>8</v>
      </c>
      <c r="AM6" s="9">
        <v>1</v>
      </c>
      <c r="AN6" s="9">
        <v>1</v>
      </c>
      <c r="AO6" s="9">
        <v>2</v>
      </c>
      <c r="AP6" s="9">
        <f>AJ6*AK6+AL6*AM6+AN6*AO6</f>
        <v>12</v>
      </c>
      <c r="AQ6" s="11">
        <f>AP6/100*AH6</f>
        <v>0.621556884</v>
      </c>
      <c r="AR6" s="11">
        <f>AP6/100*AI6</f>
        <v>0.48005387189999993</v>
      </c>
    </row>
    <row r="7" spans="1:44" ht="12.75">
      <c r="A7" s="37"/>
      <c r="B7" s="41" t="s">
        <v>11</v>
      </c>
      <c r="C7" s="13">
        <f>C10+C11+C21</f>
        <v>2806.2000000000003</v>
      </c>
      <c r="D7" s="5">
        <f>D10+D11+D21</f>
        <v>4385.3325</v>
      </c>
      <c r="E7" s="13">
        <f>E10+E11+E21</f>
        <v>1170.7</v>
      </c>
      <c r="F7" s="13">
        <f>F10+F11+F21</f>
        <v>1170.75</v>
      </c>
      <c r="G7" s="5"/>
      <c r="H7" s="13"/>
      <c r="I7" s="5"/>
      <c r="J7" s="13"/>
      <c r="K7" s="22"/>
      <c r="S7" s="1" t="s">
        <v>14</v>
      </c>
      <c r="T7" s="1" t="s">
        <v>14</v>
      </c>
      <c r="Y7" s="37"/>
      <c r="Z7" s="41" t="s">
        <v>11</v>
      </c>
      <c r="AA7" s="13">
        <f>AA10+AA11+AA21</f>
        <v>2806.2000000000003</v>
      </c>
      <c r="AB7" s="5">
        <f>AB10+AB11+AB21</f>
        <v>4385.3325</v>
      </c>
      <c r="AC7" s="13">
        <f>AC10+AC11+AC21</f>
        <v>1170.7</v>
      </c>
      <c r="AD7" s="13">
        <f>AD10+AD11+AD21</f>
        <v>818.8074999999999</v>
      </c>
      <c r="AE7" s="5"/>
      <c r="AF7" s="13"/>
      <c r="AG7" s="5"/>
      <c r="AH7" s="48"/>
      <c r="AI7" s="49"/>
      <c r="AQ7" s="1" t="s">
        <v>14</v>
      </c>
      <c r="AR7" s="1" t="s">
        <v>14</v>
      </c>
    </row>
    <row r="8" spans="1:44" ht="12.75">
      <c r="A8" s="37"/>
      <c r="B8" s="41" t="s">
        <v>12</v>
      </c>
      <c r="C8" s="13">
        <f>300/0.8</f>
        <v>375</v>
      </c>
      <c r="D8" s="5">
        <f>120/0.8</f>
        <v>150</v>
      </c>
      <c r="E8" s="13">
        <f>60/0.8</f>
        <v>75</v>
      </c>
      <c r="F8" s="13">
        <f>60/0.8</f>
        <v>75</v>
      </c>
      <c r="G8" s="5"/>
      <c r="H8" s="13"/>
      <c r="I8" s="5"/>
      <c r="J8" s="13"/>
      <c r="K8" s="22"/>
      <c r="S8" s="1" t="s">
        <v>14</v>
      </c>
      <c r="T8" s="1" t="s">
        <v>14</v>
      </c>
      <c r="Y8" s="37"/>
      <c r="Z8" s="41" t="s">
        <v>12</v>
      </c>
      <c r="AA8" s="13">
        <f>300/0.8</f>
        <v>375</v>
      </c>
      <c r="AB8" s="5">
        <f>120/0.8</f>
        <v>150</v>
      </c>
      <c r="AC8" s="13">
        <f>60/0.8</f>
        <v>75</v>
      </c>
      <c r="AD8" s="13">
        <f>60/0.8</f>
        <v>75</v>
      </c>
      <c r="AE8" s="5"/>
      <c r="AF8" s="13"/>
      <c r="AG8" s="5"/>
      <c r="AH8" s="48"/>
      <c r="AI8" s="49"/>
      <c r="AQ8" s="1" t="s">
        <v>14</v>
      </c>
      <c r="AR8" s="1" t="s">
        <v>14</v>
      </c>
    </row>
    <row r="9" spans="1:44" ht="12.75">
      <c r="A9" s="38"/>
      <c r="B9" s="42" t="s">
        <v>13</v>
      </c>
      <c r="C9" s="14">
        <f>C5</f>
        <v>600</v>
      </c>
      <c r="D9" s="6">
        <f>D5</f>
        <v>300</v>
      </c>
      <c r="E9" s="14">
        <v>300</v>
      </c>
      <c r="F9" s="14">
        <v>300</v>
      </c>
      <c r="G9" s="6"/>
      <c r="H9" s="14"/>
      <c r="I9" s="6"/>
      <c r="J9" s="14"/>
      <c r="K9" s="23"/>
      <c r="S9" s="1" t="s">
        <v>14</v>
      </c>
      <c r="T9" s="1" t="s">
        <v>14</v>
      </c>
      <c r="Y9" s="38"/>
      <c r="Z9" s="42" t="s">
        <v>13</v>
      </c>
      <c r="AA9" s="14">
        <f>AA5</f>
        <v>600</v>
      </c>
      <c r="AB9" s="6">
        <f>AB5</f>
        <v>300</v>
      </c>
      <c r="AC9" s="14">
        <v>300</v>
      </c>
      <c r="AD9" s="14">
        <v>300</v>
      </c>
      <c r="AE9" s="6"/>
      <c r="AF9" s="14"/>
      <c r="AG9" s="6"/>
      <c r="AH9" s="50"/>
      <c r="AI9" s="51"/>
      <c r="AQ9" s="1" t="s">
        <v>14</v>
      </c>
      <c r="AR9" s="1" t="s">
        <v>14</v>
      </c>
    </row>
    <row r="10" spans="1:44" ht="12.75">
      <c r="A10" s="35">
        <v>6</v>
      </c>
      <c r="B10" s="31" t="s">
        <v>22</v>
      </c>
      <c r="C10" s="11">
        <f>2*340*60000/1000000</f>
        <v>40.8</v>
      </c>
      <c r="D10" s="8">
        <f>40*25000*810/1000000</f>
        <v>810</v>
      </c>
      <c r="E10" s="11">
        <f>14*59500*650/1000000</f>
        <v>541.45</v>
      </c>
      <c r="F10" s="11">
        <f>14*59500*650/1000000</f>
        <v>541.45</v>
      </c>
      <c r="G10" s="8">
        <v>49.8</v>
      </c>
      <c r="H10" s="11">
        <v>3.80536</v>
      </c>
      <c r="I10" s="8">
        <f>D10*G10/1000</f>
        <v>40.338</v>
      </c>
      <c r="J10" s="11">
        <f>1.117*E10*G10/1000</f>
        <v>30.119022570000002</v>
      </c>
      <c r="K10" s="11">
        <f>1.117*F10*G10/1000</f>
        <v>30.119022570000002</v>
      </c>
      <c r="L10" s="9">
        <v>4</v>
      </c>
      <c r="M10" s="9">
        <v>2</v>
      </c>
      <c r="N10" s="9">
        <v>8</v>
      </c>
      <c r="O10" s="9">
        <v>1</v>
      </c>
      <c r="P10" s="9">
        <v>4</v>
      </c>
      <c r="Q10" s="9">
        <v>2</v>
      </c>
      <c r="R10" s="9">
        <f>L10*M10+N10*O10+P10*Q10</f>
        <v>24</v>
      </c>
      <c r="S10" s="11">
        <f>R10/100*J10</f>
        <v>7.2285654168</v>
      </c>
      <c r="T10" s="11">
        <f>R10/100*K10</f>
        <v>7.2285654168</v>
      </c>
      <c r="Y10" s="35">
        <v>6</v>
      </c>
      <c r="Z10" s="31" t="s">
        <v>22</v>
      </c>
      <c r="AA10" s="11">
        <f>2*340*60000/1000000</f>
        <v>40.8</v>
      </c>
      <c r="AB10" s="8">
        <f>40*25000*810/1000000</f>
        <v>810</v>
      </c>
      <c r="AC10" s="11">
        <f>14*59500*650/1000000</f>
        <v>541.45</v>
      </c>
      <c r="AD10" s="11">
        <f>0.35*AC10</f>
        <v>189.5075</v>
      </c>
      <c r="AE10" s="8">
        <v>49.8</v>
      </c>
      <c r="AF10" s="11">
        <v>3.80536</v>
      </c>
      <c r="AG10" s="8">
        <f>AB10*AE10/1000</f>
        <v>40.338</v>
      </c>
      <c r="AH10" s="47">
        <f>1.117*AC10*AE10/1000</f>
        <v>30.119022570000002</v>
      </c>
      <c r="AI10" s="47">
        <f>1.117*AD10*AE10/1000</f>
        <v>10.5416578995</v>
      </c>
      <c r="AJ10" s="9">
        <v>4</v>
      </c>
      <c r="AK10" s="9">
        <v>2</v>
      </c>
      <c r="AL10" s="9">
        <v>8</v>
      </c>
      <c r="AM10" s="9">
        <v>1</v>
      </c>
      <c r="AN10" s="9">
        <v>4</v>
      </c>
      <c r="AO10" s="9">
        <v>2</v>
      </c>
      <c r="AP10" s="9">
        <f>AJ10*AK10+AL10*AM10+AN10*AO10</f>
        <v>24</v>
      </c>
      <c r="AQ10" s="11">
        <f>AP10/100*AH10</f>
        <v>7.2285654168</v>
      </c>
      <c r="AR10" s="11">
        <f>AP10/100*AI10</f>
        <v>2.5299978958800002</v>
      </c>
    </row>
    <row r="11" spans="1:44" ht="12.75">
      <c r="A11" s="36">
        <v>8</v>
      </c>
      <c r="B11" s="40" t="s">
        <v>23</v>
      </c>
      <c r="C11" s="12">
        <f>SUM(C12:C17)</f>
        <v>2765.4</v>
      </c>
      <c r="D11" s="4">
        <f>SUM(D12:D17)</f>
        <v>3089.1925</v>
      </c>
      <c r="E11" s="12">
        <f>SUM(E12:E17)</f>
        <v>618</v>
      </c>
      <c r="F11" s="12">
        <f>SUM(F12:F17)</f>
        <v>618</v>
      </c>
      <c r="G11" s="4"/>
      <c r="H11" s="12"/>
      <c r="I11" s="4"/>
      <c r="J11" s="12">
        <f>SUM(J12:J17)</f>
        <v>37.504123920000005</v>
      </c>
      <c r="K11" s="12">
        <f>SUM(K12:K17)</f>
        <v>37.504123920000005</v>
      </c>
      <c r="L11" s="9">
        <v>4</v>
      </c>
      <c r="M11" s="9">
        <v>2</v>
      </c>
      <c r="N11" s="9">
        <v>8</v>
      </c>
      <c r="O11" s="9">
        <v>1</v>
      </c>
      <c r="P11" s="9">
        <v>4</v>
      </c>
      <c r="Q11" s="9">
        <v>2</v>
      </c>
      <c r="R11" s="9">
        <f>L11*M11+N11*O11+P11*Q11</f>
        <v>24</v>
      </c>
      <c r="S11" s="11">
        <f>R11/100*J11</f>
        <v>9.000989740800001</v>
      </c>
      <c r="T11" s="11">
        <f>R11/100*K11</f>
        <v>9.000989740800001</v>
      </c>
      <c r="Y11" s="36">
        <v>8</v>
      </c>
      <c r="Z11" s="40" t="s">
        <v>23</v>
      </c>
      <c r="AA11" s="12">
        <f>SUM(AA12:AA17)</f>
        <v>2765.4</v>
      </c>
      <c r="AB11" s="4">
        <f>SUM(AB12:AB17)</f>
        <v>3089.1925</v>
      </c>
      <c r="AC11" s="12">
        <f>SUM(AC12:AC17)</f>
        <v>618</v>
      </c>
      <c r="AD11" s="12">
        <f>SUM(AD12:AD17)</f>
        <v>618</v>
      </c>
      <c r="AE11" s="4"/>
      <c r="AF11" s="12"/>
      <c r="AG11" s="4"/>
      <c r="AH11" s="52">
        <f>SUM(AH12:AH17)</f>
        <v>37.504123920000005</v>
      </c>
      <c r="AI11" s="52">
        <f>SUM(AI12:AI17)</f>
        <v>37.504123920000005</v>
      </c>
      <c r="AJ11" s="9">
        <v>4</v>
      </c>
      <c r="AK11" s="9">
        <v>2</v>
      </c>
      <c r="AL11" s="9">
        <v>8</v>
      </c>
      <c r="AM11" s="9">
        <v>1</v>
      </c>
      <c r="AN11" s="9">
        <v>4</v>
      </c>
      <c r="AO11" s="9">
        <v>2</v>
      </c>
      <c r="AP11" s="9">
        <f>AJ11*AK11+AL11*AM11+AN11*AO11</f>
        <v>24</v>
      </c>
      <c r="AQ11" s="11">
        <f>AP11/100*AH11</f>
        <v>9.000989740800001</v>
      </c>
      <c r="AR11" s="11">
        <f>AP11/100*AI11</f>
        <v>9.000989740800001</v>
      </c>
    </row>
    <row r="12" spans="1:44" ht="12.75" hidden="1">
      <c r="A12" s="37"/>
      <c r="B12" s="43" t="s">
        <v>26</v>
      </c>
      <c r="C12" s="13">
        <f>20*2*21500*2000/1000000</f>
        <v>1720</v>
      </c>
      <c r="D12" s="5"/>
      <c r="E12" s="13"/>
      <c r="F12" s="13"/>
      <c r="G12" s="5">
        <v>55.6</v>
      </c>
      <c r="H12" s="13">
        <v>95.67869999999999</v>
      </c>
      <c r="I12" s="5" t="s">
        <v>14</v>
      </c>
      <c r="J12" s="13">
        <f aca="true" t="shared" si="0" ref="J12:J17">1.117*E12*G12/1000</f>
        <v>0</v>
      </c>
      <c r="K12" s="13">
        <f aca="true" t="shared" si="1" ref="K12:K17">1.117*F12*G12/1000</f>
        <v>0</v>
      </c>
      <c r="S12" s="1" t="s">
        <v>14</v>
      </c>
      <c r="T12" s="1" t="s">
        <v>14</v>
      </c>
      <c r="Y12" s="37"/>
      <c r="Z12" s="43" t="s">
        <v>26</v>
      </c>
      <c r="AA12" s="13">
        <f>20*2*21500*2000/1000000</f>
        <v>1720</v>
      </c>
      <c r="AB12" s="5"/>
      <c r="AC12" s="13"/>
      <c r="AD12" s="13"/>
      <c r="AE12" s="5">
        <v>55.6</v>
      </c>
      <c r="AF12" s="13">
        <v>95.67869999999999</v>
      </c>
      <c r="AG12" s="5" t="s">
        <v>14</v>
      </c>
      <c r="AH12" s="48">
        <f aca="true" t="shared" si="2" ref="AH12:AH17">1.117*AC12*AE12/1000</f>
        <v>0</v>
      </c>
      <c r="AI12" s="48">
        <f aca="true" t="shared" si="3" ref="AI12:AI17">1.117*AD12*AE12/1000</f>
        <v>0</v>
      </c>
      <c r="AQ12" s="1" t="s">
        <v>14</v>
      </c>
      <c r="AR12" s="1" t="s">
        <v>14</v>
      </c>
    </row>
    <row r="13" spans="1:44" ht="12.75" hidden="1">
      <c r="A13" s="37"/>
      <c r="B13" s="43" t="s">
        <v>27</v>
      </c>
      <c r="C13" s="13">
        <f>14*2*21500*1500/1000000</f>
        <v>903</v>
      </c>
      <c r="D13" s="5"/>
      <c r="E13" s="13"/>
      <c r="F13" s="13"/>
      <c r="G13" s="5">
        <v>58.6</v>
      </c>
      <c r="H13" s="13">
        <v>52.90427999999999</v>
      </c>
      <c r="I13" s="5" t="s">
        <v>14</v>
      </c>
      <c r="J13" s="13">
        <f t="shared" si="0"/>
        <v>0</v>
      </c>
      <c r="K13" s="13">
        <f t="shared" si="1"/>
        <v>0</v>
      </c>
      <c r="S13" s="1" t="s">
        <v>14</v>
      </c>
      <c r="T13" s="1" t="s">
        <v>14</v>
      </c>
      <c r="Y13" s="37"/>
      <c r="Z13" s="43" t="s">
        <v>27</v>
      </c>
      <c r="AA13" s="13">
        <f>14*2*21500*1500/1000000</f>
        <v>903</v>
      </c>
      <c r="AB13" s="5"/>
      <c r="AC13" s="13"/>
      <c r="AD13" s="13"/>
      <c r="AE13" s="5">
        <v>58.6</v>
      </c>
      <c r="AF13" s="13">
        <v>52.90427999999999</v>
      </c>
      <c r="AG13" s="5" t="s">
        <v>14</v>
      </c>
      <c r="AH13" s="48">
        <f t="shared" si="2"/>
        <v>0</v>
      </c>
      <c r="AI13" s="48">
        <f t="shared" si="3"/>
        <v>0</v>
      </c>
      <c r="AQ13" s="1" t="s">
        <v>14</v>
      </c>
      <c r="AR13" s="1" t="s">
        <v>14</v>
      </c>
    </row>
    <row r="14" spans="1:44" ht="12.75" hidden="1">
      <c r="A14" s="37"/>
      <c r="B14" s="43" t="s">
        <v>16</v>
      </c>
      <c r="C14" s="13">
        <f>108</f>
        <v>108</v>
      </c>
      <c r="D14" s="5"/>
      <c r="E14" s="13"/>
      <c r="F14" s="13"/>
      <c r="G14" s="5">
        <v>132.4</v>
      </c>
      <c r="H14" s="13">
        <v>14.3</v>
      </c>
      <c r="I14" s="5" t="s">
        <v>14</v>
      </c>
      <c r="J14" s="13">
        <f t="shared" si="0"/>
        <v>0</v>
      </c>
      <c r="K14" s="13">
        <f t="shared" si="1"/>
        <v>0</v>
      </c>
      <c r="S14" s="1" t="s">
        <v>14</v>
      </c>
      <c r="T14" s="1" t="s">
        <v>14</v>
      </c>
      <c r="Y14" s="37"/>
      <c r="Z14" s="43" t="s">
        <v>16</v>
      </c>
      <c r="AA14" s="13">
        <f>108</f>
        <v>108</v>
      </c>
      <c r="AB14" s="5"/>
      <c r="AC14" s="13"/>
      <c r="AD14" s="13"/>
      <c r="AE14" s="5">
        <v>132.4</v>
      </c>
      <c r="AF14" s="13">
        <v>14.3</v>
      </c>
      <c r="AG14" s="5" t="s">
        <v>14</v>
      </c>
      <c r="AH14" s="48">
        <f t="shared" si="2"/>
        <v>0</v>
      </c>
      <c r="AI14" s="48">
        <f t="shared" si="3"/>
        <v>0</v>
      </c>
      <c r="AQ14" s="1" t="s">
        <v>14</v>
      </c>
      <c r="AR14" s="1" t="s">
        <v>14</v>
      </c>
    </row>
    <row r="15" spans="1:44" s="15" customFormat="1" ht="12.75" hidden="1">
      <c r="A15" s="37"/>
      <c r="B15" s="43" t="s">
        <v>28</v>
      </c>
      <c r="C15" s="19">
        <f>4*200*2*21500/1000000</f>
        <v>34.4</v>
      </c>
      <c r="D15" s="5"/>
      <c r="E15" s="13"/>
      <c r="F15" s="13"/>
      <c r="G15" s="5">
        <v>134.1</v>
      </c>
      <c r="H15" s="13">
        <v>4.61292</v>
      </c>
      <c r="I15" s="5" t="s">
        <v>14</v>
      </c>
      <c r="J15" s="13">
        <f t="shared" si="0"/>
        <v>0</v>
      </c>
      <c r="K15" s="13">
        <f t="shared" si="1"/>
        <v>0</v>
      </c>
      <c r="M15"/>
      <c r="S15" s="1" t="s">
        <v>14</v>
      </c>
      <c r="T15" s="1" t="s">
        <v>14</v>
      </c>
      <c r="Y15" s="37"/>
      <c r="Z15" s="43" t="s">
        <v>28</v>
      </c>
      <c r="AA15" s="19">
        <f>4*200*2*21500/1000000</f>
        <v>34.4</v>
      </c>
      <c r="AB15" s="5"/>
      <c r="AC15" s="13"/>
      <c r="AD15" s="13"/>
      <c r="AE15" s="5">
        <v>134.1</v>
      </c>
      <c r="AF15" s="13">
        <v>4.61292</v>
      </c>
      <c r="AG15" s="5" t="s">
        <v>14</v>
      </c>
      <c r="AH15" s="48">
        <f t="shared" si="2"/>
        <v>0</v>
      </c>
      <c r="AI15" s="48">
        <f t="shared" si="3"/>
        <v>0</v>
      </c>
      <c r="AK15"/>
      <c r="AQ15" s="1" t="s">
        <v>14</v>
      </c>
      <c r="AR15" s="1" t="s">
        <v>14</v>
      </c>
    </row>
    <row r="16" spans="1:44" s="15" customFormat="1" ht="12.75">
      <c r="A16" s="37"/>
      <c r="B16" s="43" t="s">
        <v>49</v>
      </c>
      <c r="C16" s="19"/>
      <c r="D16" s="5">
        <f>122*25000*1012.85/1000000</f>
        <v>3089.1925</v>
      </c>
      <c r="E16" s="13">
        <f>1.5*(2*47+2*36.7+2*62.1)</f>
        <v>437.40000000000003</v>
      </c>
      <c r="F16" s="13">
        <f>1.5*(2*47+2*36.7+2*62.1)</f>
        <v>437.40000000000003</v>
      </c>
      <c r="G16" s="5">
        <v>56.2</v>
      </c>
      <c r="H16" s="13" t="s">
        <v>14</v>
      </c>
      <c r="I16" s="5">
        <f>D16*G16/1000</f>
        <v>173.61261850000002</v>
      </c>
      <c r="J16" s="13">
        <f t="shared" si="0"/>
        <v>27.457959960000004</v>
      </c>
      <c r="K16" s="13">
        <f t="shared" si="1"/>
        <v>27.457959960000004</v>
      </c>
      <c r="S16" s="1" t="s">
        <v>14</v>
      </c>
      <c r="T16" s="1" t="s">
        <v>14</v>
      </c>
      <c r="Y16" s="37"/>
      <c r="Z16" s="43" t="s">
        <v>49</v>
      </c>
      <c r="AA16" s="19"/>
      <c r="AB16" s="5">
        <f>122*25000*1012.85/1000000</f>
        <v>3089.1925</v>
      </c>
      <c r="AC16" s="13">
        <f>1.5*(2*47+2*36.7+2*62.1)</f>
        <v>437.40000000000003</v>
      </c>
      <c r="AD16" s="13">
        <f>1.5*(2*47+2*36.7+2*62.1)</f>
        <v>437.40000000000003</v>
      </c>
      <c r="AE16" s="5">
        <v>56.2</v>
      </c>
      <c r="AF16" s="13" t="s">
        <v>14</v>
      </c>
      <c r="AG16" s="5">
        <f>AB16*AE16/1000</f>
        <v>173.61261850000002</v>
      </c>
      <c r="AH16" s="48">
        <f t="shared" si="2"/>
        <v>27.457959960000004</v>
      </c>
      <c r="AI16" s="48">
        <f t="shared" si="3"/>
        <v>27.457959960000004</v>
      </c>
      <c r="AQ16" s="1" t="s">
        <v>14</v>
      </c>
      <c r="AR16" s="1" t="s">
        <v>14</v>
      </c>
    </row>
    <row r="17" spans="1:44" s="15" customFormat="1" ht="12.75">
      <c r="A17" s="38"/>
      <c r="B17" s="44" t="s">
        <v>50</v>
      </c>
      <c r="C17" s="21" t="s">
        <v>14</v>
      </c>
      <c r="D17" s="6"/>
      <c r="E17" s="14">
        <f>1.5*(2*17.8+2*6.9+2*13.3+2*22.2)</f>
        <v>180.60000000000002</v>
      </c>
      <c r="F17" s="14">
        <f>1.5*(2*17.8+2*6.9+2*13.3+2*22.2)</f>
        <v>180.60000000000002</v>
      </c>
      <c r="G17" s="6">
        <v>49.8</v>
      </c>
      <c r="H17" s="14" t="s">
        <v>14</v>
      </c>
      <c r="I17" s="6" t="s">
        <v>14</v>
      </c>
      <c r="J17" s="14">
        <f t="shared" si="0"/>
        <v>10.04616396</v>
      </c>
      <c r="K17" s="14">
        <f t="shared" si="1"/>
        <v>10.04616396</v>
      </c>
      <c r="S17" s="1" t="s">
        <v>14</v>
      </c>
      <c r="T17" s="1" t="s">
        <v>14</v>
      </c>
      <c r="Y17" s="38"/>
      <c r="Z17" s="44" t="s">
        <v>50</v>
      </c>
      <c r="AA17" s="21" t="s">
        <v>14</v>
      </c>
      <c r="AB17" s="6"/>
      <c r="AC17" s="14">
        <f>1.5*(2*17.8+2*6.9+2*13.3+2*22.2)</f>
        <v>180.60000000000002</v>
      </c>
      <c r="AD17" s="14">
        <f>1.5*(2*17.8+2*6.9+2*13.3+2*22.2)</f>
        <v>180.60000000000002</v>
      </c>
      <c r="AE17" s="6">
        <v>49.8</v>
      </c>
      <c r="AF17" s="14" t="s">
        <v>14</v>
      </c>
      <c r="AG17" s="6" t="s">
        <v>14</v>
      </c>
      <c r="AH17" s="50">
        <f t="shared" si="2"/>
        <v>10.04616396</v>
      </c>
      <c r="AI17" s="50">
        <f t="shared" si="3"/>
        <v>10.04616396</v>
      </c>
      <c r="AQ17" s="1" t="s">
        <v>14</v>
      </c>
      <c r="AR17" s="1" t="s">
        <v>14</v>
      </c>
    </row>
    <row r="18" spans="1:44" s="15" customFormat="1" ht="12.75">
      <c r="A18" s="36">
        <v>9</v>
      </c>
      <c r="B18" s="40" t="s">
        <v>24</v>
      </c>
      <c r="C18" s="12"/>
      <c r="D18" s="4"/>
      <c r="E18" s="12"/>
      <c r="F18" s="12"/>
      <c r="G18" s="4"/>
      <c r="H18" s="12"/>
      <c r="I18" s="4"/>
      <c r="J18" s="12">
        <f>SUM(J19:J20)</f>
        <v>32.2813</v>
      </c>
      <c r="K18" s="12">
        <f>SUM(K19:K20)</f>
        <v>32.2813</v>
      </c>
      <c r="L18" s="9">
        <v>6</v>
      </c>
      <c r="M18" s="9">
        <v>2</v>
      </c>
      <c r="N18" s="9">
        <v>8</v>
      </c>
      <c r="O18" s="9">
        <v>1</v>
      </c>
      <c r="P18" s="9">
        <v>6</v>
      </c>
      <c r="Q18" s="9">
        <v>2</v>
      </c>
      <c r="R18" s="9">
        <f>L18*M18+N18*O18+P18*Q18</f>
        <v>32</v>
      </c>
      <c r="S18" s="11">
        <f>R18/100*J20</f>
        <v>10.330016</v>
      </c>
      <c r="T18" s="11">
        <f>R18/100*K20</f>
        <v>10.330016</v>
      </c>
      <c r="Y18" s="36">
        <v>9</v>
      </c>
      <c r="Z18" s="40" t="s">
        <v>24</v>
      </c>
      <c r="AA18" s="12"/>
      <c r="AB18" s="4"/>
      <c r="AC18" s="12"/>
      <c r="AD18" s="12"/>
      <c r="AE18" s="4"/>
      <c r="AF18" s="12"/>
      <c r="AG18" s="4"/>
      <c r="AH18" s="52">
        <f>SUM(AH19:AH20)</f>
        <v>32.2813</v>
      </c>
      <c r="AI18" s="52">
        <f>SUM(AI19:AI20)</f>
        <v>32.2813</v>
      </c>
      <c r="AJ18" s="9">
        <v>6</v>
      </c>
      <c r="AK18" s="9">
        <v>2</v>
      </c>
      <c r="AL18" s="9">
        <v>8</v>
      </c>
      <c r="AM18" s="9">
        <v>1</v>
      </c>
      <c r="AN18" s="9">
        <v>6</v>
      </c>
      <c r="AO18" s="9">
        <v>2</v>
      </c>
      <c r="AP18" s="9">
        <f>AJ18*AK18+AL18*AM18+AN18*AO18</f>
        <v>32</v>
      </c>
      <c r="AQ18" s="11">
        <f>AP18/100*AH20</f>
        <v>10.330016</v>
      </c>
      <c r="AR18" s="11">
        <f>AP18/100*AI20</f>
        <v>10.330016</v>
      </c>
    </row>
    <row r="19" spans="1:44" ht="12.75" hidden="1">
      <c r="A19" s="37"/>
      <c r="B19" s="43" t="s">
        <v>15</v>
      </c>
      <c r="C19" s="13"/>
      <c r="D19" s="5"/>
      <c r="E19" s="13"/>
      <c r="F19" s="13"/>
      <c r="G19" s="5" t="s">
        <v>14</v>
      </c>
      <c r="H19" s="13">
        <v>74.38589002</v>
      </c>
      <c r="I19" s="5">
        <v>0</v>
      </c>
      <c r="J19" s="13">
        <f>1.117*0</f>
        <v>0</v>
      </c>
      <c r="K19" s="13">
        <f>1.117*0</f>
        <v>0</v>
      </c>
      <c r="M19" s="15"/>
      <c r="S19" s="1" t="s">
        <v>14</v>
      </c>
      <c r="T19" s="1" t="s">
        <v>14</v>
      </c>
      <c r="Y19" s="37"/>
      <c r="Z19" s="43" t="s">
        <v>15</v>
      </c>
      <c r="AA19" s="13"/>
      <c r="AB19" s="5"/>
      <c r="AC19" s="13"/>
      <c r="AD19" s="13"/>
      <c r="AE19" s="5" t="s">
        <v>14</v>
      </c>
      <c r="AF19" s="13">
        <v>74.38589002</v>
      </c>
      <c r="AG19" s="5">
        <v>0</v>
      </c>
      <c r="AH19" s="48">
        <f>1.117*0</f>
        <v>0</v>
      </c>
      <c r="AI19" s="48">
        <f>1.117*0</f>
        <v>0</v>
      </c>
      <c r="AK19" s="15"/>
      <c r="AQ19" s="1" t="s">
        <v>14</v>
      </c>
      <c r="AR19" s="1" t="s">
        <v>14</v>
      </c>
    </row>
    <row r="20" spans="1:35" ht="12.75">
      <c r="A20" s="38"/>
      <c r="B20" s="44" t="s">
        <v>17</v>
      </c>
      <c r="C20" s="14"/>
      <c r="D20" s="6"/>
      <c r="E20" s="14"/>
      <c r="F20" s="14"/>
      <c r="G20" s="6" t="s">
        <v>14</v>
      </c>
      <c r="H20" s="14">
        <v>28.3186774</v>
      </c>
      <c r="I20" s="6">
        <f>'[3]PCAST SNU'!$F$86</f>
        <v>28.944393186150005</v>
      </c>
      <c r="J20" s="14">
        <f>1.117*28.9</f>
        <v>32.2813</v>
      </c>
      <c r="K20" s="14">
        <f>1.117*28.9</f>
        <v>32.2813</v>
      </c>
      <c r="Y20" s="38"/>
      <c r="Z20" s="44" t="s">
        <v>17</v>
      </c>
      <c r="AA20" s="14"/>
      <c r="AB20" s="6"/>
      <c r="AC20" s="14"/>
      <c r="AD20" s="14"/>
      <c r="AE20" s="6" t="s">
        <v>14</v>
      </c>
      <c r="AF20" s="14">
        <v>28.3186774</v>
      </c>
      <c r="AG20" s="6">
        <f>'[3]PCAST SNU'!$F$86</f>
        <v>28.944393186150005</v>
      </c>
      <c r="AH20" s="50">
        <f>1.117*28.9</f>
        <v>32.2813</v>
      </c>
      <c r="AI20" s="50">
        <f>1.117*28.9</f>
        <v>32.2813</v>
      </c>
    </row>
    <row r="21" spans="1:44" ht="12.75">
      <c r="A21" s="35">
        <v>10</v>
      </c>
      <c r="B21" s="31" t="s">
        <v>18</v>
      </c>
      <c r="C21" s="11">
        <v>0</v>
      </c>
      <c r="D21" s="8">
        <f>16*25000*1012.85/1000000+4*25000*810/1000000</f>
        <v>486.14</v>
      </c>
      <c r="E21" s="11">
        <f>2*75*0.075</f>
        <v>11.25</v>
      </c>
      <c r="F21" s="11">
        <v>11.3</v>
      </c>
      <c r="G21" s="8">
        <f>2*(159+2*140)/5</f>
        <v>175.6</v>
      </c>
      <c r="H21" s="11">
        <v>0</v>
      </c>
      <c r="I21" s="8">
        <f>D21*G21/1000</f>
        <v>85.36618399999999</v>
      </c>
      <c r="J21" s="11">
        <f>E21*G21/1000</f>
        <v>1.9755</v>
      </c>
      <c r="K21" s="14">
        <f>1.117*F21*G21/1000</f>
        <v>2.21644076</v>
      </c>
      <c r="L21" s="9">
        <v>6</v>
      </c>
      <c r="M21" s="9">
        <v>2</v>
      </c>
      <c r="N21" s="9">
        <v>4</v>
      </c>
      <c r="O21" s="9">
        <v>1</v>
      </c>
      <c r="P21" s="9">
        <v>6</v>
      </c>
      <c r="Q21" s="9">
        <v>2</v>
      </c>
      <c r="R21" s="9">
        <f>L21*M21+N21*O21+P21*Q21</f>
        <v>28</v>
      </c>
      <c r="S21" s="11">
        <f>R21/100*J21</f>
        <v>0.5531400000000001</v>
      </c>
      <c r="T21" s="11">
        <f>R21/100*K21</f>
        <v>0.6206034128</v>
      </c>
      <c r="Y21" s="35">
        <v>10</v>
      </c>
      <c r="Z21" s="31" t="s">
        <v>18</v>
      </c>
      <c r="AA21" s="11">
        <v>0</v>
      </c>
      <c r="AB21" s="8">
        <f>16*25000*1012.85/1000000+4*25000*810/1000000</f>
        <v>486.14</v>
      </c>
      <c r="AC21" s="11">
        <f>2*75*0.075</f>
        <v>11.25</v>
      </c>
      <c r="AD21" s="11">
        <v>11.3</v>
      </c>
      <c r="AE21" s="8">
        <f>2*(159+2*140)/5</f>
        <v>175.6</v>
      </c>
      <c r="AF21" s="11">
        <v>0</v>
      </c>
      <c r="AG21" s="8">
        <f>AB21*AE21/1000</f>
        <v>85.36618399999999</v>
      </c>
      <c r="AH21" s="47">
        <f>1.117*AC21*AE21/1000</f>
        <v>2.2066334999999997</v>
      </c>
      <c r="AI21" s="50">
        <f>1.117*AD21*AE21/1000</f>
        <v>2.21644076</v>
      </c>
      <c r="AJ21" s="9">
        <v>6</v>
      </c>
      <c r="AK21" s="9">
        <v>2</v>
      </c>
      <c r="AL21" s="9">
        <v>4</v>
      </c>
      <c r="AM21" s="9">
        <v>1</v>
      </c>
      <c r="AN21" s="9">
        <v>6</v>
      </c>
      <c r="AO21" s="9">
        <v>2</v>
      </c>
      <c r="AP21" s="9">
        <f>AJ21*AK21+AL21*AM21+AN21*AO21</f>
        <v>28</v>
      </c>
      <c r="AQ21" s="11">
        <f>AP21/100*AH21</f>
        <v>0.61785738</v>
      </c>
      <c r="AR21" s="11">
        <f>AP21/100*AI21</f>
        <v>0.6206034128</v>
      </c>
    </row>
    <row r="22" spans="1:44" ht="12.75">
      <c r="A22" s="35">
        <v>10</v>
      </c>
      <c r="B22" s="31" t="s">
        <v>31</v>
      </c>
      <c r="C22" s="11">
        <v>0</v>
      </c>
      <c r="D22" s="8">
        <f>16*25000*1012.85/1000000+4*25000*810/1000000</f>
        <v>486.14</v>
      </c>
      <c r="E22" s="11">
        <v>1</v>
      </c>
      <c r="F22" s="11">
        <v>1</v>
      </c>
      <c r="G22" s="8">
        <v>100</v>
      </c>
      <c r="H22" s="11">
        <v>0</v>
      </c>
      <c r="I22" s="8">
        <f>D22*G22/1000</f>
        <v>48.614</v>
      </c>
      <c r="J22" s="11">
        <f>E22*G22/1000</f>
        <v>0.1</v>
      </c>
      <c r="K22" s="14">
        <f>1.117*F22*G22/1000</f>
        <v>0.11170000000000001</v>
      </c>
      <c r="L22" s="9">
        <v>2</v>
      </c>
      <c r="M22" s="9">
        <v>2</v>
      </c>
      <c r="N22" s="9">
        <v>4</v>
      </c>
      <c r="O22" s="9">
        <v>1</v>
      </c>
      <c r="P22" s="9">
        <v>6</v>
      </c>
      <c r="Q22" s="9">
        <v>2</v>
      </c>
      <c r="R22" s="9">
        <f>L22*M22+N22*O22+P22*Q22</f>
        <v>20</v>
      </c>
      <c r="S22" s="11">
        <f>R22/100*J22</f>
        <v>0.020000000000000004</v>
      </c>
      <c r="T22" s="11">
        <f>R22/100*K22</f>
        <v>0.022340000000000002</v>
      </c>
      <c r="Y22" s="35">
        <v>10</v>
      </c>
      <c r="Z22" s="31" t="s">
        <v>31</v>
      </c>
      <c r="AA22" s="11">
        <v>0</v>
      </c>
      <c r="AB22" s="8">
        <f>16*25000*1012.85/1000000+4*25000*810/1000000</f>
        <v>486.14</v>
      </c>
      <c r="AC22" s="11">
        <v>1</v>
      </c>
      <c r="AD22" s="11">
        <v>1</v>
      </c>
      <c r="AE22" s="8">
        <v>100</v>
      </c>
      <c r="AF22" s="11">
        <v>0</v>
      </c>
      <c r="AG22" s="8">
        <f>AB22*AE22/1000</f>
        <v>48.614</v>
      </c>
      <c r="AH22" s="47">
        <f>1.117*AC22*AE22/1000</f>
        <v>0.11170000000000001</v>
      </c>
      <c r="AI22" s="50">
        <f>1.117*AD22*AE22/1000</f>
        <v>0.11170000000000001</v>
      </c>
      <c r="AJ22" s="9">
        <v>2</v>
      </c>
      <c r="AK22" s="9">
        <v>2</v>
      </c>
      <c r="AL22" s="9">
        <v>4</v>
      </c>
      <c r="AM22" s="9">
        <v>1</v>
      </c>
      <c r="AN22" s="9">
        <v>6</v>
      </c>
      <c r="AO22" s="9">
        <v>2</v>
      </c>
      <c r="AP22" s="9">
        <f>AJ22*AK22+AL22*AM22+AN22*AO22</f>
        <v>20</v>
      </c>
      <c r="AQ22" s="11">
        <f>AP22/100*AH22</f>
        <v>0.022340000000000002</v>
      </c>
      <c r="AR22" s="11">
        <f>AP22/100*AI22</f>
        <v>0.022340000000000002</v>
      </c>
    </row>
    <row r="23" spans="1:44" ht="12.75">
      <c r="A23" s="35">
        <v>10</v>
      </c>
      <c r="B23" s="31" t="s">
        <v>32</v>
      </c>
      <c r="C23" s="11">
        <v>0</v>
      </c>
      <c r="D23" s="8">
        <f>16*25000*1012.85/1000000+4*25000*810/1000000</f>
        <v>486.14</v>
      </c>
      <c r="E23" s="11">
        <v>10</v>
      </c>
      <c r="F23" s="11">
        <v>10</v>
      </c>
      <c r="G23" s="8">
        <f>2*(159+2*140)/5</f>
        <v>175.6</v>
      </c>
      <c r="H23" s="11">
        <v>0</v>
      </c>
      <c r="I23" s="8">
        <f>D23*G23/1000</f>
        <v>85.36618399999999</v>
      </c>
      <c r="J23" s="11">
        <f>E23*G23/1000</f>
        <v>1.756</v>
      </c>
      <c r="K23" s="14">
        <f>1.117*F23*G23/1000</f>
        <v>1.961452</v>
      </c>
      <c r="L23" s="9">
        <v>3</v>
      </c>
      <c r="M23" s="9">
        <v>2</v>
      </c>
      <c r="N23" s="9">
        <v>4</v>
      </c>
      <c r="O23" s="9">
        <v>1</v>
      </c>
      <c r="P23" s="9">
        <v>6</v>
      </c>
      <c r="Q23" s="9">
        <v>2</v>
      </c>
      <c r="R23" s="9">
        <f>L23*M23+N23*O23+P23*Q23</f>
        <v>22</v>
      </c>
      <c r="S23" s="11">
        <f>R23/100*J23</f>
        <v>0.38632</v>
      </c>
      <c r="T23" s="11">
        <f>R23/100*K23</f>
        <v>0.43151944</v>
      </c>
      <c r="Y23" s="35">
        <v>10</v>
      </c>
      <c r="Z23" s="31" t="s">
        <v>32</v>
      </c>
      <c r="AA23" s="11">
        <v>0</v>
      </c>
      <c r="AB23" s="8">
        <f>16*25000*1012.85/1000000+4*25000*810/1000000</f>
        <v>486.14</v>
      </c>
      <c r="AC23" s="11">
        <v>10</v>
      </c>
      <c r="AD23" s="11">
        <v>10</v>
      </c>
      <c r="AE23" s="8">
        <f>2*(159+2*140)/5</f>
        <v>175.6</v>
      </c>
      <c r="AF23" s="11">
        <v>0</v>
      </c>
      <c r="AG23" s="8">
        <f>AB23*AE23/1000</f>
        <v>85.36618399999999</v>
      </c>
      <c r="AH23" s="47">
        <f>1.117*AC23*AE23/1000</f>
        <v>1.961452</v>
      </c>
      <c r="AI23" s="50">
        <f>1.117*AD23*AE23/1000</f>
        <v>1.961452</v>
      </c>
      <c r="AJ23" s="9">
        <v>3</v>
      </c>
      <c r="AK23" s="9">
        <v>2</v>
      </c>
      <c r="AL23" s="9">
        <v>4</v>
      </c>
      <c r="AM23" s="9">
        <v>1</v>
      </c>
      <c r="AN23" s="9">
        <v>6</v>
      </c>
      <c r="AO23" s="9">
        <v>2</v>
      </c>
      <c r="AP23" s="9">
        <f>AJ23*AK23+AL23*AM23+AN23*AO23</f>
        <v>22</v>
      </c>
      <c r="AQ23" s="11">
        <f>AP23/100*AH23</f>
        <v>0.43151944</v>
      </c>
      <c r="AR23" s="11">
        <f>AP23/100*AI23</f>
        <v>0.43151944</v>
      </c>
    </row>
    <row r="24" spans="1:44" ht="12.75">
      <c r="A24" s="35">
        <v>11</v>
      </c>
      <c r="B24" s="31" t="s">
        <v>19</v>
      </c>
      <c r="C24" s="11"/>
      <c r="D24" s="8"/>
      <c r="E24" s="11"/>
      <c r="F24" s="11"/>
      <c r="G24" s="8"/>
      <c r="H24" s="11">
        <v>2.4119029999999997</v>
      </c>
      <c r="I24" s="11">
        <f>'[1]4.1cost 5.0-instrum. (1)'!$F$58</f>
        <v>2.4119029999999997</v>
      </c>
      <c r="J24" s="11">
        <f>1.117*2.4</f>
        <v>2.6808</v>
      </c>
      <c r="K24" s="11">
        <f>1.117*2.4</f>
        <v>2.6808</v>
      </c>
      <c r="L24" s="9">
        <v>6</v>
      </c>
      <c r="M24" s="9">
        <v>2</v>
      </c>
      <c r="N24" s="9">
        <v>8</v>
      </c>
      <c r="O24" s="9">
        <v>1</v>
      </c>
      <c r="P24" s="9">
        <v>4</v>
      </c>
      <c r="Q24" s="9">
        <v>2</v>
      </c>
      <c r="R24" s="9">
        <f>L24*M24+N24*O24+P24*Q24</f>
        <v>28</v>
      </c>
      <c r="S24" s="11">
        <f>R24/100*J24</f>
        <v>0.7506240000000001</v>
      </c>
      <c r="T24" s="11">
        <f>R24/100*K24</f>
        <v>0.7506240000000001</v>
      </c>
      <c r="Y24" s="35">
        <v>11</v>
      </c>
      <c r="Z24" s="31" t="s">
        <v>19</v>
      </c>
      <c r="AA24" s="11"/>
      <c r="AB24" s="8"/>
      <c r="AC24" s="11"/>
      <c r="AD24" s="11"/>
      <c r="AE24" s="8"/>
      <c r="AF24" s="11">
        <v>2.4119029999999997</v>
      </c>
      <c r="AG24" s="11">
        <f>'[1]4.1cost 5.0-instrum. (1)'!$F$58</f>
        <v>2.4119029999999997</v>
      </c>
      <c r="AH24" s="47">
        <f>1.117*2.4</f>
        <v>2.6808</v>
      </c>
      <c r="AI24" s="47">
        <f>1.117*2.4</f>
        <v>2.6808</v>
      </c>
      <c r="AJ24" s="9">
        <v>6</v>
      </c>
      <c r="AK24" s="9">
        <v>2</v>
      </c>
      <c r="AL24" s="9">
        <v>8</v>
      </c>
      <c r="AM24" s="9">
        <v>1</v>
      </c>
      <c r="AN24" s="9">
        <v>4</v>
      </c>
      <c r="AO24" s="9">
        <v>2</v>
      </c>
      <c r="AP24" s="9">
        <f>AJ24*AK24+AL24*AM24+AN24*AO24</f>
        <v>28</v>
      </c>
      <c r="AQ24" s="11">
        <f>AP24/100*AH24</f>
        <v>0.7506240000000001</v>
      </c>
      <c r="AR24" s="11">
        <f>AP24/100*AI24</f>
        <v>0.7506240000000001</v>
      </c>
    </row>
    <row r="25" spans="1:44" ht="12.75">
      <c r="A25" s="35">
        <v>12</v>
      </c>
      <c r="B25" s="45" t="s">
        <v>20</v>
      </c>
      <c r="C25" s="11"/>
      <c r="D25" s="8"/>
      <c r="E25" s="11"/>
      <c r="F25" s="11"/>
      <c r="G25" s="16"/>
      <c r="H25" s="11">
        <v>70.612802</v>
      </c>
      <c r="I25" s="11">
        <f>'[2]PCAST DC Comp'!$F$107</f>
        <v>15.132858</v>
      </c>
      <c r="J25" s="11">
        <f>1.117*15.1</f>
        <v>16.866699999999998</v>
      </c>
      <c r="K25" s="11">
        <f>1.117*15.1</f>
        <v>16.866699999999998</v>
      </c>
      <c r="L25" s="9">
        <v>4</v>
      </c>
      <c r="M25" s="9">
        <v>2</v>
      </c>
      <c r="N25" s="9">
        <v>4</v>
      </c>
      <c r="O25" s="9">
        <v>1</v>
      </c>
      <c r="P25" s="9">
        <v>4</v>
      </c>
      <c r="Q25" s="9">
        <v>2</v>
      </c>
      <c r="R25" s="9">
        <f>L25*M25+N25*O25+P25*Q25</f>
        <v>20</v>
      </c>
      <c r="S25" s="11">
        <f>R25/100*J25</f>
        <v>3.37334</v>
      </c>
      <c r="T25" s="11">
        <f>R25/100*K25</f>
        <v>3.37334</v>
      </c>
      <c r="Y25" s="35">
        <v>12</v>
      </c>
      <c r="Z25" s="45" t="s">
        <v>20</v>
      </c>
      <c r="AA25" s="11"/>
      <c r="AB25" s="8"/>
      <c r="AC25" s="11"/>
      <c r="AD25" s="11"/>
      <c r="AE25" s="16"/>
      <c r="AF25" s="11">
        <v>70.612802</v>
      </c>
      <c r="AG25" s="11">
        <f>'[2]PCAST DC Comp'!$F$107</f>
        <v>15.132858</v>
      </c>
      <c r="AH25" s="47">
        <f>1.117*15.1</f>
        <v>16.866699999999998</v>
      </c>
      <c r="AI25" s="47">
        <f>1.117*15.1</f>
        <v>16.866699999999998</v>
      </c>
      <c r="AJ25" s="9">
        <v>4</v>
      </c>
      <c r="AK25" s="9">
        <v>2</v>
      </c>
      <c r="AL25" s="9">
        <v>4</v>
      </c>
      <c r="AM25" s="9">
        <v>1</v>
      </c>
      <c r="AN25" s="9">
        <v>4</v>
      </c>
      <c r="AO25" s="9">
        <v>2</v>
      </c>
      <c r="AP25" s="9">
        <f>AJ25*AK25+AL25*AM25+AN25*AO25</f>
        <v>20</v>
      </c>
      <c r="AQ25" s="11">
        <f>AP25/100*AH25</f>
        <v>3.37334</v>
      </c>
      <c r="AR25" s="11">
        <f>AP25/100*AI25</f>
        <v>3.37334</v>
      </c>
    </row>
    <row r="26" spans="1:44" ht="12.75">
      <c r="A26" s="15"/>
      <c r="B26" s="33" t="s">
        <v>43</v>
      </c>
      <c r="C26" s="8" t="s">
        <v>45</v>
      </c>
      <c r="D26" s="8"/>
      <c r="E26" s="8" t="s">
        <v>47</v>
      </c>
      <c r="F26" s="8"/>
      <c r="G26" s="8"/>
      <c r="H26" s="11"/>
      <c r="I26" s="11"/>
      <c r="J26" s="11">
        <f>8*6*125*8*5*48/1000000</f>
        <v>11.52</v>
      </c>
      <c r="K26" s="11">
        <f>J26</f>
        <v>11.52</v>
      </c>
      <c r="L26" s="32"/>
      <c r="M26" s="32"/>
      <c r="N26" s="32"/>
      <c r="O26" s="32"/>
      <c r="P26" s="32"/>
      <c r="Q26" s="32"/>
      <c r="R26" s="9"/>
      <c r="S26" s="11"/>
      <c r="T26" s="11"/>
      <c r="Y26" s="15"/>
      <c r="Z26" s="33" t="s">
        <v>43</v>
      </c>
      <c r="AA26" s="8" t="s">
        <v>45</v>
      </c>
      <c r="AB26" s="8"/>
      <c r="AC26" s="8" t="s">
        <v>47</v>
      </c>
      <c r="AD26" s="8"/>
      <c r="AE26" s="8"/>
      <c r="AF26" s="11"/>
      <c r="AG26" s="11"/>
      <c r="AH26" s="47">
        <f>8*6*125*8*5*48/1000000</f>
        <v>11.52</v>
      </c>
      <c r="AI26" s="47">
        <f>AH26</f>
        <v>11.52</v>
      </c>
      <c r="AJ26" s="32"/>
      <c r="AK26" s="32"/>
      <c r="AL26" s="32"/>
      <c r="AM26" s="32"/>
      <c r="AN26" s="32"/>
      <c r="AO26" s="32"/>
      <c r="AP26" s="9"/>
      <c r="AQ26" s="11"/>
      <c r="AR26" s="11"/>
    </row>
    <row r="27" spans="1:44" ht="12.75">
      <c r="A27" s="15"/>
      <c r="B27" s="31" t="s">
        <v>34</v>
      </c>
      <c r="C27" s="8"/>
      <c r="D27" s="8" t="s">
        <v>14</v>
      </c>
      <c r="E27" s="8" t="s">
        <v>14</v>
      </c>
      <c r="F27" s="8" t="s">
        <v>14</v>
      </c>
      <c r="G27" s="8" t="s">
        <v>14</v>
      </c>
      <c r="H27" s="11">
        <v>403.99169642000004</v>
      </c>
      <c r="I27" s="11">
        <f>SUM(I2:I25)</f>
        <v>566.7647881861501</v>
      </c>
      <c r="J27" s="11">
        <f>J2+J3+J4+J5+J6+J10+J11+J18+J21+J22+J23+J24+J25+J26</f>
        <v>162.97094719000003</v>
      </c>
      <c r="K27" s="11">
        <f>K2+K3+K4+K5+K6+K10+K11+K18+K21+K22+K23+K24+K25+K26</f>
        <v>163.42920750000008</v>
      </c>
      <c r="L27" s="32"/>
      <c r="M27" s="32"/>
      <c r="N27" s="32"/>
      <c r="O27" s="32"/>
      <c r="P27" s="32"/>
      <c r="Q27" s="32"/>
      <c r="R27" s="9">
        <f>S27/J27*100</f>
        <v>21.970718989474626</v>
      </c>
      <c r="S27" s="11">
        <f>SUM(S2:S25)</f>
        <v>35.8058888416</v>
      </c>
      <c r="T27" s="11">
        <f>SUM(T2:T25)</f>
        <v>35.9209118004</v>
      </c>
      <c r="Y27" s="15"/>
      <c r="Z27" s="31" t="s">
        <v>34</v>
      </c>
      <c r="AA27" s="8"/>
      <c r="AB27" s="8" t="s">
        <v>14</v>
      </c>
      <c r="AC27" s="8" t="s">
        <v>14</v>
      </c>
      <c r="AD27" s="8" t="s">
        <v>14</v>
      </c>
      <c r="AE27" s="8" t="s">
        <v>14</v>
      </c>
      <c r="AF27" s="11">
        <v>403.99169642000004</v>
      </c>
      <c r="AG27" s="11">
        <f>SUM(AG2:AG25)</f>
        <v>566.7647881861501</v>
      </c>
      <c r="AH27" s="47">
        <f>AH2+AH3+AH4+AH5+AH6+AH10+AH11+AH18+AH21+AH22+AH23+AH24+AH25+AH26</f>
        <v>163.41923269000006</v>
      </c>
      <c r="AI27" s="47">
        <f>AI2+AI3+AI4+AI5+AI6+AI10+AI11+AI18+AI21+AI22+AI23+AI24+AI25+AI26</f>
        <v>133.477339512</v>
      </c>
      <c r="AJ27" s="32"/>
      <c r="AK27" s="32"/>
      <c r="AL27" s="32"/>
      <c r="AM27" s="32"/>
      <c r="AN27" s="32"/>
      <c r="AO27" s="32"/>
      <c r="AP27" s="9">
        <f>AQ27/AH27*100</f>
        <v>21.979142277418063</v>
      </c>
      <c r="AQ27" s="11">
        <f>SUM(AQ2:AQ25)</f>
        <v>35.9181456616</v>
      </c>
      <c r="AR27" s="11">
        <f>SUM(AR2:AR25)</f>
        <v>29.66428644138</v>
      </c>
    </row>
    <row r="28" spans="1:44" ht="12.75">
      <c r="A28" s="15"/>
      <c r="B28" s="17"/>
      <c r="C28" s="5"/>
      <c r="D28" s="5"/>
      <c r="E28" s="5"/>
      <c r="F28" s="5"/>
      <c r="G28"/>
      <c r="H28"/>
      <c r="I28"/>
      <c r="J28" s="5"/>
      <c r="K28" s="5"/>
      <c r="S28" s="1"/>
      <c r="T28" s="1"/>
      <c r="Y28" s="15"/>
      <c r="Z28" s="17"/>
      <c r="AA28" s="5"/>
      <c r="AB28" s="5"/>
      <c r="AC28" s="5"/>
      <c r="AD28" s="5"/>
      <c r="AH28" s="53"/>
      <c r="AI28" s="53"/>
      <c r="AQ28" s="1"/>
      <c r="AR28" s="1"/>
    </row>
    <row r="29" spans="1:44" ht="12.75">
      <c r="A29" s="15"/>
      <c r="B29" s="17"/>
      <c r="C29" s="5"/>
      <c r="D29" s="5"/>
      <c r="E29" s="5"/>
      <c r="F29" s="5"/>
      <c r="G29"/>
      <c r="H29"/>
      <c r="I29"/>
      <c r="J29" s="5"/>
      <c r="K29" s="5"/>
      <c r="S29" s="1"/>
      <c r="T29" s="1"/>
      <c r="Y29" s="15"/>
      <c r="Z29" s="17"/>
      <c r="AA29" s="5"/>
      <c r="AB29" s="5"/>
      <c r="AC29" s="5"/>
      <c r="AD29" s="5"/>
      <c r="AH29" s="53"/>
      <c r="AI29" s="53"/>
      <c r="AQ29" s="1"/>
      <c r="AR29" s="1"/>
    </row>
    <row r="30" spans="1:35" ht="12.75">
      <c r="A30" s="9">
        <v>13</v>
      </c>
      <c r="B30" s="18" t="s">
        <v>21</v>
      </c>
      <c r="C30" s="11">
        <f>250/0.8</f>
        <v>312.5</v>
      </c>
      <c r="D30" s="11">
        <v>215.4</v>
      </c>
      <c r="E30" s="11">
        <v>60</v>
      </c>
      <c r="F30" s="11">
        <v>60</v>
      </c>
      <c r="G30" s="11">
        <f>H30*1000/C30</f>
        <v>120.77311999999999</v>
      </c>
      <c r="H30" s="11">
        <v>37.7416</v>
      </c>
      <c r="I30" s="11">
        <f>D30*G30/1000</f>
        <v>26.014530048</v>
      </c>
      <c r="J30" s="11">
        <f>1.117*E30*G30/1000</f>
        <v>8.0942145024</v>
      </c>
      <c r="K30" s="11">
        <f>J30</f>
        <v>8.0942145024</v>
      </c>
      <c r="Y30" s="9">
        <v>13</v>
      </c>
      <c r="Z30" s="18" t="s">
        <v>21</v>
      </c>
      <c r="AA30" s="11">
        <f>250/0.8</f>
        <v>312.5</v>
      </c>
      <c r="AB30" s="11">
        <v>215.4</v>
      </c>
      <c r="AC30" s="11">
        <v>60</v>
      </c>
      <c r="AD30" s="11">
        <v>60</v>
      </c>
      <c r="AE30" s="11">
        <f>AF30*1000/AA30</f>
        <v>120.77311999999999</v>
      </c>
      <c r="AF30" s="11">
        <v>37.7416</v>
      </c>
      <c r="AG30" s="11">
        <f>AB30*AE30/1000</f>
        <v>26.014530048</v>
      </c>
      <c r="AH30" s="47">
        <f>1.117*AC30*AE30/1000</f>
        <v>8.0942145024</v>
      </c>
      <c r="AI30" s="47">
        <f>AH30</f>
        <v>8.0942145024</v>
      </c>
    </row>
    <row r="31" spans="1:44" ht="12.75">
      <c r="A31" s="15"/>
      <c r="B31" s="18" t="s">
        <v>44</v>
      </c>
      <c r="C31" s="8" t="s">
        <v>46</v>
      </c>
      <c r="D31" s="8"/>
      <c r="E31" s="8" t="s">
        <v>48</v>
      </c>
      <c r="F31" s="8"/>
      <c r="G31" s="16"/>
      <c r="H31" s="5"/>
      <c r="I31" s="5"/>
      <c r="J31" s="11">
        <f>4*6*125*8*5*48/1000000</f>
        <v>5.76</v>
      </c>
      <c r="K31" s="11">
        <f>J31</f>
        <v>5.76</v>
      </c>
      <c r="L31" s="15"/>
      <c r="M31" s="15"/>
      <c r="N31" s="15"/>
      <c r="O31" s="15"/>
      <c r="P31" s="15"/>
      <c r="Q31" s="15"/>
      <c r="R31" s="15"/>
      <c r="S31" s="5"/>
      <c r="T31" s="5"/>
      <c r="Y31" s="15"/>
      <c r="Z31" s="18" t="s">
        <v>44</v>
      </c>
      <c r="AA31" s="8" t="s">
        <v>46</v>
      </c>
      <c r="AB31" s="8"/>
      <c r="AC31" s="8" t="s">
        <v>48</v>
      </c>
      <c r="AD31" s="8"/>
      <c r="AE31" s="16"/>
      <c r="AF31" s="5"/>
      <c r="AG31" s="5"/>
      <c r="AH31" s="47">
        <f>4*6*125*8*5*48/1000000</f>
        <v>5.76</v>
      </c>
      <c r="AI31" s="47">
        <f>AH31</f>
        <v>5.76</v>
      </c>
      <c r="AJ31" s="15"/>
      <c r="AK31" s="15"/>
      <c r="AL31" s="15"/>
      <c r="AM31" s="15"/>
      <c r="AN31" s="15"/>
      <c r="AO31" s="15"/>
      <c r="AP31" s="15"/>
      <c r="AQ31" s="5"/>
      <c r="AR31" s="5"/>
    </row>
    <row r="32" spans="1:44" ht="12.75">
      <c r="A32" s="15"/>
      <c r="B32" s="26" t="s">
        <v>33</v>
      </c>
      <c r="C32" s="27" t="s">
        <v>14</v>
      </c>
      <c r="D32" s="27">
        <f>D30</f>
        <v>215.4</v>
      </c>
      <c r="E32" s="27" t="s">
        <v>14</v>
      </c>
      <c r="F32" s="27" t="s">
        <v>14</v>
      </c>
      <c r="G32" s="28" t="s">
        <v>14</v>
      </c>
      <c r="H32" s="24">
        <v>37.7416</v>
      </c>
      <c r="I32" s="24">
        <f>I30</f>
        <v>26.014530048</v>
      </c>
      <c r="J32" s="25">
        <f>J30+J31</f>
        <v>13.8542145024</v>
      </c>
      <c r="K32" s="11">
        <f>J32</f>
        <v>13.8542145024</v>
      </c>
      <c r="L32" s="9">
        <v>1</v>
      </c>
      <c r="M32" s="9">
        <v>2</v>
      </c>
      <c r="N32" s="9">
        <v>8</v>
      </c>
      <c r="O32" s="9">
        <v>1</v>
      </c>
      <c r="P32" s="9">
        <v>4</v>
      </c>
      <c r="Q32" s="9">
        <v>2</v>
      </c>
      <c r="R32" s="9">
        <f>L32*M32+N32*O32+P32*Q32</f>
        <v>18</v>
      </c>
      <c r="S32" s="11">
        <f>R32/100*J32</f>
        <v>2.4937586104319998</v>
      </c>
      <c r="T32" s="11">
        <f>R32/100*K32</f>
        <v>2.4937586104319998</v>
      </c>
      <c r="Y32" s="15"/>
      <c r="Z32" s="26" t="s">
        <v>33</v>
      </c>
      <c r="AA32" s="27" t="s">
        <v>14</v>
      </c>
      <c r="AB32" s="27">
        <f>AB30</f>
        <v>215.4</v>
      </c>
      <c r="AC32" s="27" t="s">
        <v>14</v>
      </c>
      <c r="AD32" s="27" t="s">
        <v>14</v>
      </c>
      <c r="AE32" s="28" t="s">
        <v>14</v>
      </c>
      <c r="AF32" s="24">
        <v>37.7416</v>
      </c>
      <c r="AG32" s="24">
        <f>AG30</f>
        <v>26.014530048</v>
      </c>
      <c r="AH32" s="54">
        <f>AH30+AH31</f>
        <v>13.8542145024</v>
      </c>
      <c r="AI32" s="47">
        <f>AH32</f>
        <v>13.8542145024</v>
      </c>
      <c r="AJ32" s="9">
        <v>1</v>
      </c>
      <c r="AK32" s="9">
        <v>2</v>
      </c>
      <c r="AL32" s="9">
        <v>8</v>
      </c>
      <c r="AM32" s="9">
        <v>1</v>
      </c>
      <c r="AN32" s="9">
        <v>4</v>
      </c>
      <c r="AO32" s="9">
        <v>2</v>
      </c>
      <c r="AP32" s="9">
        <f>AJ32*AK32+AL32*AM32+AN32*AO32</f>
        <v>18</v>
      </c>
      <c r="AQ32" s="11">
        <f>AP32/100*AH32</f>
        <v>2.4937586104319998</v>
      </c>
      <c r="AR32" s="11">
        <f>AP32/100*AI32</f>
        <v>2.4937586104319998</v>
      </c>
    </row>
    <row r="33" spans="1:35" ht="12.75">
      <c r="A33" s="15"/>
      <c r="B33" s="29"/>
      <c r="C33" s="24"/>
      <c r="D33" s="24"/>
      <c r="E33" s="24"/>
      <c r="F33" s="24"/>
      <c r="G33" s="24"/>
      <c r="H33" s="24"/>
      <c r="I33" s="24"/>
      <c r="J33" s="24"/>
      <c r="K33" s="24"/>
      <c r="Y33" s="15"/>
      <c r="Z33" s="29"/>
      <c r="AA33" s="24"/>
      <c r="AB33" s="24"/>
      <c r="AC33" s="24"/>
      <c r="AD33" s="24"/>
      <c r="AE33" s="24"/>
      <c r="AF33" s="24"/>
      <c r="AG33" s="24"/>
      <c r="AH33" s="55"/>
      <c r="AI33" s="55"/>
    </row>
    <row r="34" spans="1:35" ht="12.75">
      <c r="A34" s="15"/>
      <c r="B34" s="29"/>
      <c r="C34" s="24"/>
      <c r="D34" s="24"/>
      <c r="E34" s="24"/>
      <c r="F34" s="24"/>
      <c r="G34" s="24"/>
      <c r="H34" s="24"/>
      <c r="I34" s="24"/>
      <c r="J34" s="24"/>
      <c r="K34" s="24"/>
      <c r="Y34" s="15"/>
      <c r="Z34" s="29"/>
      <c r="AA34" s="24"/>
      <c r="AB34" s="24"/>
      <c r="AC34" s="24"/>
      <c r="AD34" s="24"/>
      <c r="AE34" s="24"/>
      <c r="AF34" s="24"/>
      <c r="AG34" s="24"/>
      <c r="AH34" s="55"/>
      <c r="AI34" s="55"/>
    </row>
    <row r="35" spans="2:44" ht="12.75">
      <c r="B35" s="3" t="s">
        <v>25</v>
      </c>
      <c r="J35" s="11">
        <f>J27+J30</f>
        <v>171.06516169240004</v>
      </c>
      <c r="K35" s="11">
        <f>K27+K32</f>
        <v>177.28342200240007</v>
      </c>
      <c r="S35" s="11">
        <f>S27+S32</f>
        <v>38.299647452032005</v>
      </c>
      <c r="T35" s="11">
        <f>T27+T32</f>
        <v>38.414670410832</v>
      </c>
      <c r="Z35" s="3" t="s">
        <v>25</v>
      </c>
      <c r="AA35" s="1"/>
      <c r="AB35" s="1"/>
      <c r="AC35" s="1"/>
      <c r="AD35" s="1"/>
      <c r="AE35" s="1" t="s">
        <v>59</v>
      </c>
      <c r="AF35" s="1"/>
      <c r="AG35" s="1"/>
      <c r="AH35" s="47">
        <f>AH27+AH32</f>
        <v>177.27344719240006</v>
      </c>
      <c r="AI35" s="47">
        <f>AI27+AI32</f>
        <v>147.33155401439998</v>
      </c>
      <c r="AQ35" s="11">
        <f>AQ27+AQ32</f>
        <v>38.411904272032004</v>
      </c>
      <c r="AR35" s="11">
        <f>AR27+AR32</f>
        <v>32.158045051811996</v>
      </c>
    </row>
    <row r="37" spans="2:35" ht="51.75">
      <c r="B37" s="39" t="s">
        <v>0</v>
      </c>
      <c r="C37" s="10" t="s">
        <v>1</v>
      </c>
      <c r="D37" s="7" t="s">
        <v>2</v>
      </c>
      <c r="E37" s="10" t="s">
        <v>3</v>
      </c>
      <c r="F37" s="10" t="s">
        <v>3</v>
      </c>
      <c r="G37" s="7" t="s">
        <v>4</v>
      </c>
      <c r="H37" s="10" t="s">
        <v>5</v>
      </c>
      <c r="I37" s="7" t="s">
        <v>6</v>
      </c>
      <c r="J37" s="10" t="s">
        <v>30</v>
      </c>
      <c r="K37" s="34" t="s">
        <v>30</v>
      </c>
      <c r="L37" s="30" t="s">
        <v>35</v>
      </c>
      <c r="M37" s="30" t="s">
        <v>38</v>
      </c>
      <c r="N37" s="30" t="s">
        <v>36</v>
      </c>
      <c r="O37" s="30" t="s">
        <v>39</v>
      </c>
      <c r="P37" s="30" t="s">
        <v>37</v>
      </c>
      <c r="Q37" s="30" t="s">
        <v>40</v>
      </c>
      <c r="R37" s="30" t="s">
        <v>41</v>
      </c>
      <c r="S37" s="30" t="s">
        <v>42</v>
      </c>
      <c r="T37" s="30" t="s">
        <v>42</v>
      </c>
      <c r="V37" s="1"/>
      <c r="AE37" t="s">
        <v>58</v>
      </c>
      <c r="AH37" s="1">
        <f>AH35+AQ35</f>
        <v>215.68535146443207</v>
      </c>
      <c r="AI37" s="1">
        <f>AI35+AR35</f>
        <v>179.48959906621198</v>
      </c>
    </row>
    <row r="38" spans="2:20" ht="12.75">
      <c r="B38" s="31" t="s">
        <v>7</v>
      </c>
      <c r="C38" s="11">
        <v>1200</v>
      </c>
      <c r="D38" s="8">
        <v>1200</v>
      </c>
      <c r="E38" s="11">
        <v>600</v>
      </c>
      <c r="F38" s="11">
        <v>300</v>
      </c>
      <c r="G38" s="8">
        <v>4.6</v>
      </c>
      <c r="H38" s="11">
        <v>5.57466</v>
      </c>
      <c r="I38" s="8">
        <f>D38*G38/1000</f>
        <v>5.52</v>
      </c>
      <c r="J38" s="11">
        <f>1.117*E38*G38/1000</f>
        <v>3.08292</v>
      </c>
      <c r="K38" s="11">
        <f>1.117*F38*G38/1000</f>
        <v>1.54146</v>
      </c>
      <c r="L38" s="9">
        <v>1</v>
      </c>
      <c r="M38" s="9">
        <v>2</v>
      </c>
      <c r="N38" s="9">
        <v>8</v>
      </c>
      <c r="O38" s="9">
        <v>1</v>
      </c>
      <c r="P38" s="9">
        <v>1</v>
      </c>
      <c r="Q38" s="9">
        <v>2</v>
      </c>
      <c r="R38" s="9">
        <f>L38*M38+N38*O38+P38*Q38</f>
        <v>12</v>
      </c>
      <c r="S38" s="11">
        <f>R38/100*J38</f>
        <v>0.3699504</v>
      </c>
      <c r="T38" s="11">
        <f>R38/100*K38</f>
        <v>0.1849752</v>
      </c>
    </row>
    <row r="39" spans="2:20" ht="12.75">
      <c r="B39" s="31" t="s">
        <v>8</v>
      </c>
      <c r="C39" s="11">
        <v>1200</v>
      </c>
      <c r="D39" s="8">
        <v>1200</v>
      </c>
      <c r="E39" s="11">
        <v>600</v>
      </c>
      <c r="F39" s="11">
        <v>300</v>
      </c>
      <c r="G39" s="8">
        <v>15.1</v>
      </c>
      <c r="H39" s="11">
        <v>18.1545</v>
      </c>
      <c r="I39" s="8">
        <f>D39*G39/1000</f>
        <v>18.12</v>
      </c>
      <c r="J39" s="11">
        <f>1.117*E39*G39/1000</f>
        <v>10.12002</v>
      </c>
      <c r="K39" s="11">
        <f>1.117*F39*G39/1000</f>
        <v>5.06001</v>
      </c>
      <c r="L39" s="9">
        <v>1</v>
      </c>
      <c r="M39" s="9">
        <v>2</v>
      </c>
      <c r="N39" s="9">
        <v>8</v>
      </c>
      <c r="O39" s="9">
        <v>1</v>
      </c>
      <c r="P39" s="9">
        <v>1</v>
      </c>
      <c r="Q39" s="9">
        <v>2</v>
      </c>
      <c r="R39" s="9">
        <f>L39*M39+N39*O39+P39*Q39</f>
        <v>12</v>
      </c>
      <c r="S39" s="11">
        <f>R39/100*J39</f>
        <v>1.2144024</v>
      </c>
      <c r="T39" s="11">
        <f>R39/100*K39</f>
        <v>0.6072012</v>
      </c>
    </row>
    <row r="40" spans="2:20" ht="12.75">
      <c r="B40" s="31" t="s">
        <v>9</v>
      </c>
      <c r="C40" s="11">
        <v>0</v>
      </c>
      <c r="D40" s="8">
        <f>4*475</f>
        <v>1900</v>
      </c>
      <c r="E40" s="11">
        <v>0</v>
      </c>
      <c r="F40" s="11">
        <v>950</v>
      </c>
      <c r="G40" s="8"/>
      <c r="H40" s="11">
        <v>0</v>
      </c>
      <c r="I40" s="11">
        <f>2*(6240+2415)/1000*2.315</f>
        <v>40.072649999999996</v>
      </c>
      <c r="J40" s="11">
        <v>0</v>
      </c>
      <c r="K40" s="11">
        <v>44.8</v>
      </c>
      <c r="L40" s="9">
        <v>2</v>
      </c>
      <c r="M40" s="9">
        <v>2</v>
      </c>
      <c r="N40" s="9">
        <v>8</v>
      </c>
      <c r="O40" s="9">
        <v>1</v>
      </c>
      <c r="P40" s="9">
        <v>4</v>
      </c>
      <c r="Q40" s="9">
        <v>2</v>
      </c>
      <c r="R40" s="9">
        <f>L40*M40+N40*O40+P40*Q40</f>
        <v>20</v>
      </c>
      <c r="S40" s="11">
        <f>R40/100*J40</f>
        <v>0</v>
      </c>
      <c r="T40" s="11">
        <f>R40/100*K40</f>
        <v>8.959999999999999</v>
      </c>
    </row>
    <row r="41" spans="2:20" ht="12.75">
      <c r="B41" s="31" t="s">
        <v>29</v>
      </c>
      <c r="C41" s="11">
        <v>600</v>
      </c>
      <c r="D41" s="8">
        <v>300</v>
      </c>
      <c r="E41" s="11">
        <v>300</v>
      </c>
      <c r="F41" s="11">
        <v>150</v>
      </c>
      <c r="G41" s="8">
        <v>29.2</v>
      </c>
      <c r="H41" s="11">
        <v>17.5383</v>
      </c>
      <c r="I41" s="8">
        <f>D41*G41/1000</f>
        <v>8.76</v>
      </c>
      <c r="J41" s="11">
        <f>1.117*E41*G41/1000</f>
        <v>9.78492</v>
      </c>
      <c r="K41" s="11">
        <f>1.117*F41*G41/1000</f>
        <v>4.89246</v>
      </c>
      <c r="L41" s="9">
        <v>2</v>
      </c>
      <c r="M41" s="9">
        <v>2</v>
      </c>
      <c r="N41" s="9">
        <v>8</v>
      </c>
      <c r="O41" s="9">
        <v>1</v>
      </c>
      <c r="P41" s="9">
        <v>4</v>
      </c>
      <c r="Q41" s="9">
        <v>2</v>
      </c>
      <c r="R41" s="9">
        <f>L41*M41+N41*O41+P41*Q41</f>
        <v>20</v>
      </c>
      <c r="S41" s="11">
        <f>R41/100*J41</f>
        <v>1.956984</v>
      </c>
      <c r="T41" s="11">
        <f>R41/100*K41</f>
        <v>0.978492</v>
      </c>
    </row>
    <row r="42" spans="2:20" ht="12.75">
      <c r="B42" s="40" t="s">
        <v>10</v>
      </c>
      <c r="C42" s="12">
        <f>56*86</f>
        <v>4816</v>
      </c>
      <c r="D42" s="4">
        <f>(122+16)*25000*1012.85/1000000+(40+4)*25000*810/1000000+120/0.8+D41</f>
        <v>4835.3325</v>
      </c>
      <c r="E42" s="12">
        <f>SUM(E43:E45)</f>
        <v>1545.7</v>
      </c>
      <c r="F42" s="12">
        <f>SUM(F43:F45)</f>
        <v>1545.75</v>
      </c>
      <c r="G42" s="11">
        <v>3</v>
      </c>
      <c r="H42" s="11">
        <v>15.693704</v>
      </c>
      <c r="I42" s="11">
        <f>D42*G42/1000</f>
        <v>14.505997500000001</v>
      </c>
      <c r="J42" s="11">
        <f>1.117*E42*G42/1000</f>
        <v>5.1796407</v>
      </c>
      <c r="K42" s="11">
        <f>1.117*F42*G42/1000</f>
        <v>5.17980825</v>
      </c>
      <c r="L42" s="9">
        <v>1</v>
      </c>
      <c r="M42" s="9">
        <v>2</v>
      </c>
      <c r="N42" s="9">
        <v>8</v>
      </c>
      <c r="O42" s="9">
        <v>1</v>
      </c>
      <c r="P42" s="9">
        <v>1</v>
      </c>
      <c r="Q42" s="9">
        <v>2</v>
      </c>
      <c r="R42" s="9">
        <f>L42*M42+N42*O42+P42*Q42</f>
        <v>12</v>
      </c>
      <c r="S42" s="11">
        <f>R42/100*J42</f>
        <v>0.621556884</v>
      </c>
      <c r="T42" s="11">
        <f>R42/100*K42</f>
        <v>0.62157699</v>
      </c>
    </row>
    <row r="43" spans="2:20" ht="12.75">
      <c r="B43" s="41" t="s">
        <v>11</v>
      </c>
      <c r="C43" s="13">
        <f>C46+C47+C57</f>
        <v>2806.2000000000003</v>
      </c>
      <c r="D43" s="5">
        <f>D46+D47+D57</f>
        <v>4385.3325</v>
      </c>
      <c r="E43" s="13">
        <f>E46+E47+E57</f>
        <v>1170.7</v>
      </c>
      <c r="F43" s="13">
        <f>F46+F47+F57</f>
        <v>1170.75</v>
      </c>
      <c r="G43" s="5"/>
      <c r="H43" s="13"/>
      <c r="I43" s="5"/>
      <c r="J43" s="13"/>
      <c r="K43" s="22"/>
      <c r="S43" s="1" t="s">
        <v>14</v>
      </c>
      <c r="T43" s="1" t="s">
        <v>14</v>
      </c>
    </row>
    <row r="44" spans="2:20" ht="12.75">
      <c r="B44" s="41" t="s">
        <v>12</v>
      </c>
      <c r="C44" s="13">
        <f>300/0.8</f>
        <v>375</v>
      </c>
      <c r="D44" s="5">
        <f>120/0.8</f>
        <v>150</v>
      </c>
      <c r="E44" s="13">
        <f>60/0.8</f>
        <v>75</v>
      </c>
      <c r="F44" s="13">
        <f>60/0.8</f>
        <v>75</v>
      </c>
      <c r="G44" s="5"/>
      <c r="H44" s="13"/>
      <c r="I44" s="5"/>
      <c r="J44" s="13"/>
      <c r="K44" s="22"/>
      <c r="S44" s="1" t="s">
        <v>14</v>
      </c>
      <c r="T44" s="1" t="s">
        <v>14</v>
      </c>
    </row>
    <row r="45" spans="2:20" ht="12.75">
      <c r="B45" s="42" t="s">
        <v>13</v>
      </c>
      <c r="C45" s="14">
        <f>C41</f>
        <v>600</v>
      </c>
      <c r="D45" s="6">
        <f>D41</f>
        <v>300</v>
      </c>
      <c r="E45" s="14">
        <v>300</v>
      </c>
      <c r="F45" s="14">
        <v>300</v>
      </c>
      <c r="G45" s="6"/>
      <c r="H45" s="14"/>
      <c r="I45" s="6"/>
      <c r="J45" s="14"/>
      <c r="K45" s="23"/>
      <c r="S45" s="1" t="s">
        <v>14</v>
      </c>
      <c r="T45" s="1" t="s">
        <v>14</v>
      </c>
    </row>
    <row r="46" spans="2:20" ht="12.75">
      <c r="B46" s="31" t="s">
        <v>22</v>
      </c>
      <c r="C46" s="11">
        <f>2*340*60000/1000000</f>
        <v>40.8</v>
      </c>
      <c r="D46" s="8">
        <f>40*25000*810/1000000</f>
        <v>810</v>
      </c>
      <c r="E46" s="11">
        <f>14*59500*650/1000000</f>
        <v>541.45</v>
      </c>
      <c r="F46" s="11">
        <f>14*59500*650/1000000</f>
        <v>541.45</v>
      </c>
      <c r="G46" s="8">
        <v>49.8</v>
      </c>
      <c r="H46" s="11">
        <v>3.80536</v>
      </c>
      <c r="I46" s="8">
        <f>D46*G46/1000</f>
        <v>40.338</v>
      </c>
      <c r="J46" s="11">
        <f>1.117*E46*G46/1000</f>
        <v>30.119022570000002</v>
      </c>
      <c r="K46" s="11">
        <f>1.117*F46*G46/1000</f>
        <v>30.119022570000002</v>
      </c>
      <c r="L46" s="9">
        <v>4</v>
      </c>
      <c r="M46" s="9">
        <v>2</v>
      </c>
      <c r="N46" s="9">
        <v>8</v>
      </c>
      <c r="O46" s="9">
        <v>1</v>
      </c>
      <c r="P46" s="9">
        <v>4</v>
      </c>
      <c r="Q46" s="9">
        <v>2</v>
      </c>
      <c r="R46" s="9">
        <f>L46*M46+N46*O46+P46*Q46</f>
        <v>24</v>
      </c>
      <c r="S46" s="11">
        <f>R46/100*J46</f>
        <v>7.2285654168</v>
      </c>
      <c r="T46" s="11">
        <f>R46/100*K46</f>
        <v>7.2285654168</v>
      </c>
    </row>
    <row r="47" spans="2:20" ht="12.75">
      <c r="B47" s="40" t="s">
        <v>23</v>
      </c>
      <c r="C47" s="12">
        <f>SUM(C48:C53)</f>
        <v>2765.4</v>
      </c>
      <c r="D47" s="4">
        <f>SUM(D48:D53)</f>
        <v>3089.1925</v>
      </c>
      <c r="E47" s="12">
        <f>SUM(E48:E53)</f>
        <v>618</v>
      </c>
      <c r="F47" s="12">
        <f>SUM(F48:F53)</f>
        <v>618</v>
      </c>
      <c r="G47" s="4"/>
      <c r="H47" s="12"/>
      <c r="I47" s="4"/>
      <c r="J47" s="12">
        <f>SUM(J48:J53)</f>
        <v>37.504123920000005</v>
      </c>
      <c r="K47" s="12">
        <f>SUM(K48:K53)</f>
        <v>37.504123920000005</v>
      </c>
      <c r="L47" s="9">
        <v>4</v>
      </c>
      <c r="M47" s="9">
        <v>2</v>
      </c>
      <c r="N47" s="9">
        <v>8</v>
      </c>
      <c r="O47" s="9">
        <v>1</v>
      </c>
      <c r="P47" s="9">
        <v>4</v>
      </c>
      <c r="Q47" s="9">
        <v>2</v>
      </c>
      <c r="R47" s="9">
        <f>L47*M47+N47*O47+P47*Q47</f>
        <v>24</v>
      </c>
      <c r="S47" s="11">
        <f>R47/100*J47</f>
        <v>9.000989740800001</v>
      </c>
      <c r="T47" s="11">
        <f>R47/100*K47</f>
        <v>9.000989740800001</v>
      </c>
    </row>
    <row r="48" spans="2:20" ht="12.75" hidden="1">
      <c r="B48" s="43" t="s">
        <v>26</v>
      </c>
      <c r="C48" s="13">
        <f>20*2*21500*2000/1000000</f>
        <v>1720</v>
      </c>
      <c r="D48" s="5"/>
      <c r="E48" s="13"/>
      <c r="F48" s="13"/>
      <c r="G48" s="5">
        <v>55.6</v>
      </c>
      <c r="H48" s="13">
        <v>95.67869999999999</v>
      </c>
      <c r="I48" s="5" t="s">
        <v>14</v>
      </c>
      <c r="J48" s="13">
        <f aca="true" t="shared" si="4" ref="J48:J53">1.117*E48*G48/1000</f>
        <v>0</v>
      </c>
      <c r="K48" s="13">
        <f aca="true" t="shared" si="5" ref="K48:K53">1.117*F48*G48/1000</f>
        <v>0</v>
      </c>
      <c r="S48" s="1" t="s">
        <v>14</v>
      </c>
      <c r="T48" s="1" t="s">
        <v>14</v>
      </c>
    </row>
    <row r="49" spans="2:20" ht="12.75" hidden="1">
      <c r="B49" s="43" t="s">
        <v>27</v>
      </c>
      <c r="C49" s="13">
        <f>14*2*21500*1500/1000000</f>
        <v>903</v>
      </c>
      <c r="D49" s="5"/>
      <c r="E49" s="13"/>
      <c r="F49" s="13"/>
      <c r="G49" s="5">
        <v>58.6</v>
      </c>
      <c r="H49" s="13">
        <v>52.90427999999999</v>
      </c>
      <c r="I49" s="5" t="s">
        <v>14</v>
      </c>
      <c r="J49" s="13">
        <f t="shared" si="4"/>
        <v>0</v>
      </c>
      <c r="K49" s="13">
        <f t="shared" si="5"/>
        <v>0</v>
      </c>
      <c r="S49" s="1" t="s">
        <v>14</v>
      </c>
      <c r="T49" s="1" t="s">
        <v>14</v>
      </c>
    </row>
    <row r="50" spans="2:20" ht="12.75" hidden="1">
      <c r="B50" s="43" t="s">
        <v>16</v>
      </c>
      <c r="C50" s="13">
        <f>108</f>
        <v>108</v>
      </c>
      <c r="D50" s="5"/>
      <c r="E50" s="13"/>
      <c r="F50" s="13"/>
      <c r="G50" s="5">
        <v>132.4</v>
      </c>
      <c r="H50" s="13">
        <v>14.3</v>
      </c>
      <c r="I50" s="5" t="s">
        <v>14</v>
      </c>
      <c r="J50" s="13">
        <f t="shared" si="4"/>
        <v>0</v>
      </c>
      <c r="K50" s="13">
        <f t="shared" si="5"/>
        <v>0</v>
      </c>
      <c r="S50" s="1" t="s">
        <v>14</v>
      </c>
      <c r="T50" s="1" t="s">
        <v>14</v>
      </c>
    </row>
    <row r="51" spans="2:20" ht="12.75" hidden="1">
      <c r="B51" s="43" t="s">
        <v>28</v>
      </c>
      <c r="C51" s="19">
        <f>4*200*2*21500/1000000</f>
        <v>34.4</v>
      </c>
      <c r="D51" s="5"/>
      <c r="E51" s="13"/>
      <c r="F51" s="13"/>
      <c r="G51" s="5">
        <v>134.1</v>
      </c>
      <c r="H51" s="13">
        <v>4.61292</v>
      </c>
      <c r="I51" s="5" t="s">
        <v>14</v>
      </c>
      <c r="J51" s="13">
        <f t="shared" si="4"/>
        <v>0</v>
      </c>
      <c r="K51" s="13">
        <f t="shared" si="5"/>
        <v>0</v>
      </c>
      <c r="L51" s="15"/>
      <c r="N51" s="15"/>
      <c r="O51" s="15"/>
      <c r="P51" s="15"/>
      <c r="Q51" s="15"/>
      <c r="R51" s="15"/>
      <c r="S51" s="1" t="s">
        <v>14</v>
      </c>
      <c r="T51" s="1" t="s">
        <v>14</v>
      </c>
    </row>
    <row r="52" spans="2:20" ht="12.75">
      <c r="B52" s="43" t="s">
        <v>49</v>
      </c>
      <c r="C52" s="19"/>
      <c r="D52" s="5">
        <f>122*25000*1012.85/1000000</f>
        <v>3089.1925</v>
      </c>
      <c r="E52" s="13">
        <f>1.5*(2*47+2*36.7+2*62.1)</f>
        <v>437.40000000000003</v>
      </c>
      <c r="F52" s="13">
        <f>1.5*(2*47+2*36.7+2*62.1)</f>
        <v>437.40000000000003</v>
      </c>
      <c r="G52" s="5">
        <v>56.2</v>
      </c>
      <c r="H52" s="13" t="s">
        <v>14</v>
      </c>
      <c r="I52" s="5">
        <f>D52*G52/1000</f>
        <v>173.61261850000002</v>
      </c>
      <c r="J52" s="13">
        <f t="shared" si="4"/>
        <v>27.457959960000004</v>
      </c>
      <c r="K52" s="13">
        <f t="shared" si="5"/>
        <v>27.457959960000004</v>
      </c>
      <c r="L52" s="15"/>
      <c r="M52" s="15"/>
      <c r="N52" s="15"/>
      <c r="O52" s="15"/>
      <c r="P52" s="15"/>
      <c r="Q52" s="15"/>
      <c r="R52" s="15"/>
      <c r="S52" s="1" t="s">
        <v>14</v>
      </c>
      <c r="T52" s="1" t="s">
        <v>14</v>
      </c>
    </row>
    <row r="53" spans="2:20" ht="12.75">
      <c r="B53" s="44" t="s">
        <v>50</v>
      </c>
      <c r="C53" s="21" t="s">
        <v>14</v>
      </c>
      <c r="D53" s="6"/>
      <c r="E53" s="14">
        <f>1.5*(2*17.8+2*6.9+2*13.3+2*22.2)</f>
        <v>180.60000000000002</v>
      </c>
      <c r="F53" s="14">
        <f>1.5*(2*17.8+2*6.9+2*13.3+2*22.2)</f>
        <v>180.60000000000002</v>
      </c>
      <c r="G53" s="6">
        <v>49.8</v>
      </c>
      <c r="H53" s="14" t="s">
        <v>14</v>
      </c>
      <c r="I53" s="6" t="s">
        <v>14</v>
      </c>
      <c r="J53" s="14">
        <f t="shared" si="4"/>
        <v>10.04616396</v>
      </c>
      <c r="K53" s="14">
        <f t="shared" si="5"/>
        <v>10.04616396</v>
      </c>
      <c r="L53" s="15"/>
      <c r="M53" s="15"/>
      <c r="N53" s="15"/>
      <c r="O53" s="15"/>
      <c r="P53" s="15"/>
      <c r="Q53" s="15"/>
      <c r="R53" s="15"/>
      <c r="S53" s="1" t="s">
        <v>14</v>
      </c>
      <c r="T53" s="1" t="s">
        <v>14</v>
      </c>
    </row>
    <row r="54" spans="2:20" ht="12.75">
      <c r="B54" s="40" t="s">
        <v>24</v>
      </c>
      <c r="C54" s="12"/>
      <c r="D54" s="4"/>
      <c r="E54" s="12"/>
      <c r="F54" s="12"/>
      <c r="G54" s="4"/>
      <c r="H54" s="12"/>
      <c r="I54" s="4"/>
      <c r="J54" s="12">
        <f>SUM(J55:J56)</f>
        <v>32.2813</v>
      </c>
      <c r="K54" s="12">
        <f>SUM(K55:K56)</f>
        <v>32.2813</v>
      </c>
      <c r="L54" s="9">
        <v>6</v>
      </c>
      <c r="M54" s="9">
        <v>2</v>
      </c>
      <c r="N54" s="9">
        <v>8</v>
      </c>
      <c r="O54" s="9">
        <v>1</v>
      </c>
      <c r="P54" s="9">
        <v>6</v>
      </c>
      <c r="Q54" s="9">
        <v>2</v>
      </c>
      <c r="R54" s="9">
        <f>L54*M54+N54*O54+P54*Q54</f>
        <v>32</v>
      </c>
      <c r="S54" s="11">
        <f>R54/100*J56</f>
        <v>10.330016</v>
      </c>
      <c r="T54" s="11">
        <f>R54/100*K56</f>
        <v>10.330016</v>
      </c>
    </row>
    <row r="55" spans="2:20" ht="12.75" hidden="1">
      <c r="B55" s="43" t="s">
        <v>15</v>
      </c>
      <c r="C55" s="13"/>
      <c r="D55" s="5"/>
      <c r="E55" s="13"/>
      <c r="F55" s="13"/>
      <c r="G55" s="5" t="s">
        <v>14</v>
      </c>
      <c r="H55" s="13">
        <v>74.38589002</v>
      </c>
      <c r="I55" s="5">
        <v>0</v>
      </c>
      <c r="J55" s="13">
        <f>1.117*0</f>
        <v>0</v>
      </c>
      <c r="K55" s="13">
        <f>1.117*0</f>
        <v>0</v>
      </c>
      <c r="M55" s="15"/>
      <c r="S55" s="1" t="s">
        <v>14</v>
      </c>
      <c r="T55" s="1" t="s">
        <v>14</v>
      </c>
    </row>
    <row r="56" spans="2:11" ht="12.75">
      <c r="B56" s="44" t="s">
        <v>17</v>
      </c>
      <c r="C56" s="14"/>
      <c r="D56" s="6"/>
      <c r="E56" s="14"/>
      <c r="F56" s="14"/>
      <c r="G56" s="6" t="s">
        <v>14</v>
      </c>
      <c r="H56" s="14">
        <v>28.3186774</v>
      </c>
      <c r="I56" s="6">
        <f>'[3]PCAST SNU'!$F$86</f>
        <v>28.944393186150005</v>
      </c>
      <c r="J56" s="14">
        <f>1.117*28.9</f>
        <v>32.2813</v>
      </c>
      <c r="K56" s="14">
        <f>1.117*28.9</f>
        <v>32.2813</v>
      </c>
    </row>
    <row r="57" spans="2:20" ht="12.75">
      <c r="B57" s="31" t="s">
        <v>18</v>
      </c>
      <c r="C57" s="11">
        <v>0</v>
      </c>
      <c r="D57" s="8">
        <f>16*25000*1012.85/1000000+4*25000*810/1000000</f>
        <v>486.14</v>
      </c>
      <c r="E57" s="11">
        <f>2*75*0.075</f>
        <v>11.25</v>
      </c>
      <c r="F57" s="11">
        <v>11.3</v>
      </c>
      <c r="G57" s="8">
        <f>2*(159+2*140)/5</f>
        <v>175.6</v>
      </c>
      <c r="H57" s="11">
        <v>0</v>
      </c>
      <c r="I57" s="8">
        <f>D57*G57/1000</f>
        <v>85.36618399999999</v>
      </c>
      <c r="J57" s="11">
        <f>E57*G57/1000</f>
        <v>1.9755</v>
      </c>
      <c r="K57" s="14">
        <f>1.117*F57*G57/1000</f>
        <v>2.21644076</v>
      </c>
      <c r="L57" s="9">
        <v>6</v>
      </c>
      <c r="M57" s="9">
        <v>2</v>
      </c>
      <c r="N57" s="9">
        <v>4</v>
      </c>
      <c r="O57" s="9">
        <v>1</v>
      </c>
      <c r="P57" s="9">
        <v>6</v>
      </c>
      <c r="Q57" s="9">
        <v>2</v>
      </c>
      <c r="R57" s="9">
        <f>L57*M57+N57*O57+P57*Q57</f>
        <v>28</v>
      </c>
      <c r="S57" s="11">
        <f>R57/100*J57</f>
        <v>0.5531400000000001</v>
      </c>
      <c r="T57" s="11">
        <f>R57/100*K57</f>
        <v>0.6206034128</v>
      </c>
    </row>
    <row r="58" spans="2:20" ht="12.75">
      <c r="B58" s="31" t="s">
        <v>31</v>
      </c>
      <c r="C58" s="11">
        <v>0</v>
      </c>
      <c r="D58" s="8">
        <f>16*25000*1012.85/1000000+4*25000*810/1000000</f>
        <v>486.14</v>
      </c>
      <c r="E58" s="11">
        <v>1</v>
      </c>
      <c r="F58" s="11">
        <v>1</v>
      </c>
      <c r="G58" s="8">
        <v>100</v>
      </c>
      <c r="H58" s="11">
        <v>0</v>
      </c>
      <c r="I58" s="8">
        <f>D58*G58/1000</f>
        <v>48.614</v>
      </c>
      <c r="J58" s="11">
        <f>E58*G58/1000</f>
        <v>0.1</v>
      </c>
      <c r="K58" s="14">
        <f>1.117*F58*G58/1000</f>
        <v>0.11170000000000001</v>
      </c>
      <c r="L58" s="9">
        <v>2</v>
      </c>
      <c r="M58" s="9">
        <v>2</v>
      </c>
      <c r="N58" s="9">
        <v>4</v>
      </c>
      <c r="O58" s="9">
        <v>1</v>
      </c>
      <c r="P58" s="9">
        <v>6</v>
      </c>
      <c r="Q58" s="9">
        <v>2</v>
      </c>
      <c r="R58" s="9">
        <f>L58*M58+N58*O58+P58*Q58</f>
        <v>20</v>
      </c>
      <c r="S58" s="11">
        <f>R58/100*J58</f>
        <v>0.020000000000000004</v>
      </c>
      <c r="T58" s="11">
        <f>R58/100*K58</f>
        <v>0.022340000000000002</v>
      </c>
    </row>
    <row r="59" spans="2:20" ht="12.75">
      <c r="B59" s="31" t="s">
        <v>32</v>
      </c>
      <c r="C59" s="11">
        <v>0</v>
      </c>
      <c r="D59" s="8">
        <f>16*25000*1012.85/1000000+4*25000*810/1000000</f>
        <v>486.14</v>
      </c>
      <c r="E59" s="11">
        <v>10</v>
      </c>
      <c r="F59" s="11">
        <v>10</v>
      </c>
      <c r="G59" s="8">
        <f>2*(159+2*140)/5</f>
        <v>175.6</v>
      </c>
      <c r="H59" s="11">
        <v>0</v>
      </c>
      <c r="I59" s="8">
        <f>D59*G59/1000</f>
        <v>85.36618399999999</v>
      </c>
      <c r="J59" s="11">
        <f>E59*G59/1000</f>
        <v>1.756</v>
      </c>
      <c r="K59" s="14">
        <f>1.117*F59*G59/1000</f>
        <v>1.961452</v>
      </c>
      <c r="L59" s="9">
        <v>3</v>
      </c>
      <c r="M59" s="9">
        <v>2</v>
      </c>
      <c r="N59" s="9">
        <v>4</v>
      </c>
      <c r="O59" s="9">
        <v>1</v>
      </c>
      <c r="P59" s="9">
        <v>6</v>
      </c>
      <c r="Q59" s="9">
        <v>2</v>
      </c>
      <c r="R59" s="9">
        <f>L59*M59+N59*O59+P59*Q59</f>
        <v>22</v>
      </c>
      <c r="S59" s="11">
        <f>R59/100*J59</f>
        <v>0.38632</v>
      </c>
      <c r="T59" s="11">
        <f>R59/100*K59</f>
        <v>0.43151944</v>
      </c>
    </row>
    <row r="60" spans="2:20" ht="12.75">
      <c r="B60" s="31" t="s">
        <v>19</v>
      </c>
      <c r="C60" s="11"/>
      <c r="D60" s="8"/>
      <c r="E60" s="11"/>
      <c r="F60" s="11"/>
      <c r="G60" s="8"/>
      <c r="H60" s="11">
        <v>2.4119029999999997</v>
      </c>
      <c r="I60" s="11">
        <f>'[1]4.1cost 5.0-instrum. (1)'!$F$58</f>
        <v>2.4119029999999997</v>
      </c>
      <c r="J60" s="11">
        <f>1.117*2.4</f>
        <v>2.6808</v>
      </c>
      <c r="K60" s="11">
        <f>1.117*2.4</f>
        <v>2.6808</v>
      </c>
      <c r="L60" s="9">
        <v>6</v>
      </c>
      <c r="M60" s="9">
        <v>2</v>
      </c>
      <c r="N60" s="9">
        <v>8</v>
      </c>
      <c r="O60" s="9">
        <v>1</v>
      </c>
      <c r="P60" s="9">
        <v>4</v>
      </c>
      <c r="Q60" s="9">
        <v>2</v>
      </c>
      <c r="R60" s="9">
        <f>L60*M60+N60*O60+P60*Q60</f>
        <v>28</v>
      </c>
      <c r="S60" s="11">
        <f>R60/100*J60</f>
        <v>0.7506240000000001</v>
      </c>
      <c r="T60" s="11">
        <f>R60/100*K60</f>
        <v>0.7506240000000001</v>
      </c>
    </row>
    <row r="61" spans="2:20" ht="12.75">
      <c r="B61" s="45" t="s">
        <v>20</v>
      </c>
      <c r="C61" s="11"/>
      <c r="D61" s="8"/>
      <c r="E61" s="11"/>
      <c r="F61" s="11"/>
      <c r="G61" s="16"/>
      <c r="H61" s="11">
        <v>70.612802</v>
      </c>
      <c r="I61" s="11">
        <f>'[2]PCAST DC Comp'!$F$107</f>
        <v>15.132858</v>
      </c>
      <c r="J61" s="11">
        <f>1.117*15.1</f>
        <v>16.866699999999998</v>
      </c>
      <c r="K61" s="11">
        <f>1.117*15.1</f>
        <v>16.866699999999998</v>
      </c>
      <c r="L61" s="9">
        <v>4</v>
      </c>
      <c r="M61" s="9">
        <v>2</v>
      </c>
      <c r="N61" s="9">
        <v>4</v>
      </c>
      <c r="O61" s="9">
        <v>1</v>
      </c>
      <c r="P61" s="9">
        <v>4</v>
      </c>
      <c r="Q61" s="9">
        <v>2</v>
      </c>
      <c r="R61" s="9">
        <f>L61*M61+N61*O61+P61*Q61</f>
        <v>20</v>
      </c>
      <c r="S61" s="11">
        <f>R61/100*J61</f>
        <v>3.37334</v>
      </c>
      <c r="T61" s="11">
        <f>R61/100*K61</f>
        <v>3.37334</v>
      </c>
    </row>
    <row r="62" spans="2:20" ht="12.75">
      <c r="B62" s="33" t="s">
        <v>43</v>
      </c>
      <c r="C62" s="8" t="s">
        <v>45</v>
      </c>
      <c r="D62" s="8"/>
      <c r="E62" s="8" t="s">
        <v>47</v>
      </c>
      <c r="F62" s="8"/>
      <c r="G62" s="8"/>
      <c r="H62" s="11"/>
      <c r="I62" s="11"/>
      <c r="J62" s="11">
        <f>8*6*125*8*5*48/1000000</f>
        <v>11.52</v>
      </c>
      <c r="K62" s="11">
        <f>J62</f>
        <v>11.52</v>
      </c>
      <c r="L62" s="32"/>
      <c r="M62" s="32"/>
      <c r="N62" s="32"/>
      <c r="O62" s="32"/>
      <c r="P62" s="32"/>
      <c r="Q62" s="32"/>
      <c r="R62" s="9"/>
      <c r="S62" s="11"/>
      <c r="T62" s="11"/>
    </row>
    <row r="63" spans="2:20" ht="12.75">
      <c r="B63" s="31" t="s">
        <v>34</v>
      </c>
      <c r="C63" s="8"/>
      <c r="D63" s="8" t="s">
        <v>14</v>
      </c>
      <c r="E63" s="8" t="s">
        <v>14</v>
      </c>
      <c r="F63" s="8" t="s">
        <v>14</v>
      </c>
      <c r="G63" s="8" t="s">
        <v>14</v>
      </c>
      <c r="H63" s="11">
        <v>403.99169642000004</v>
      </c>
      <c r="I63" s="11">
        <f>SUM(I38:I61)</f>
        <v>566.7647881861501</v>
      </c>
      <c r="J63" s="11">
        <f>J38+J39+J40+J41+J42+J46+J47+J54+J57+J58+J59+J60+J61+J62</f>
        <v>162.97094719000003</v>
      </c>
      <c r="K63" s="11">
        <f>K38+K39+K40+K41+K42+K46+K47+K54+K57+K58+K59+K60+K61+K62</f>
        <v>196.73527750000005</v>
      </c>
      <c r="L63" s="32"/>
      <c r="M63" s="32"/>
      <c r="N63" s="32"/>
      <c r="O63" s="32"/>
      <c r="P63" s="32"/>
      <c r="Q63" s="32"/>
      <c r="R63" s="9">
        <f>S63/J63*100</f>
        <v>21.970718989474626</v>
      </c>
      <c r="S63" s="11">
        <f>SUM(S38:S61)</f>
        <v>35.8058888416</v>
      </c>
      <c r="T63" s="11">
        <f>SUM(T38:T61)</f>
        <v>43.1102434004</v>
      </c>
    </row>
    <row r="64" spans="2:20" ht="12.75">
      <c r="B64" s="17"/>
      <c r="C64" s="5"/>
      <c r="D64" s="5"/>
      <c r="E64" s="5"/>
      <c r="F64" s="5"/>
      <c r="G64"/>
      <c r="H64"/>
      <c r="I64"/>
      <c r="J64" s="5"/>
      <c r="K64" s="5"/>
      <c r="S64" s="1"/>
      <c r="T64" s="1"/>
    </row>
    <row r="65" spans="2:20" ht="12.75">
      <c r="B65" s="17"/>
      <c r="C65" s="5"/>
      <c r="D65" s="5"/>
      <c r="E65" s="5"/>
      <c r="F65" s="5"/>
      <c r="G65"/>
      <c r="H65"/>
      <c r="I65"/>
      <c r="J65" s="5"/>
      <c r="K65" s="5"/>
      <c r="S65" s="1"/>
      <c r="T65" s="1"/>
    </row>
    <row r="66" spans="2:11" ht="12.75">
      <c r="B66" s="18" t="s">
        <v>21</v>
      </c>
      <c r="C66" s="11">
        <f>250/0.8</f>
        <v>312.5</v>
      </c>
      <c r="D66" s="11">
        <v>215.4</v>
      </c>
      <c r="E66" s="11">
        <v>60</v>
      </c>
      <c r="F66" s="11">
        <v>60</v>
      </c>
      <c r="G66" s="11">
        <f>H66*1000/C66</f>
        <v>120.77311999999999</v>
      </c>
      <c r="H66" s="11">
        <v>37.7416</v>
      </c>
      <c r="I66" s="11">
        <f>D66*G66/1000</f>
        <v>26.014530048</v>
      </c>
      <c r="J66" s="11">
        <f>1.117*E66*G66/1000</f>
        <v>8.0942145024</v>
      </c>
      <c r="K66" s="11">
        <f>J66</f>
        <v>8.0942145024</v>
      </c>
    </row>
    <row r="67" spans="2:20" ht="12.75">
      <c r="B67" s="18" t="s">
        <v>44</v>
      </c>
      <c r="C67" s="8" t="s">
        <v>46</v>
      </c>
      <c r="D67" s="8"/>
      <c r="E67" s="8" t="s">
        <v>48</v>
      </c>
      <c r="F67" s="8"/>
      <c r="G67" s="16"/>
      <c r="H67" s="5"/>
      <c r="I67" s="5"/>
      <c r="J67" s="11">
        <f>4*6*125*8*5*48/1000000</f>
        <v>5.76</v>
      </c>
      <c r="K67" s="11">
        <f>J67</f>
        <v>5.76</v>
      </c>
      <c r="L67" s="15"/>
      <c r="M67" s="15"/>
      <c r="N67" s="15"/>
      <c r="O67" s="15"/>
      <c r="P67" s="15"/>
      <c r="Q67" s="15"/>
      <c r="R67" s="15"/>
      <c r="S67" s="5"/>
      <c r="T67" s="5"/>
    </row>
    <row r="68" spans="2:20" ht="12.75">
      <c r="B68" s="26" t="s">
        <v>33</v>
      </c>
      <c r="C68" s="27" t="s">
        <v>14</v>
      </c>
      <c r="D68" s="27">
        <f>D66</f>
        <v>215.4</v>
      </c>
      <c r="E68" s="27" t="s">
        <v>14</v>
      </c>
      <c r="F68" s="27" t="s">
        <v>14</v>
      </c>
      <c r="G68" s="28" t="s">
        <v>14</v>
      </c>
      <c r="H68" s="24">
        <v>37.7416</v>
      </c>
      <c r="I68" s="24">
        <f>I66</f>
        <v>26.014530048</v>
      </c>
      <c r="J68" s="25">
        <f>J66+J67</f>
        <v>13.8542145024</v>
      </c>
      <c r="K68" s="11">
        <f>J68</f>
        <v>13.8542145024</v>
      </c>
      <c r="L68" s="9">
        <v>1</v>
      </c>
      <c r="M68" s="9">
        <v>2</v>
      </c>
      <c r="N68" s="9">
        <v>8</v>
      </c>
      <c r="O68" s="9">
        <v>1</v>
      </c>
      <c r="P68" s="9">
        <v>4</v>
      </c>
      <c r="Q68" s="9">
        <v>2</v>
      </c>
      <c r="R68" s="9">
        <f>L68*M68+N68*O68+P68*Q68</f>
        <v>18</v>
      </c>
      <c r="S68" s="11">
        <f>R68/100*J68</f>
        <v>2.4937586104319998</v>
      </c>
      <c r="T68" s="11">
        <f>R68/100*K68</f>
        <v>2.4937586104319998</v>
      </c>
    </row>
    <row r="69" spans="2:11" ht="12.75">
      <c r="B69" s="29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2.75">
      <c r="B70" s="29"/>
      <c r="C70" s="24"/>
      <c r="D70" s="24"/>
      <c r="E70" s="24"/>
      <c r="F70" s="24"/>
      <c r="G70" s="24"/>
      <c r="H70" s="24"/>
      <c r="I70" s="24"/>
      <c r="J70" s="24"/>
      <c r="K70" s="24"/>
    </row>
    <row r="71" spans="2:20" ht="12.75">
      <c r="B71" s="3" t="s">
        <v>25</v>
      </c>
      <c r="J71" s="11">
        <f>J63+J66</f>
        <v>171.06516169240004</v>
      </c>
      <c r="K71" s="11">
        <f>K63+K68</f>
        <v>210.58949200240005</v>
      </c>
      <c r="S71" s="11">
        <f>S63+S68</f>
        <v>38.299647452032005</v>
      </c>
      <c r="T71" s="11">
        <f>T63+T68</f>
        <v>45.604002010832005</v>
      </c>
    </row>
  </sheetData>
  <printOptions gridLines="1"/>
  <pageMargins left="0.75" right="0.75" top="1" bottom="1" header="0.5" footer="0.5"/>
  <pageSetup fitToHeight="1" fitToWidth="1" orientation="landscape" paperSize="9" scale="72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Neumeyer</cp:lastModifiedBy>
  <cp:lastPrinted>2000-06-01T17:25:10Z</cp:lastPrinted>
  <dcterms:created xsi:type="dcterms:W3CDTF">2000-06-05T14:34:06Z</dcterms:created>
  <cp:category/>
  <cp:version/>
  <cp:contentType/>
  <cp:contentStatus/>
</cp:coreProperties>
</file>