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5521" windowWidth="7650" windowHeight="9120" activeTab="4"/>
  </bookViews>
  <sheets>
    <sheet name="SetTopBox-stats" sheetId="1" r:id="rId1"/>
    <sheet name="CompactAudio-stats" sheetId="2" r:id="rId2"/>
    <sheet name="References" sheetId="3" r:id="rId3"/>
    <sheet name="RACKAudio-stats" sheetId="4" r:id="rId4"/>
    <sheet name="Summary" sheetId="5" r:id="rId5"/>
    <sheet name="VCR-stats" sheetId="6" r:id="rId6"/>
    <sheet name="TV-stats" sheetId="7" r:id="rId7"/>
    <sheet name="Microwaves" sheetId="8" r:id="rId8"/>
    <sheet name="CeilingFan-stats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ADL</author>
  </authors>
  <commentList>
    <comment ref="J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ADL</author>
  </authors>
  <commentList>
    <comment ref="D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ADL: Estimate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ADL</author>
  </authors>
  <commentList>
    <comment ref="I26" authorId="0">
      <text>
        <r>
          <rPr>
            <b/>
            <sz val="8"/>
            <rFont val="Tahoma"/>
            <family val="0"/>
          </rPr>
          <t xml:space="preserve">ADL: 
</t>
        </r>
        <r>
          <rPr>
            <sz val="8"/>
            <rFont val="Tahoma"/>
            <family val="2"/>
          </rPr>
          <t>Estimate (based on LBNL, 1997)</t>
        </r>
      </text>
    </comment>
    <comment ref="I46" authorId="0">
      <text>
        <r>
          <rPr>
            <b/>
            <sz val="8"/>
            <rFont val="Tahoma"/>
            <family val="0"/>
          </rPr>
          <t>ADL: Some newer waterbeds have additional insulation and do not require heating</t>
        </r>
        <r>
          <rPr>
            <sz val="8"/>
            <rFont val="Tahoma"/>
            <family val="0"/>
          </rPr>
          <t xml:space="preserve">
</t>
        </r>
      </text>
    </comment>
    <comment ref="Q62" authorId="0">
      <text>
        <r>
          <rPr>
            <b/>
            <sz val="8"/>
            <rFont val="Tahoma"/>
            <family val="0"/>
          </rPr>
          <t>ADL: Just launched for sale at Home Depot</t>
        </r>
        <r>
          <rPr>
            <sz val="8"/>
            <rFont val="Tahoma"/>
            <family val="0"/>
          </rPr>
          <t xml:space="preserve">
</t>
        </r>
      </text>
    </comment>
    <comment ref="M60" authorId="0">
      <text>
        <r>
          <rPr>
            <b/>
            <sz val="8"/>
            <rFont val="Tahoma"/>
            <family val="0"/>
          </rPr>
          <t>ADL: Personal Communication, Danny Parker, FSEC; at least 50% savings available - ECPMs not favorable because of low fan speeds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ADL: Assumed same as installed base (stock)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 xml:space="preserve">ADL: 
</t>
        </r>
        <r>
          <rPr>
            <sz val="8"/>
            <rFont val="Tahoma"/>
            <family val="2"/>
          </rPr>
          <t xml:space="preserve">Assumed same as installed base
</t>
        </r>
      </text>
    </comment>
    <comment ref="G46" authorId="0">
      <text>
        <r>
          <rPr>
            <b/>
            <sz val="8"/>
            <rFont val="Tahoma"/>
            <family val="0"/>
          </rPr>
          <t>ADL: Assumed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ADL: Estimate, based upon E*</t>
        </r>
        <r>
          <rPr>
            <sz val="8"/>
            <rFont val="Tahoma"/>
            <family val="0"/>
          </rPr>
          <t xml:space="preserve">
</t>
        </r>
      </text>
    </comment>
    <comment ref="M48" authorId="0">
      <text>
        <r>
          <rPr>
            <b/>
            <sz val="8"/>
            <rFont val="Tahoma"/>
            <family val="0"/>
          </rPr>
          <t>ADL: Up to 100%; depends upon location, user etc.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0"/>
          </rPr>
          <t>ADL:  According to Waterbed council, about 20% are soft-sided (less energy than full float)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 xml:space="preserve">ADL: Home Energy - "efficiency is largely based on how much of the pad the circuitry covers" </t>
        </r>
      </text>
    </comment>
    <comment ref="M24" authorId="0">
      <text>
        <r>
          <rPr>
            <b/>
            <sz val="8"/>
            <rFont val="Tahoma"/>
            <family val="0"/>
          </rPr>
          <t>ADL: Estimate, based upon two-speed ventilation blower savings vs. VSD;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ADL: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ADL:Relative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ADL: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ADL: Used in 5 - 10% of all new residential indoor blower applications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ADL: Estimated from ADL (1999a) unit and total energy consumption and  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ADL: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M42" authorId="0">
      <text>
        <r>
          <rPr>
            <b/>
            <sz val="8"/>
            <rFont val="Tahoma"/>
            <family val="0"/>
          </rPr>
          <t>ADL:Relative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Q42" authorId="0">
      <text>
        <r>
          <rPr>
            <b/>
            <sz val="8"/>
            <rFont val="Tahoma"/>
            <family val="0"/>
          </rPr>
          <t>ADL: Used in 5 - 10% of all new residential indoor blower applications</t>
        </r>
        <r>
          <rPr>
            <sz val="8"/>
            <rFont val="Tahoma"/>
            <family val="0"/>
          </rPr>
          <t xml:space="preserve">
</t>
        </r>
      </text>
    </comment>
    <comment ref="M44" authorId="0">
      <text>
        <r>
          <rPr>
            <b/>
            <sz val="8"/>
            <rFont val="Tahoma"/>
            <family val="0"/>
          </rPr>
          <t>ADL: Estimate, based upon two-speed ventilation blower savings vs. VSD;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ADL: Relative to installed base @ 60% efficiency</t>
        </r>
        <r>
          <rPr>
            <sz val="8"/>
            <rFont val="Tahoma"/>
            <family val="0"/>
          </rPr>
          <t xml:space="preserve">
</t>
        </r>
      </text>
    </comment>
    <comment ref="Q61" authorId="0">
      <text>
        <r>
          <rPr>
            <b/>
            <sz val="8"/>
            <rFont val="Tahoma"/>
            <family val="0"/>
          </rPr>
          <t>ADL: Hunter fans should qualify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Estimated, based upon analog set-top box value</t>
        </r>
      </text>
    </comment>
    <comment ref="H12" authorId="0">
      <text>
        <r>
          <rPr>
            <b/>
            <sz val="8"/>
            <rFont val="Tahoma"/>
            <family val="0"/>
          </rPr>
          <t>ADL: Assumed same as installed base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installed base</t>
        </r>
      </text>
    </comment>
    <comment ref="G12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installed base</t>
        </r>
      </text>
    </comment>
    <comment ref="G4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installed base</t>
        </r>
      </text>
    </comment>
    <comment ref="G26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 stock</t>
        </r>
      </text>
    </comment>
    <comment ref="G63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stock</t>
        </r>
      </text>
    </comment>
    <comment ref="H63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same as stock</t>
        </r>
      </text>
    </comment>
    <comment ref="B63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 xml:space="preserve">Appliance Magazine </t>
        </r>
        <r>
          <rPr>
            <sz val="8"/>
            <rFont val="Tahoma"/>
            <family val="2"/>
          </rPr>
          <t>(May, 2001) estimates that ~75% of ceiling fans sold come with lighting</t>
        </r>
      </text>
    </comment>
    <comment ref="A12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Assumed that digital  units will soon replace all analog units</t>
        </r>
      </text>
    </comment>
    <comment ref="M64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Based on replacing three 60W incandescent bulbs with one 60W pin-based CFL</t>
        </r>
      </text>
    </comment>
    <comment ref="I52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Best available based upon standby power</t>
        </r>
      </text>
    </comment>
  </commentList>
</comments>
</file>

<file path=xl/comments6.xml><?xml version="1.0" encoding="utf-8"?>
<comments xmlns="http://schemas.openxmlformats.org/spreadsheetml/2006/main">
  <authors>
    <author>ADL</author>
  </authors>
  <commentList>
    <comment ref="C7" authorId="0">
      <text>
        <r>
          <rPr>
            <b/>
            <sz val="8"/>
            <rFont val="Tahoma"/>
            <family val="0"/>
          </rPr>
          <t>ADL: Extrapolation of Rosen and Meier curve, p. 65, for Y2000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ADL: No idle power given; used 1995 model data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ADL: Assumed same as active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ADL</author>
  </authors>
  <commentList>
    <comment ref="P3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Note - This TV is compatible with digital broadcasts; Rosen and Meier expect that TVs compatible with digital broadcasts will draw more than current TVs</t>
        </r>
      </text>
    </comment>
    <comment ref="S3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Note - Rosen and Meier expect that TVs compatible with digital broadcasts will draw more than current TVs</t>
        </r>
      </text>
    </comment>
    <comment ref="T10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Sharp estimates ~38% savings relative to similar-sized CRT</t>
        </r>
      </text>
    </comment>
  </commentList>
</comments>
</file>

<file path=xl/sharedStrings.xml><?xml version="1.0" encoding="utf-8"?>
<sst xmlns="http://schemas.openxmlformats.org/spreadsheetml/2006/main" count="466" uniqueCount="280">
  <si>
    <t>Equipment Types to Investigate</t>
  </si>
  <si>
    <t># Units, millions 1997</t>
  </si>
  <si>
    <t>Equipment Lifetime (yrs)</t>
  </si>
  <si>
    <t>Total Energy Use, Quads</t>
  </si>
  <si>
    <t>Best Available Energy Savings, Quads</t>
  </si>
  <si>
    <t>Best Available Energy Savings, Quads (2008-2030)</t>
  </si>
  <si>
    <t>Sources</t>
  </si>
  <si>
    <t>Well Pump</t>
  </si>
  <si>
    <t>Ceiling Fans</t>
  </si>
  <si>
    <t>Device Annual Energy Use (Current Stock), MMBtu</t>
  </si>
  <si>
    <t>Device Annual Energy Use (Current), KWH</t>
  </si>
  <si>
    <t>Typical New Device Annual Energy Use, MMBtu</t>
  </si>
  <si>
    <t>Typical New Annual Energy Use, kW-h</t>
  </si>
  <si>
    <t>Savings of Best Available, Relative to Typical New</t>
  </si>
  <si>
    <t>Best Available Device Annual Energy Use, MMBtu</t>
  </si>
  <si>
    <t>Current Market Share of Technology</t>
  </si>
  <si>
    <t xml:space="preserve"> </t>
  </si>
  <si>
    <t>Tech 1</t>
  </si>
  <si>
    <t xml:space="preserve">Zogg and Alberino, 1998;  </t>
  </si>
  <si>
    <t>Sanchez, 1997</t>
  </si>
  <si>
    <t>http://www.fsec.ucf.edu/~bdac/pubs/CR1059/CR1059.html</t>
  </si>
  <si>
    <t>Aerodynamic Blade Design</t>
  </si>
  <si>
    <t>NOTE: Savings relative to typical new</t>
  </si>
  <si>
    <t>Aerodynamic Blade Design                                 (per Ceiling Fans)</t>
  </si>
  <si>
    <t>Permanent magnet motors                          (per Ceiling Fans)</t>
  </si>
  <si>
    <t>1-Watt Standby</t>
  </si>
  <si>
    <t>Year</t>
  </si>
  <si>
    <t>Manuf</t>
  </si>
  <si>
    <t>Active Draw</t>
  </si>
  <si>
    <t>Sony</t>
  </si>
  <si>
    <t>from Rosen and Meier, 1999</t>
  </si>
  <si>
    <t>27-inch screens</t>
  </si>
  <si>
    <t>Thomson</t>
  </si>
  <si>
    <t>Phillips</t>
  </si>
  <si>
    <t>Toshiba</t>
  </si>
  <si>
    <t>Zenith</t>
  </si>
  <si>
    <t>Matsushita</t>
  </si>
  <si>
    <t>Mitsubishi</t>
  </si>
  <si>
    <t>AVG</t>
  </si>
  <si>
    <t>MIN</t>
  </si>
  <si>
    <t>Active Draw, W</t>
  </si>
  <si>
    <t>Stand-by Draw, W</t>
  </si>
  <si>
    <t>Hours, Active</t>
  </si>
  <si>
    <t>Hours, Stand-by</t>
  </si>
  <si>
    <t>Days/ Year</t>
  </si>
  <si>
    <t>AEC, kW-h</t>
  </si>
  <si>
    <t>Stock Average, 25-27" (p. 19)</t>
  </si>
  <si>
    <t>Recent Average</t>
  </si>
  <si>
    <t>Savings vs. Stock</t>
  </si>
  <si>
    <t>Savings vs. Stock, %</t>
  </si>
  <si>
    <t>Savings vs. Recent, %</t>
  </si>
  <si>
    <t>1-Watt Stand-by</t>
  </si>
  <si>
    <t>Idle Draw, W</t>
  </si>
  <si>
    <t>Hours, Idle</t>
  </si>
  <si>
    <t>Stock</t>
  </si>
  <si>
    <t>1992 Model</t>
  </si>
  <si>
    <t>1995 Model</t>
  </si>
  <si>
    <t>1996 Model</t>
  </si>
  <si>
    <t>1 Watt</t>
  </si>
  <si>
    <t>Active Power, W</t>
  </si>
  <si>
    <t>Idle Power, W</t>
  </si>
  <si>
    <t>Hours Active</t>
  </si>
  <si>
    <t>Hours Idle</t>
  </si>
  <si>
    <t>Typical New</t>
  </si>
  <si>
    <t>RACK Audio</t>
  </si>
  <si>
    <t>Compact Audio</t>
  </si>
  <si>
    <t>Savings vs. New</t>
  </si>
  <si>
    <t>2 Watt</t>
  </si>
  <si>
    <t>2-Watt Standy</t>
  </si>
  <si>
    <t>E*</t>
  </si>
  <si>
    <t>UNKNOWN</t>
  </si>
  <si>
    <t>Insulate side of bed</t>
  </si>
  <si>
    <t>https://ewa.bchydro.bc.ca/hep/library/newpages/otherappl.asp</t>
  </si>
  <si>
    <t>Insulale between bed and person (e.g., comforter)</t>
  </si>
  <si>
    <t>Insulating mattress</t>
  </si>
  <si>
    <t>Sanchez, 1997; http://homeenergy.org/archive/hem.dis.anl.gov/eehem/94/940911.html</t>
  </si>
  <si>
    <t>Zogg and Alberino, 1998;  discussion of efficiency at: http://homeenergy.org/archive/hem.dis.anl.gov/eehem/94/940911.html; other potential sources: Waterbed Manufacturers Association , waterbed council</t>
  </si>
  <si>
    <t>Higher efficiency fan</t>
  </si>
  <si>
    <t>Two-Speed Motor</t>
  </si>
  <si>
    <t>ECPM</t>
  </si>
  <si>
    <t>Zogg and Alberino, 1998;  ADL (1999a) for current efficiency</t>
  </si>
  <si>
    <t>Higher efficiency PSC</t>
  </si>
  <si>
    <t>ADL (1999a)</t>
  </si>
  <si>
    <t>VSD - ECPM</t>
  </si>
  <si>
    <t>~1%</t>
  </si>
  <si>
    <t>ADL (1999a) for current energy consumption; E* Web Site: http://yosemite1.epa.gov/estar/consumers.nsf/content/archive.htm</t>
  </si>
  <si>
    <t>Energy Star (2-Watt Standby)</t>
  </si>
  <si>
    <t>2-Watt Standby</t>
  </si>
  <si>
    <t>Best Available (0.26W Standby)</t>
  </si>
  <si>
    <t>Best Available (0.25W Standby)</t>
  </si>
  <si>
    <t>Best Available</t>
  </si>
  <si>
    <t>7W Standby (EnergySTar Y2004)</t>
  </si>
  <si>
    <t>Savings vs. Typical New</t>
  </si>
  <si>
    <t>7W Standby (E* Y2004)</t>
  </si>
  <si>
    <t>NONE</t>
  </si>
  <si>
    <t>Standby Power, W</t>
  </si>
  <si>
    <t>Hours Standby</t>
  </si>
  <si>
    <t>Using data from Rosen and Meier, 1999</t>
  </si>
  <si>
    <t>Hoursm Standby</t>
  </si>
  <si>
    <t>Set-Top Box (WIRELESS)</t>
  </si>
  <si>
    <t>ANALOG</t>
  </si>
  <si>
    <t>Best Available (Stand-by)</t>
  </si>
  <si>
    <t>15-W Standby (E*)</t>
  </si>
  <si>
    <t>Wireless</t>
  </si>
  <si>
    <t>Minimal</t>
  </si>
  <si>
    <t>Emerson CF705</t>
  </si>
  <si>
    <t>Emerson CF4852</t>
  </si>
  <si>
    <t>Hunter Summer Breeze</t>
  </si>
  <si>
    <t>FSEC/Aerovironment CF-1</t>
  </si>
  <si>
    <t>CFM/Watt</t>
  </si>
  <si>
    <t>low-speed</t>
  </si>
  <si>
    <t>mid-speed</t>
  </si>
  <si>
    <t>high-speed</t>
  </si>
  <si>
    <t>Energy Star Requirement</t>
  </si>
  <si>
    <t>CFM</t>
  </si>
  <si>
    <t>typical</t>
  </si>
  <si>
    <t>motor</t>
  </si>
  <si>
    <t>efficiency</t>
  </si>
  <si>
    <t>estimated</t>
  </si>
  <si>
    <t>PSC</t>
  </si>
  <si>
    <t>aerodynamic w/ eff. Motor</t>
  </si>
  <si>
    <t>Watts</t>
  </si>
  <si>
    <t>*from ADL report dated December 1, 1999.</t>
  </si>
  <si>
    <t>"Opportunities for energy savings in the residential and commercial sectors with high-efficiency electric motors"</t>
  </si>
  <si>
    <t>USDOE contract# DE-AC01-90CE23821</t>
  </si>
  <si>
    <t>NA</t>
  </si>
  <si>
    <t>%savings possible vs. typical</t>
  </si>
  <si>
    <t>Aerodynamic</t>
  </si>
  <si>
    <t>50/50 average</t>
  </si>
  <si>
    <t>*assumes a 50/50 split between low and high-speed usage</t>
  </si>
  <si>
    <t>Florida Solar Energy Commission</t>
  </si>
  <si>
    <t>Aerodynamic w/ 75% efficient Perm. Magnet Motor</t>
  </si>
  <si>
    <t>*Parker, et. al. 1999 FSEC-CR-1059-99 "Development of a High Efficiency Ceiling Fan"</t>
  </si>
  <si>
    <t>Furnace Blower (PRELIMINARY)</t>
  </si>
  <si>
    <t>Pool Pump (PRELIMINARY)</t>
  </si>
  <si>
    <t>Waterbed Heater (PRELIMINARY)</t>
  </si>
  <si>
    <t>Window, Stand and Desk Fans (PRELIM.)</t>
  </si>
  <si>
    <t>Central A/C Blower (PRELIMINARY)</t>
  </si>
  <si>
    <t>*best available</t>
  </si>
  <si>
    <t>*typical</t>
  </si>
  <si>
    <t>Best from E* website</t>
  </si>
  <si>
    <t>from Rosen, Meier, and Zandelin. 2001</t>
  </si>
  <si>
    <t>SP</t>
  </si>
  <si>
    <t>15-20%</t>
  </si>
  <si>
    <t>40-50%</t>
  </si>
  <si>
    <t>Lowest Standby Power (any size, from E* homepage)</t>
  </si>
  <si>
    <t>Not in Market</t>
  </si>
  <si>
    <t>Small</t>
  </si>
  <si>
    <t>Best Today (Standby Power from E* website)</t>
  </si>
  <si>
    <t>www.energystar.gov</t>
  </si>
  <si>
    <t>http://www.fsec.ucf.edu/~bdac/pubs/CR1059/CR1059.html; ADL, 1999 (Motors Report); Personal Communication, D. Parker, FSEC (8/01)</t>
  </si>
  <si>
    <t>Hours/year, Active</t>
  </si>
  <si>
    <t>Hours/year, Stand-by</t>
  </si>
  <si>
    <t>Savings vs. Typical, %</t>
  </si>
  <si>
    <t>Typical</t>
  </si>
  <si>
    <t>Table 1.17 Cost-Efficiency Data for a Microwave Oven</t>
  </si>
  <si>
    <r>
      <t xml:space="preserve">from </t>
    </r>
    <r>
      <rPr>
        <sz val="10"/>
        <rFont val="Arial"/>
        <family val="2"/>
      </rPr>
      <t xml:space="preserve">LBL </t>
    </r>
    <r>
      <rPr>
        <u val="single"/>
        <sz val="10"/>
        <rFont val="Arial"/>
        <family val="2"/>
      </rPr>
      <t>Technical Support Document for Residential Cooking Products. V.2: Potential Impact of Alternative Efficiency Levels for Residential Cooking Products.</t>
    </r>
    <r>
      <rPr>
        <sz val="10"/>
        <rFont val="Arial"/>
        <family val="2"/>
      </rPr>
      <t xml:space="preserve"> 1997 (Docket Number EE-RM-S-97-700)</t>
    </r>
  </si>
  <si>
    <t>Design options</t>
  </si>
  <si>
    <t>Baseline</t>
  </si>
  <si>
    <t>Efficiency</t>
  </si>
  <si>
    <t>+ more efficient fan (increase efficiency by 0.23%)</t>
  </si>
  <si>
    <t>+ more efficient Power Supply (increase efficiency by 2.9%)</t>
  </si>
  <si>
    <t>+ more efficient Magnetron (increase efficiency by 0.9%)</t>
  </si>
  <si>
    <t>+ stainless reflector (instead of cold-rolled steel, painted)</t>
  </si>
  <si>
    <t>marginal efficiency savings</t>
  </si>
  <si>
    <t>N/A</t>
  </si>
  <si>
    <t>efficient power supply</t>
  </si>
  <si>
    <t>active draw</t>
  </si>
  <si>
    <t>efficient magnetron</t>
  </si>
  <si>
    <t>typical w/ 1W standby</t>
  </si>
  <si>
    <t>=8760-72</t>
  </si>
  <si>
    <r>
      <t xml:space="preserve">*typical, from California Energy Commission. </t>
    </r>
    <r>
      <rPr>
        <u val="single"/>
        <sz val="10"/>
        <rFont val="Arial"/>
        <family val="2"/>
      </rPr>
      <t>Energy Specs: Appliance Efficiency &amp; Use.</t>
    </r>
    <r>
      <rPr>
        <sz val="10"/>
        <rFont val="Arial"/>
        <family val="2"/>
      </rPr>
      <t xml:space="preserve"> 1997 (via Zogg and Alberino, 1998)</t>
    </r>
  </si>
  <si>
    <r>
      <t xml:space="preserve">*typical, from Huber, Wolfgang. </t>
    </r>
    <r>
      <rPr>
        <u val="single"/>
        <sz val="10"/>
        <rFont val="Arial"/>
        <family val="2"/>
      </rPr>
      <t>Leakage Summary Table</t>
    </r>
    <r>
      <rPr>
        <sz val="10"/>
        <rFont val="Arial"/>
        <family val="0"/>
      </rPr>
      <t>. Obtained by Alberino for ADL in 1997 (via Zogg and Alberino, 1998)</t>
    </r>
  </si>
  <si>
    <t>*assumes efficiencies are independent of one another</t>
  </si>
  <si>
    <t>Countertop Microwave Ovens</t>
  </si>
  <si>
    <t>Microwave/Convection Oven</t>
  </si>
  <si>
    <t>Over-the-Range</t>
  </si>
  <si>
    <t>*Includes imports (for residential style ovens, shipped to all sectors)</t>
  </si>
  <si>
    <t>*Forecasts*</t>
  </si>
  <si>
    <t>Lifetime (years)</t>
  </si>
  <si>
    <t>*source: Appliance Magazine. September 2000</t>
  </si>
  <si>
    <t>Estimated Installed Base (stand-alone microwaves)</t>
  </si>
  <si>
    <t>Estimated Installed Base (all microwaves)</t>
  </si>
  <si>
    <r>
      <t xml:space="preserve">*Central Maine Power Company. </t>
    </r>
    <r>
      <rPr>
        <u val="single"/>
        <sz val="10"/>
        <rFont val="Arial"/>
        <family val="2"/>
      </rPr>
      <t>The Energy Guide</t>
    </r>
    <r>
      <rPr>
        <sz val="10"/>
        <rFont val="Arial"/>
        <family val="0"/>
      </rPr>
      <t>, 1997; pp. 1,2,6 *based on customer surveys* (via Zogg and Alberino, 1998)</t>
    </r>
  </si>
  <si>
    <t>*based on 1996 shipments times 8 years</t>
  </si>
  <si>
    <t>Estimated # of microwaves per household</t>
  </si>
  <si>
    <r>
      <t xml:space="preserve">*source: Association of Home Appliance Manufacturers. </t>
    </r>
    <r>
      <rPr>
        <u val="single"/>
        <sz val="10"/>
        <rFont val="Arial"/>
        <family val="2"/>
      </rPr>
      <t>1997 Major Appliance Industry Fact Book</t>
    </r>
    <r>
      <rPr>
        <sz val="10"/>
        <rFont val="Arial"/>
        <family val="2"/>
      </rPr>
      <t>. 1997 (via Zogg and Alberino, 1998)</t>
    </r>
  </si>
  <si>
    <t>US Population in 1997</t>
  </si>
  <si>
    <t>*based on estimated per household number by AHAM</t>
  </si>
  <si>
    <t>all combined</t>
  </si>
  <si>
    <t>Shipments (source: Appliance Magazine. May 2001)</t>
  </si>
  <si>
    <t>1993 shipments</t>
  </si>
  <si>
    <t>Technology Energy Savings Potential, %</t>
  </si>
  <si>
    <t>Device Annual Energy Use (Technology), MMBtu</t>
  </si>
  <si>
    <t>Technology Energy Savings, Quads</t>
  </si>
  <si>
    <t>Technology Energy Savings, Quads (2008-2030)</t>
  </si>
  <si>
    <t>3W</t>
  </si>
  <si>
    <t>1W</t>
  </si>
  <si>
    <t>0.lW</t>
  </si>
  <si>
    <t>1W Standby</t>
  </si>
  <si>
    <t>E* (15W Standby)</t>
  </si>
  <si>
    <t>Y2004 E* (7W Standby)</t>
  </si>
  <si>
    <t>None</t>
  </si>
  <si>
    <t>Minimal; new to market</t>
  </si>
  <si>
    <t>0-Watt Standby</t>
  </si>
  <si>
    <t>E* Lighting (pin-based CFL)</t>
  </si>
  <si>
    <t>Source for savings: Sharp's LC-28HD1 saves ~38% of annual AEC, 85W/0.22W active/standby power, with 28-inch LCD relative to CRT (http://www.sharp.net.au/thinking/future/future1.htm ; 28-inch LCD ~30-inch CRT)</t>
  </si>
  <si>
    <t>20-inch</t>
  </si>
  <si>
    <t>CRT (Rosen and Meier)</t>
  </si>
  <si>
    <t>28-inch</t>
  </si>
  <si>
    <t>LCD (27/28-inch Sharp)</t>
  </si>
  <si>
    <t>References</t>
  </si>
  <si>
    <t>"23rd Annual Portrait of the U.S. Appliance Industry."  Appliance Magazine, September, 2001, pp. 87-88.</t>
  </si>
  <si>
    <t>Sanchez, M., 1997, "Miscellaneous Electricity Use in U.S. Residences." M.S Thesis in the Energy and Resources Group, University of California at Berkely.</t>
  </si>
  <si>
    <t>ADL, 1998, "Electricity Consumption by Small End Uses in Residential Buildings."  Prepared for the Department of Energy, Office of Building Technology, State and Community Programs, August, 1998.</t>
  </si>
  <si>
    <t>GRI (1997)</t>
  </si>
  <si>
    <t>Gas Research Institute, 1997, "Commercial Space Heating Equipment Market."  Prepared by Ducker Research Company, Inc., May, 1997.</t>
  </si>
  <si>
    <t>Kawamoto, K., Koomey, J., Nordman, B., Brown, R., Piette, M.A., Ting, M.., and Meier, A., 2001, “Electricity Used by Office Equipment and Network Equipment in the U.S.: Detailed Report and Appendices.” LBNL-45917. February, 2001.</t>
  </si>
  <si>
    <t>ADL (2001a)</t>
  </si>
  <si>
    <t>ADL, 2001, "Energy Consumption Characteristics of Commercial Building HVAC Systems Volume 1: Chillers, Refrigerant Compressors, and Heating Systems."  Prepared for the Department of Energy, Office of Building Technology, State and Community Programs, April, 2001.</t>
  </si>
  <si>
    <t>ADL (2001b)</t>
  </si>
  <si>
    <t>LBNL/EnergyStar (2001)</t>
  </si>
  <si>
    <t xml:space="preserve">Spreadsheet "ccap-outputs_public.xls", downloaded from: http://enduse.lbl.gov/Projects/ESImpacts.html </t>
  </si>
  <si>
    <t>BTS (2000)</t>
  </si>
  <si>
    <t>BTS, 2000, “2000 BTS Core Data Book.”  U.S. Department of Energy, Office of Building Technology State and Community Programs, dated 7 August, 2000.</t>
  </si>
  <si>
    <t xml:space="preserve">http://yosemite1.epa.gov/ESTAR/consumers.nsf/content/ceilingfans.htm; </t>
  </si>
  <si>
    <t>Rosen, Meier, and Zandelin, 2001; current best from EnergyStar</t>
  </si>
  <si>
    <t>Lawrence Berkley National Laboratory. “Technical Support Document for Residential Cooking Products. Volume 2: Potential Impact of Alternative Efficiency Levels for Residential Cooking Products.” 1997. Docket Number EE-RM-S-97-700</t>
  </si>
  <si>
    <t>LBNL (1997)</t>
  </si>
  <si>
    <t>combination of all options</t>
  </si>
  <si>
    <t xml:space="preserve">improved power supply efficiency </t>
  </si>
  <si>
    <t>improved magnetron efficiency</t>
  </si>
  <si>
    <t>Television</t>
  </si>
  <si>
    <t>VCR</t>
  </si>
  <si>
    <t>RACK Audio (Modeled by Receivers)</t>
  </si>
  <si>
    <t>Microwave Ovens</t>
  </si>
  <si>
    <t>Set-Top Boxes - TOTAL</t>
  </si>
  <si>
    <t>7-Watt Standby</t>
  </si>
  <si>
    <t>15-Watt Standby</t>
  </si>
  <si>
    <t>Set-Top Box (DIGITAL - assume same as current analog+digial stock)</t>
  </si>
  <si>
    <t>E* Level (no lighting; fan only)</t>
  </si>
  <si>
    <t>Aerodynamic Blade + PSC/Brushless DC motors</t>
  </si>
  <si>
    <t>Ceiling Fans (lighting only)</t>
  </si>
  <si>
    <t>UKNOWN</t>
  </si>
  <si>
    <t>Sanchez, 1997; baseline uses ~50W shaded-pole induction motors (http://www.fsec.ucf.edu/~bdac/pubs/CR1059/CR1059.html;</t>
  </si>
  <si>
    <t>E* Program specificactions at: www.energystar.gov</t>
  </si>
  <si>
    <r>
      <t>Calwell, C. and Horowitz, N., 2001,</t>
    </r>
    <r>
      <rPr>
        <i/>
        <sz val="10"/>
        <rFont val="Arial"/>
        <family val="2"/>
      </rPr>
      <t xml:space="preserve"> Home Energy, </t>
    </r>
    <r>
      <rPr>
        <sz val="10"/>
        <rFont val="Arial"/>
        <family val="0"/>
      </rPr>
      <t xml:space="preserve">January/February 2001, pp 24-29; </t>
    </r>
    <r>
      <rPr>
        <i/>
        <sz val="10"/>
        <rFont val="Arial"/>
        <family val="2"/>
      </rPr>
      <t>Appliance Magazine, 2001, May, pp.</t>
    </r>
  </si>
  <si>
    <t>Appliance Magazine (2001a)</t>
  </si>
  <si>
    <t>Sanchez (1997)</t>
  </si>
  <si>
    <t>Zogg and Alberino (1998)</t>
  </si>
  <si>
    <t>Kawamoto et al. (2001)</t>
  </si>
  <si>
    <t>ADL, 2001, "Energy Consumption by Office and Telecommunications Equipment in Commercial Buildings."  Draft Final Report</t>
  </si>
  <si>
    <t>Rosen et al. (2001)</t>
  </si>
  <si>
    <t>Rosen, K., Meyer, A., and Zandelin, S., 2001, "Energy Use of Set-Top Boxes and Telephony Products in the US", LBNL Report No. LBNL-45305, June.</t>
  </si>
  <si>
    <t>Rosen, K.B. and Meier, A.K., 1999, “Energy Use of Televisions and Videocassette Recorders in the U.S.” Lawrence Berkley National Laboratory Report No. LBNL-42393.</t>
  </si>
  <si>
    <t>Rosen, K.B. and Meier, A.K., 1999, "Energy Use of Home Audio Products in the U.S.", LBNL Report No. LBNL-43568, December.</t>
  </si>
  <si>
    <t>Rosen, Meier, and Zandelin, 2001</t>
  </si>
  <si>
    <t>Rosen and Meier, 1999b</t>
  </si>
  <si>
    <t>Rosen and Meier, 1999a</t>
  </si>
  <si>
    <t>Rosen and Meier (1999a)</t>
  </si>
  <si>
    <t>Rosen and Meier (1999b)</t>
  </si>
  <si>
    <t>DIGITAL (for stock of ALL Digital and Analog Set-top Boxes)</t>
  </si>
  <si>
    <t>&lt;15W Idle</t>
  </si>
  <si>
    <t>&lt;1W Idle</t>
  </si>
  <si>
    <t>&lt;7W Idle</t>
  </si>
  <si>
    <t>&lt;3W idle</t>
  </si>
  <si>
    <t>CRT (Between 25-27 and 30-36-inch (R&amp;M)</t>
  </si>
  <si>
    <t>LCD  (20-inch Sharp)</t>
  </si>
  <si>
    <t>LCD TV power draw - 53W/0.7W (active/standby) for a 20-inch LCD TV (http://sharp-world.com/corporate/news/001219.html)</t>
  </si>
  <si>
    <t>TV Average</t>
  </si>
  <si>
    <t>(Based on source below and above calculations)</t>
  </si>
  <si>
    <t>See TV-stats tab</t>
  </si>
  <si>
    <t>Current LCD TVs (digital TV capable)</t>
  </si>
  <si>
    <t>CRT, Energy Star (1-Watt Standby)</t>
  </si>
  <si>
    <t>CRT, lowest standby power available (0.1 Watt)</t>
  </si>
  <si>
    <t>Rosen and Meier Averages</t>
  </si>
  <si>
    <t>LCD Calculations</t>
  </si>
  <si>
    <t>LCD TV power draw data found</t>
  </si>
  <si>
    <r>
      <t xml:space="preserve">            used stock average active power draw over average </t>
    </r>
    <r>
      <rPr>
        <i/>
        <sz val="10"/>
        <rFont val="Arial"/>
        <family val="2"/>
      </rPr>
      <t>household</t>
    </r>
    <r>
      <rPr>
        <sz val="10"/>
        <rFont val="Arial"/>
        <family val="2"/>
      </rPr>
      <t xml:space="preserve"> usage to calculate energy savings</t>
    </r>
  </si>
  <si>
    <r>
      <t xml:space="preserve">note: used average </t>
    </r>
    <r>
      <rPr>
        <i/>
        <sz val="10"/>
        <rFont val="Arial"/>
        <family val="2"/>
      </rPr>
      <t>household</t>
    </r>
    <r>
      <rPr>
        <sz val="10"/>
        <rFont val="Arial"/>
        <family val="2"/>
      </rPr>
      <t xml:space="preserve"> usage and 27-inch active power draw to compare recent to stock energy performance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</si>
</sst>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_);_(* \(#,##0\);_(* &quot;-&quot;??_);_(@_)"/>
    <numFmt numFmtId="167" formatCode="_(* #,##0.0_);_(* \(#,##0.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_);_(* \(#,##0.000\);_(* &quot;-&quot;???_);_(@_)"/>
    <numFmt numFmtId="172" formatCode="0.00000"/>
    <numFmt numFmtId="173" formatCode="0.0000"/>
    <numFmt numFmtId="174" formatCode="0.0"/>
    <numFmt numFmtId="175" formatCode="0.0%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2" fontId="0" fillId="3" borderId="0" xfId="15" applyNumberForma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3" borderId="0" xfId="15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2" fontId="0" fillId="2" borderId="0" xfId="15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0" fillId="2" borderId="4" xfId="0" applyFill="1" applyBorder="1" applyAlignment="1">
      <alignment/>
    </xf>
    <xf numFmtId="9" fontId="0" fillId="0" borderId="4" xfId="15" applyNumberFormat="1" applyFont="1" applyBorder="1" applyAlignment="1">
      <alignment/>
    </xf>
    <xf numFmtId="0" fontId="1" fillId="3" borderId="2" xfId="0" applyFont="1" applyFill="1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0" xfId="15" applyNumberFormat="1" applyBorder="1" applyAlignment="1">
      <alignment/>
    </xf>
    <xf numFmtId="166" fontId="0" fillId="2" borderId="0" xfId="15" applyNumberFormat="1" applyFill="1" applyBorder="1" applyAlignment="1">
      <alignment/>
    </xf>
    <xf numFmtId="43" fontId="0" fillId="2" borderId="4" xfId="0" applyNumberFormat="1" applyFill="1" applyBorder="1" applyAlignment="1">
      <alignment/>
    </xf>
    <xf numFmtId="43" fontId="0" fillId="0" borderId="4" xfId="15" applyNumberFormat="1" applyFont="1" applyBorder="1" applyAlignment="1">
      <alignment/>
    </xf>
    <xf numFmtId="9" fontId="0" fillId="3" borderId="4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9" fontId="0" fillId="0" borderId="4" xfId="19" applyFill="1" applyBorder="1" applyAlignment="1">
      <alignment/>
    </xf>
    <xf numFmtId="9" fontId="0" fillId="0" borderId="4" xfId="0" applyNumberFormat="1" applyBorder="1" applyAlignment="1">
      <alignment/>
    </xf>
    <xf numFmtId="9" fontId="0" fillId="0" borderId="4" xfId="19" applyFont="1" applyFill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9" fontId="0" fillId="2" borderId="4" xfId="19" applyFont="1" applyFill="1" applyBorder="1" applyAlignment="1">
      <alignment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9" fontId="0" fillId="0" borderId="0" xfId="19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4" borderId="0" xfId="0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9" fontId="0" fillId="0" borderId="0" xfId="19" applyFont="1" applyAlignment="1">
      <alignment/>
    </xf>
    <xf numFmtId="0" fontId="6" fillId="0" borderId="0" xfId="0" applyFont="1" applyAlignment="1">
      <alignment/>
    </xf>
    <xf numFmtId="166" fontId="0" fillId="0" borderId="0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9" fontId="0" fillId="0" borderId="4" xfId="19" applyBorder="1" applyAlignment="1">
      <alignment/>
    </xf>
    <xf numFmtId="0" fontId="7" fillId="0" borderId="0" xfId="0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8" xfId="0" applyFill="1" applyBorder="1" applyAlignment="1">
      <alignment/>
    </xf>
    <xf numFmtId="0" fontId="0" fillId="0" borderId="8" xfId="0" applyBorder="1" applyAlignment="1">
      <alignment/>
    </xf>
    <xf numFmtId="0" fontId="0" fillId="5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9" xfId="0" applyBorder="1" applyAlignment="1">
      <alignment/>
    </xf>
    <xf numFmtId="0" fontId="0" fillId="5" borderId="9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/>
    </xf>
    <xf numFmtId="0" fontId="8" fillId="0" borderId="0" xfId="0" applyFont="1" applyAlignment="1">
      <alignment/>
    </xf>
    <xf numFmtId="175" fontId="0" fillId="0" borderId="9" xfId="0" applyNumberFormat="1" applyBorder="1" applyAlignment="1">
      <alignment/>
    </xf>
    <xf numFmtId="175" fontId="0" fillId="5" borderId="9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5" fontId="0" fillId="5" borderId="1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/>
    </xf>
    <xf numFmtId="174" fontId="8" fillId="0" borderId="9" xfId="0" applyNumberFormat="1" applyFont="1" applyBorder="1" applyAlignment="1">
      <alignment/>
    </xf>
    <xf numFmtId="174" fontId="0" fillId="0" borderId="9" xfId="0" applyNumberFormat="1" applyBorder="1" applyAlignment="1">
      <alignment/>
    </xf>
    <xf numFmtId="174" fontId="8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66" fontId="0" fillId="0" borderId="0" xfId="15" applyNumberFormat="1" applyAlignment="1">
      <alignment/>
    </xf>
    <xf numFmtId="9" fontId="0" fillId="0" borderId="0" xfId="19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0" fillId="0" borderId="9" xfId="0" applyBorder="1" applyAlignment="1">
      <alignment horizontal="right"/>
    </xf>
    <xf numFmtId="1" fontId="0" fillId="0" borderId="9" xfId="0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5" borderId="9" xfId="15" applyNumberFormat="1" applyFill="1" applyBorder="1" applyAlignment="1">
      <alignment/>
    </xf>
    <xf numFmtId="9" fontId="0" fillId="5" borderId="0" xfId="0" applyNumberFormat="1" applyFill="1" applyAlignment="1">
      <alignment horizontal="left"/>
    </xf>
    <xf numFmtId="0" fontId="8" fillId="0" borderId="8" xfId="0" applyFont="1" applyBorder="1" applyAlignment="1">
      <alignment/>
    </xf>
    <xf numFmtId="9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  <xf numFmtId="10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1" fontId="0" fillId="5" borderId="9" xfId="0" applyNumberFormat="1" applyFill="1" applyBorder="1" applyAlignment="1">
      <alignment/>
    </xf>
    <xf numFmtId="0" fontId="0" fillId="6" borderId="0" xfId="0" applyFont="1" applyFill="1" applyAlignment="1">
      <alignment/>
    </xf>
    <xf numFmtId="10" fontId="0" fillId="0" borderId="10" xfId="0" applyNumberFormat="1" applyBorder="1" applyAlignment="1">
      <alignment wrapText="1"/>
    </xf>
    <xf numFmtId="3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3" fontId="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75" fontId="0" fillId="0" borderId="9" xfId="19" applyNumberFormat="1" applyBorder="1" applyAlignment="1">
      <alignment/>
    </xf>
    <xf numFmtId="175" fontId="0" fillId="5" borderId="9" xfId="19" applyNumberFormat="1" applyFill="1" applyBorder="1" applyAlignment="1">
      <alignment/>
    </xf>
    <xf numFmtId="175" fontId="0" fillId="0" borderId="4" xfId="0" applyNumberFormat="1" applyBorder="1" applyAlignment="1">
      <alignment/>
    </xf>
    <xf numFmtId="175" fontId="0" fillId="2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43" fontId="0" fillId="0" borderId="0" xfId="0" applyNumberFormat="1" applyFill="1" applyBorder="1" applyAlignment="1">
      <alignment/>
    </xf>
    <xf numFmtId="166" fontId="1" fillId="0" borderId="2" xfId="15" applyNumberFormat="1" applyFont="1" applyBorder="1" applyAlignment="1">
      <alignment wrapText="1"/>
    </xf>
    <xf numFmtId="0" fontId="0" fillId="4" borderId="1" xfId="0" applyFill="1" applyBorder="1" applyAlignment="1">
      <alignment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166" fontId="0" fillId="0" borderId="2" xfId="15" applyNumberFormat="1" applyBorder="1" applyAlignment="1">
      <alignment/>
    </xf>
    <xf numFmtId="0" fontId="0" fillId="2" borderId="3" xfId="0" applyFill="1" applyBorder="1" applyAlignment="1">
      <alignment/>
    </xf>
    <xf numFmtId="43" fontId="0" fillId="2" borderId="2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right"/>
    </xf>
    <xf numFmtId="166" fontId="0" fillId="2" borderId="15" xfId="15" applyNumberFormat="1" applyFill="1" applyBorder="1" applyAlignment="1">
      <alignment/>
    </xf>
    <xf numFmtId="0" fontId="0" fillId="0" borderId="15" xfId="0" applyBorder="1" applyAlignment="1">
      <alignment/>
    </xf>
    <xf numFmtId="164" fontId="0" fillId="0" borderId="15" xfId="15" applyNumberFormat="1" applyBorder="1" applyAlignment="1">
      <alignment/>
    </xf>
    <xf numFmtId="43" fontId="0" fillId="2" borderId="16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65" fontId="0" fillId="2" borderId="15" xfId="0" applyNumberFormat="1" applyFill="1" applyBorder="1" applyAlignment="1">
      <alignment/>
    </xf>
    <xf numFmtId="9" fontId="0" fillId="0" borderId="16" xfId="0" applyNumberFormat="1" applyBorder="1" applyAlignment="1">
      <alignment/>
    </xf>
    <xf numFmtId="43" fontId="0" fillId="0" borderId="15" xfId="15" applyBorder="1" applyAlignment="1">
      <alignment/>
    </xf>
    <xf numFmtId="164" fontId="0" fillId="0" borderId="15" xfId="0" applyNumberFormat="1" applyBorder="1" applyAlignment="1">
      <alignment/>
    </xf>
    <xf numFmtId="2" fontId="0" fillId="3" borderId="15" xfId="15" applyNumberFormat="1" applyFill="1" applyBorder="1" applyAlignment="1">
      <alignment/>
    </xf>
    <xf numFmtId="9" fontId="0" fillId="0" borderId="16" xfId="19" applyFont="1" applyFill="1" applyBorder="1" applyAlignment="1">
      <alignment/>
    </xf>
    <xf numFmtId="0" fontId="0" fillId="0" borderId="17" xfId="0" applyBorder="1" applyAlignment="1">
      <alignment/>
    </xf>
    <xf numFmtId="166" fontId="0" fillId="0" borderId="0" xfId="15" applyNumberFormat="1" applyFill="1" applyBorder="1" applyAlignment="1">
      <alignment/>
    </xf>
    <xf numFmtId="164" fontId="0" fillId="0" borderId="2" xfId="15" applyNumberFormat="1" applyFont="1" applyBorder="1" applyAlignment="1">
      <alignment/>
    </xf>
    <xf numFmtId="43" fontId="0" fillId="0" borderId="3" xfId="15" applyNumberFormat="1" applyBorder="1" applyAlignment="1">
      <alignment/>
    </xf>
    <xf numFmtId="9" fontId="0" fillId="0" borderId="3" xfId="15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4" fontId="0" fillId="3" borderId="2" xfId="15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2" fontId="0" fillId="2" borderId="2" xfId="15" applyNumberFormat="1" applyFont="1" applyFill="1" applyBorder="1" applyAlignment="1">
      <alignment/>
    </xf>
    <xf numFmtId="9" fontId="0" fillId="2" borderId="3" xfId="19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11" xfId="0" applyBorder="1" applyAlignment="1">
      <alignment horizontal="right"/>
    </xf>
    <xf numFmtId="0" fontId="0" fillId="4" borderId="11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9" fontId="0" fillId="0" borderId="15" xfId="19" applyBorder="1" applyAlignment="1">
      <alignment/>
    </xf>
    <xf numFmtId="43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3" borderId="2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166" fontId="0" fillId="3" borderId="20" xfId="15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1" xfId="0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0" fillId="3" borderId="24" xfId="0" applyFill="1" applyBorder="1" applyAlignment="1">
      <alignment horizontal="right"/>
    </xf>
    <xf numFmtId="0" fontId="0" fillId="3" borderId="9" xfId="0" applyFill="1" applyBorder="1" applyAlignment="1">
      <alignment/>
    </xf>
    <xf numFmtId="166" fontId="0" fillId="3" borderId="9" xfId="15" applyNumberFormat="1" applyFill="1" applyBorder="1" applyAlignment="1">
      <alignment/>
    </xf>
    <xf numFmtId="166" fontId="0" fillId="3" borderId="25" xfId="15" applyNumberFormat="1" applyFill="1" applyBorder="1" applyAlignment="1">
      <alignment/>
    </xf>
    <xf numFmtId="9" fontId="0" fillId="3" borderId="9" xfId="19" applyFill="1" applyBorder="1" applyAlignment="1">
      <alignment/>
    </xf>
    <xf numFmtId="9" fontId="0" fillId="3" borderId="0" xfId="19" applyFill="1" applyBorder="1" applyAlignment="1">
      <alignment/>
    </xf>
    <xf numFmtId="9" fontId="0" fillId="3" borderId="20" xfId="19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11" xfId="0" applyFont="1" applyFill="1" applyBorder="1" applyAlignment="1">
      <alignment wrapText="1" shrinkToFit="1"/>
    </xf>
    <xf numFmtId="0" fontId="5" fillId="3" borderId="0" xfId="0" applyFont="1" applyFill="1" applyBorder="1" applyAlignment="1">
      <alignment wrapText="1" shrinkToFit="1"/>
    </xf>
    <xf numFmtId="0" fontId="5" fillId="3" borderId="0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166" fontId="0" fillId="3" borderId="24" xfId="15" applyNumberFormat="1" applyFill="1" applyBorder="1" applyAlignment="1">
      <alignment/>
    </xf>
    <xf numFmtId="9" fontId="0" fillId="3" borderId="15" xfId="19" applyFill="1" applyBorder="1" applyAlignment="1">
      <alignment/>
    </xf>
    <xf numFmtId="9" fontId="0" fillId="3" borderId="21" xfId="19" applyFill="1" applyBorder="1" applyAlignment="1">
      <alignment/>
    </xf>
    <xf numFmtId="9" fontId="0" fillId="0" borderId="0" xfId="0" applyNumberFormat="1" applyAlignment="1">
      <alignment/>
    </xf>
    <xf numFmtId="9" fontId="6" fillId="0" borderId="0" xfId="19" applyFont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5" borderId="2" xfId="15" applyNumberFormat="1" applyFont="1" applyFill="1" applyBorder="1" applyAlignment="1">
      <alignment/>
    </xf>
    <xf numFmtId="0" fontId="0" fillId="5" borderId="2" xfId="0" applyFill="1" applyBorder="1" applyAlignment="1">
      <alignment/>
    </xf>
    <xf numFmtId="164" fontId="0" fillId="5" borderId="2" xfId="15" applyNumberFormat="1" applyFill="1" applyBorder="1" applyAlignment="1">
      <alignment/>
    </xf>
    <xf numFmtId="43" fontId="0" fillId="5" borderId="3" xfId="0" applyNumberFormat="1" applyFill="1" applyBorder="1" applyAlignment="1">
      <alignment/>
    </xf>
    <xf numFmtId="166" fontId="0" fillId="5" borderId="2" xfId="0" applyNumberFormat="1" applyFill="1" applyBorder="1" applyAlignment="1">
      <alignment/>
    </xf>
    <xf numFmtId="43" fontId="0" fillId="5" borderId="2" xfId="15" applyFill="1" applyBorder="1" applyAlignment="1">
      <alignment/>
    </xf>
    <xf numFmtId="166" fontId="0" fillId="5" borderId="2" xfId="15" applyNumberFormat="1" applyFill="1" applyBorder="1" applyAlignment="1">
      <alignment/>
    </xf>
    <xf numFmtId="0" fontId="0" fillId="5" borderId="3" xfId="0" applyFill="1" applyBorder="1" applyAlignment="1">
      <alignment/>
    </xf>
    <xf numFmtId="43" fontId="0" fillId="5" borderId="2" xfId="0" applyNumberFormat="1" applyFill="1" applyBorder="1" applyAlignment="1">
      <alignment/>
    </xf>
    <xf numFmtId="2" fontId="0" fillId="5" borderId="2" xfId="15" applyNumberFormat="1" applyFill="1" applyBorder="1" applyAlignment="1">
      <alignment/>
    </xf>
    <xf numFmtId="2" fontId="0" fillId="5" borderId="3" xfId="15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11" xfId="0" applyFont="1" applyFill="1" applyBorder="1" applyAlignment="1">
      <alignment horizontal="right"/>
    </xf>
    <xf numFmtId="166" fontId="0" fillId="5" borderId="0" xfId="15" applyNumberFormat="1" applyFill="1" applyBorder="1" applyAlignment="1">
      <alignment/>
    </xf>
    <xf numFmtId="0" fontId="0" fillId="5" borderId="0" xfId="0" applyFill="1" applyBorder="1" applyAlignment="1">
      <alignment/>
    </xf>
    <xf numFmtId="164" fontId="0" fillId="5" borderId="0" xfId="15" applyNumberFormat="1" applyFill="1" applyBorder="1" applyAlignment="1">
      <alignment/>
    </xf>
    <xf numFmtId="43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9" fontId="0" fillId="5" borderId="4" xfId="19" applyFill="1" applyBorder="1" applyAlignment="1">
      <alignment/>
    </xf>
    <xf numFmtId="43" fontId="0" fillId="5" borderId="0" xfId="0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2" fontId="0" fillId="5" borderId="4" xfId="15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7" borderId="11" xfId="0" applyFill="1" applyBorder="1" applyAlignment="1">
      <alignment horizontal="right" wrapText="1"/>
    </xf>
    <xf numFmtId="0" fontId="0" fillId="7" borderId="11" xfId="0" applyFill="1" applyBorder="1" applyAlignment="1">
      <alignment horizontal="right"/>
    </xf>
    <xf numFmtId="43" fontId="0" fillId="0" borderId="3" xfId="15" applyNumberFormat="1" applyFont="1" applyBorder="1" applyAlignment="1">
      <alignment/>
    </xf>
    <xf numFmtId="9" fontId="0" fillId="0" borderId="3" xfId="15" applyNumberFormat="1" applyFont="1" applyBorder="1" applyAlignment="1">
      <alignment/>
    </xf>
    <xf numFmtId="43" fontId="0" fillId="0" borderId="15" xfId="0" applyNumberFormat="1" applyBorder="1" applyAlignment="1">
      <alignment horizontal="center"/>
    </xf>
    <xf numFmtId="0" fontId="0" fillId="0" borderId="11" xfId="0" applyBorder="1" applyAlignment="1">
      <alignment/>
    </xf>
    <xf numFmtId="175" fontId="0" fillId="0" borderId="16" xfId="0" applyNumberFormat="1" applyBorder="1" applyAlignment="1">
      <alignment/>
    </xf>
    <xf numFmtId="0" fontId="4" fillId="3" borderId="28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.Notes.Data\PotentialDe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sAppl"/>
      <sheetName val="Comm Appliances"/>
      <sheetName val="Comm Refrig"/>
      <sheetName val="Lighting"/>
      <sheetName val="HeatCool"/>
      <sheetName val="OffEquip"/>
      <sheetName val="MiscResidential"/>
      <sheetName val="LifeTimes"/>
      <sheetName val="References"/>
    </sheetNames>
    <sheetDataSet>
      <sheetData sheetId="7">
        <row r="8">
          <cell r="C8">
            <v>41.7</v>
          </cell>
          <cell r="D8">
            <v>17</v>
          </cell>
        </row>
        <row r="10">
          <cell r="C10">
            <v>5.08</v>
          </cell>
        </row>
        <row r="13">
          <cell r="C13">
            <v>15.1</v>
          </cell>
          <cell r="D13">
            <v>11</v>
          </cell>
        </row>
        <row r="14">
          <cell r="C14">
            <v>13.6</v>
          </cell>
          <cell r="D14">
            <v>10</v>
          </cell>
        </row>
        <row r="16">
          <cell r="C16">
            <v>77.77</v>
          </cell>
          <cell r="D16">
            <v>12</v>
          </cell>
          <cell r="E16">
            <v>0.00867815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H37" sqref="H37"/>
    </sheetView>
  </sheetViews>
  <sheetFormatPr defaultColWidth="9.140625" defaultRowHeight="12.75"/>
  <cols>
    <col min="1" max="1" width="18.00390625" style="0" bestFit="1" customWidth="1"/>
    <col min="2" max="2" width="7.7109375" style="0" bestFit="1" customWidth="1"/>
    <col min="3" max="3" width="11.7109375" style="0" bestFit="1" customWidth="1"/>
    <col min="4" max="4" width="10.421875" style="0" customWidth="1"/>
    <col min="5" max="6" width="14.00390625" style="0" customWidth="1"/>
    <col min="8" max="8" width="20.8515625" style="0" bestFit="1" customWidth="1"/>
    <col min="10" max="10" width="11.00390625" style="0" bestFit="1" customWidth="1"/>
    <col min="12" max="12" width="13.421875" style="0" bestFit="1" customWidth="1"/>
    <col min="13" max="13" width="10.57421875" style="0" bestFit="1" customWidth="1"/>
  </cols>
  <sheetData>
    <row r="1" ht="12.75">
      <c r="A1" s="30" t="s">
        <v>141</v>
      </c>
    </row>
    <row r="2" spans="1:8" ht="12.75">
      <c r="A2" t="s">
        <v>100</v>
      </c>
      <c r="B2" s="45"/>
      <c r="C2" s="45"/>
      <c r="D2" s="45"/>
      <c r="H2" t="s">
        <v>103</v>
      </c>
    </row>
    <row r="3" spans="2:13" s="46" customFormat="1" ht="25.5">
      <c r="B3" s="47" t="s">
        <v>63</v>
      </c>
      <c r="C3" s="47" t="s">
        <v>262</v>
      </c>
      <c r="D3" s="47" t="s">
        <v>263</v>
      </c>
      <c r="E3" s="47" t="s">
        <v>264</v>
      </c>
      <c r="F3" s="47" t="s">
        <v>101</v>
      </c>
      <c r="I3" s="47" t="s">
        <v>63</v>
      </c>
      <c r="J3" s="47" t="s">
        <v>262</v>
      </c>
      <c r="K3" s="47" t="s">
        <v>263</v>
      </c>
      <c r="L3" s="47" t="s">
        <v>264</v>
      </c>
      <c r="M3" s="47" t="s">
        <v>90</v>
      </c>
    </row>
    <row r="4" spans="1:13" ht="12.75">
      <c r="A4" t="s">
        <v>59</v>
      </c>
      <c r="B4">
        <v>11.9</v>
      </c>
      <c r="C4">
        <f>$B$4</f>
        <v>11.9</v>
      </c>
      <c r="D4">
        <f>$B$4</f>
        <v>11.9</v>
      </c>
      <c r="E4">
        <f>$B$4</f>
        <v>11.9</v>
      </c>
      <c r="F4">
        <v>5.4</v>
      </c>
      <c r="H4" t="s">
        <v>59</v>
      </c>
      <c r="I4">
        <v>16.9</v>
      </c>
      <c r="J4">
        <f>$I$4</f>
        <v>16.9</v>
      </c>
      <c r="K4">
        <f>$I$4</f>
        <v>16.9</v>
      </c>
      <c r="L4">
        <f>$I$4</f>
        <v>16.9</v>
      </c>
      <c r="M4">
        <v>9.1</v>
      </c>
    </row>
    <row r="5" spans="1:13" ht="12.75">
      <c r="A5" t="s">
        <v>60</v>
      </c>
      <c r="B5">
        <v>10.5</v>
      </c>
      <c r="C5">
        <v>3</v>
      </c>
      <c r="D5">
        <v>1</v>
      </c>
      <c r="E5">
        <f>7</f>
        <v>7</v>
      </c>
      <c r="F5">
        <v>4.6</v>
      </c>
      <c r="H5" t="s">
        <v>60</v>
      </c>
      <c r="I5">
        <v>16.2</v>
      </c>
      <c r="J5">
        <v>15</v>
      </c>
      <c r="K5">
        <v>1</v>
      </c>
      <c r="L5">
        <f>7</f>
        <v>7</v>
      </c>
      <c r="M5">
        <v>8.8</v>
      </c>
    </row>
    <row r="6" spans="1:13" ht="12.75">
      <c r="A6" t="s">
        <v>61</v>
      </c>
      <c r="B6">
        <f>22%*8760</f>
        <v>1927.2</v>
      </c>
      <c r="C6">
        <f>$B$6</f>
        <v>1927.2</v>
      </c>
      <c r="D6">
        <f>$B$6</f>
        <v>1927.2</v>
      </c>
      <c r="E6">
        <f>$B$6</f>
        <v>1927.2</v>
      </c>
      <c r="F6">
        <f>$B$6</f>
        <v>1927.2</v>
      </c>
      <c r="H6" t="s">
        <v>61</v>
      </c>
      <c r="I6">
        <f>22%*8760</f>
        <v>1927.2</v>
      </c>
      <c r="J6">
        <f>$B$6</f>
        <v>1927.2</v>
      </c>
      <c r="K6">
        <f>$B$6</f>
        <v>1927.2</v>
      </c>
      <c r="L6">
        <f>$B$6</f>
        <v>1927.2</v>
      </c>
      <c r="M6">
        <f>$B$6</f>
        <v>1927.2</v>
      </c>
    </row>
    <row r="7" spans="1:13" ht="12.75">
      <c r="A7" t="s">
        <v>62</v>
      </c>
      <c r="B7">
        <f>78%*8760</f>
        <v>6832.8</v>
      </c>
      <c r="C7">
        <f>$B$7</f>
        <v>6832.8</v>
      </c>
      <c r="D7">
        <f>$B$7</f>
        <v>6832.8</v>
      </c>
      <c r="E7">
        <f>$B$7</f>
        <v>6832.8</v>
      </c>
      <c r="F7">
        <f>$B$7</f>
        <v>6832.8</v>
      </c>
      <c r="H7" t="s">
        <v>62</v>
      </c>
      <c r="I7">
        <f>78%*8760</f>
        <v>6832.8</v>
      </c>
      <c r="J7">
        <f>$B$7</f>
        <v>6832.8</v>
      </c>
      <c r="K7">
        <f>$B$7</f>
        <v>6832.8</v>
      </c>
      <c r="L7">
        <f>$B$7</f>
        <v>6832.8</v>
      </c>
      <c r="M7">
        <f>$B$7</f>
        <v>6832.8</v>
      </c>
    </row>
    <row r="8" spans="1:13" ht="12.75">
      <c r="A8" t="s">
        <v>45</v>
      </c>
      <c r="B8" s="40">
        <f>(B4*B6+B5*B7)/1000</f>
        <v>94.67808000000002</v>
      </c>
      <c r="C8" s="40">
        <f>(C4*C6+C5*C7)/1000</f>
        <v>43.43208</v>
      </c>
      <c r="D8" s="40">
        <f>(D4*D6+D5*D7)/1000</f>
        <v>29.766479999999998</v>
      </c>
      <c r="E8" s="40">
        <f>(E4*E6+E5*E7)/1000</f>
        <v>70.76328</v>
      </c>
      <c r="F8" s="40">
        <f>(F4*F6+F5*F7)/1000</f>
        <v>41.837759999999996</v>
      </c>
      <c r="H8" t="s">
        <v>45</v>
      </c>
      <c r="I8" s="40">
        <f>(I4*I6+I5*I7)/1000</f>
        <v>143.26104</v>
      </c>
      <c r="J8" s="40">
        <f>(J4*J6+J5*J7)/1000</f>
        <v>135.06168</v>
      </c>
      <c r="K8" s="40">
        <f>(K4*K6+K5*K7)/1000</f>
        <v>39.40248</v>
      </c>
      <c r="L8" s="40">
        <f>(L4*L6+L5*L7)/1000</f>
        <v>80.39928</v>
      </c>
      <c r="M8" s="40">
        <f>(M4*M6+M5*M7)/1000</f>
        <v>77.66616</v>
      </c>
    </row>
    <row r="9" spans="1:13" ht="12.75">
      <c r="A9" t="s">
        <v>92</v>
      </c>
      <c r="B9" s="41">
        <f>($B$8-B8)/$B$8</f>
        <v>0</v>
      </c>
      <c r="C9" s="41">
        <f>($B$8-C8)/$B$8</f>
        <v>0.5412657290895634</v>
      </c>
      <c r="D9" s="41">
        <f>($B$8-D8)/$B$8</f>
        <v>0.6856032568467803</v>
      </c>
      <c r="E9" s="41">
        <f>($B$8-E8)/$B$8</f>
        <v>0.25259067357512976</v>
      </c>
      <c r="F9" s="41">
        <f>($B$8-F8)/$B$8</f>
        <v>0.5581051073279054</v>
      </c>
      <c r="H9" t="s">
        <v>92</v>
      </c>
      <c r="I9" s="41">
        <f>($I$8-I8)/$I$8</f>
        <v>0</v>
      </c>
      <c r="J9" s="41">
        <f>($I$8-J8)/$I$8</f>
        <v>0.05723370429252791</v>
      </c>
      <c r="K9" s="41">
        <f>($I$8-K8)/$I$8</f>
        <v>0.7249602543720192</v>
      </c>
      <c r="L9" s="41">
        <f>($I$8-L8)/$I$8</f>
        <v>0.43879173290937995</v>
      </c>
      <c r="M9" s="41">
        <f>($I$8-M8)/$I$8</f>
        <v>0.4578696343402226</v>
      </c>
    </row>
    <row r="12" ht="12.75">
      <c r="A12" t="s">
        <v>261</v>
      </c>
    </row>
    <row r="13" spans="1:7" ht="38.25">
      <c r="A13" s="46"/>
      <c r="B13" s="47" t="s">
        <v>63</v>
      </c>
      <c r="C13" s="47" t="s">
        <v>265</v>
      </c>
      <c r="D13" s="47" t="s">
        <v>263</v>
      </c>
      <c r="E13" s="47" t="s">
        <v>91</v>
      </c>
      <c r="F13" s="47" t="s">
        <v>90</v>
      </c>
      <c r="G13" s="47" t="s">
        <v>262</v>
      </c>
    </row>
    <row r="14" spans="1:7" ht="12.75">
      <c r="A14" t="s">
        <v>59</v>
      </c>
      <c r="B14">
        <v>23</v>
      </c>
      <c r="C14">
        <f>$B$14</f>
        <v>23</v>
      </c>
      <c r="D14">
        <f>$B$14</f>
        <v>23</v>
      </c>
      <c r="E14">
        <f>$B$14</f>
        <v>23</v>
      </c>
      <c r="F14">
        <f>$B$14</f>
        <v>23</v>
      </c>
      <c r="G14">
        <f>$B$14</f>
        <v>23</v>
      </c>
    </row>
    <row r="15" spans="1:7" ht="12.75">
      <c r="A15" t="s">
        <v>60</v>
      </c>
      <c r="B15">
        <v>22.3</v>
      </c>
      <c r="C15">
        <v>3</v>
      </c>
      <c r="D15">
        <v>1</v>
      </c>
      <c r="E15">
        <f>7</f>
        <v>7</v>
      </c>
      <c r="F15">
        <v>14.075</v>
      </c>
      <c r="G15">
        <v>15</v>
      </c>
    </row>
    <row r="16" spans="1:7" ht="12.75">
      <c r="A16" t="s">
        <v>61</v>
      </c>
      <c r="B16">
        <f>22%*8760</f>
        <v>1927.2</v>
      </c>
      <c r="C16">
        <f>$B$6</f>
        <v>1927.2</v>
      </c>
      <c r="D16">
        <f>$B$6</f>
        <v>1927.2</v>
      </c>
      <c r="E16">
        <f>$B$6</f>
        <v>1927.2</v>
      </c>
      <c r="F16">
        <f>$B$6</f>
        <v>1927.2</v>
      </c>
      <c r="G16">
        <f>$B$6</f>
        <v>1927.2</v>
      </c>
    </row>
    <row r="17" spans="1:7" ht="12.75">
      <c r="A17" t="s">
        <v>62</v>
      </c>
      <c r="B17">
        <f>78%*8760</f>
        <v>6832.8</v>
      </c>
      <c r="C17">
        <f>$B$7</f>
        <v>6832.8</v>
      </c>
      <c r="D17">
        <f>$B$7</f>
        <v>6832.8</v>
      </c>
      <c r="E17">
        <f>$B$7</f>
        <v>6832.8</v>
      </c>
      <c r="F17">
        <f>$B$7</f>
        <v>6832.8</v>
      </c>
      <c r="G17">
        <f>$B$7</f>
        <v>6832.8</v>
      </c>
    </row>
    <row r="18" spans="1:7" ht="12.75">
      <c r="A18" t="s">
        <v>45</v>
      </c>
      <c r="B18" s="40">
        <f aca="true" t="shared" si="0" ref="B18:G18">(B14*B16+B15*B17)/1000</f>
        <v>196.69704000000002</v>
      </c>
      <c r="C18" s="40">
        <f t="shared" si="0"/>
        <v>64.824</v>
      </c>
      <c r="D18" s="40">
        <f t="shared" si="0"/>
        <v>51.1584</v>
      </c>
      <c r="E18" s="40">
        <f t="shared" si="0"/>
        <v>92.1552</v>
      </c>
      <c r="F18" s="40">
        <f t="shared" si="0"/>
        <v>140.49726</v>
      </c>
      <c r="G18" s="40">
        <f t="shared" si="0"/>
        <v>146.8176</v>
      </c>
    </row>
    <row r="19" spans="1:7" ht="12.75">
      <c r="A19" t="s">
        <v>92</v>
      </c>
      <c r="B19" s="41">
        <f aca="true" t="shared" si="1" ref="B19:G19">($B$18-B18)/$B$18</f>
        <v>0</v>
      </c>
      <c r="C19" s="41">
        <f t="shared" si="1"/>
        <v>0.6704373385588314</v>
      </c>
      <c r="D19" s="41">
        <f t="shared" si="1"/>
        <v>0.7399127104302129</v>
      </c>
      <c r="E19" s="41">
        <f t="shared" si="1"/>
        <v>0.5314865948160685</v>
      </c>
      <c r="F19" s="41">
        <f t="shared" si="1"/>
        <v>0.28571746682105637</v>
      </c>
      <c r="G19" s="41">
        <f t="shared" si="1"/>
        <v>0.2535851073305425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F12" sqref="F12"/>
    </sheetView>
  </sheetViews>
  <sheetFormatPr defaultColWidth="9.140625" defaultRowHeight="12.75"/>
  <cols>
    <col min="1" max="1" width="18.00390625" style="0" bestFit="1" customWidth="1"/>
    <col min="2" max="2" width="7.57421875" style="0" bestFit="1" customWidth="1"/>
    <col min="3" max="4" width="7.57421875" style="0" customWidth="1"/>
    <col min="5" max="5" width="7.00390625" style="0" bestFit="1" customWidth="1"/>
    <col min="6" max="6" width="11.00390625" style="0" bestFit="1" customWidth="1"/>
    <col min="8" max="8" width="15.7109375" style="0" bestFit="1" customWidth="1"/>
  </cols>
  <sheetData>
    <row r="3" spans="1:9" ht="12.75">
      <c r="A3" s="49" t="s">
        <v>65</v>
      </c>
      <c r="B3" s="53" t="s">
        <v>97</v>
      </c>
      <c r="H3" s="49"/>
      <c r="I3" s="53"/>
    </row>
    <row r="4" spans="1:13" ht="25.5">
      <c r="A4" s="46"/>
      <c r="B4" s="47" t="s">
        <v>54</v>
      </c>
      <c r="C4" s="47" t="s">
        <v>63</v>
      </c>
      <c r="D4" s="47" t="s">
        <v>67</v>
      </c>
      <c r="E4" s="46" t="s">
        <v>58</v>
      </c>
      <c r="F4" s="46" t="s">
        <v>148</v>
      </c>
      <c r="H4" s="46"/>
      <c r="I4" s="47"/>
      <c r="J4" s="47"/>
      <c r="K4" s="47"/>
      <c r="L4" s="46"/>
      <c r="M4" s="46"/>
    </row>
    <row r="5" spans="1:6" ht="12.75">
      <c r="A5" t="s">
        <v>59</v>
      </c>
      <c r="B5">
        <v>22</v>
      </c>
      <c r="C5">
        <f>$B$5</f>
        <v>22</v>
      </c>
      <c r="D5">
        <f>$B$5</f>
        <v>22</v>
      </c>
      <c r="E5">
        <f>$B$5</f>
        <v>22</v>
      </c>
      <c r="F5">
        <f>$B$5</f>
        <v>22</v>
      </c>
    </row>
    <row r="6" spans="1:6" ht="12.75">
      <c r="A6" t="s">
        <v>60</v>
      </c>
      <c r="B6">
        <v>20</v>
      </c>
      <c r="C6">
        <f>$B$6</f>
        <v>20</v>
      </c>
      <c r="D6">
        <f>$B$6</f>
        <v>20</v>
      </c>
      <c r="E6">
        <f>$B$6</f>
        <v>20</v>
      </c>
      <c r="F6">
        <f>$B$6</f>
        <v>20</v>
      </c>
    </row>
    <row r="7" spans="1:6" ht="12.75">
      <c r="A7" t="s">
        <v>95</v>
      </c>
      <c r="B7">
        <v>9.8</v>
      </c>
      <c r="C7">
        <v>9.8</v>
      </c>
      <c r="D7">
        <v>2</v>
      </c>
      <c r="E7">
        <v>1</v>
      </c>
      <c r="F7">
        <v>0.25</v>
      </c>
    </row>
    <row r="8" spans="1:6" ht="12.75">
      <c r="A8" t="s">
        <v>61</v>
      </c>
      <c r="B8">
        <f>8760*6%</f>
        <v>525.6</v>
      </c>
      <c r="C8">
        <f>$B$8</f>
        <v>525.6</v>
      </c>
      <c r="D8">
        <f>$B$8</f>
        <v>525.6</v>
      </c>
      <c r="E8">
        <f>$B$8</f>
        <v>525.6</v>
      </c>
      <c r="F8">
        <f>$B$8</f>
        <v>525.6</v>
      </c>
    </row>
    <row r="9" spans="1:6" ht="12.75">
      <c r="A9" t="s">
        <v>62</v>
      </c>
      <c r="B9">
        <f>19%*8760</f>
        <v>1664.4</v>
      </c>
      <c r="C9">
        <f>$B$9</f>
        <v>1664.4</v>
      </c>
      <c r="D9">
        <f>$B$9</f>
        <v>1664.4</v>
      </c>
      <c r="E9">
        <f>$B$9</f>
        <v>1664.4</v>
      </c>
      <c r="F9">
        <f>$B$9</f>
        <v>1664.4</v>
      </c>
    </row>
    <row r="10" spans="1:6" ht="12.75">
      <c r="A10" t="s">
        <v>98</v>
      </c>
      <c r="B10">
        <f>75%*8760</f>
        <v>6570</v>
      </c>
      <c r="C10">
        <f>$B$10</f>
        <v>6570</v>
      </c>
      <c r="D10">
        <f>$B$10</f>
        <v>6570</v>
      </c>
      <c r="E10">
        <f>$B$10</f>
        <v>6570</v>
      </c>
      <c r="F10">
        <f>$B$10</f>
        <v>6570</v>
      </c>
    </row>
    <row r="11" spans="1:13" ht="12.75">
      <c r="A11" t="s">
        <v>45</v>
      </c>
      <c r="B11" s="40">
        <f>(B5*B8+B6*B9+B7*B10)/1000</f>
        <v>109.23720000000002</v>
      </c>
      <c r="C11" s="40">
        <f>(C5*C8+C6*C9+C7*C10)/1000</f>
        <v>109.23720000000002</v>
      </c>
      <c r="D11" s="40">
        <f>(D5*D8+D6*D9+D7*D10)/1000</f>
        <v>57.9912</v>
      </c>
      <c r="E11" s="40">
        <f>(E5*E8+E6*E9+E7*E10)/1000</f>
        <v>51.4212</v>
      </c>
      <c r="F11" s="40">
        <f>(F5*F8+F6*F9+F7*F10)/1000</f>
        <v>46.4937</v>
      </c>
      <c r="I11" s="40"/>
      <c r="J11" s="40"/>
      <c r="K11" s="40"/>
      <c r="L11" s="40"/>
      <c r="M11" s="40"/>
    </row>
    <row r="12" spans="1:13" ht="12.75">
      <c r="A12" t="s">
        <v>48</v>
      </c>
      <c r="B12" s="41">
        <f>($B$11-B11)/$B$11</f>
        <v>0</v>
      </c>
      <c r="C12" s="41">
        <f>($B$11-C11)/$B$11</f>
        <v>0</v>
      </c>
      <c r="D12" s="41">
        <f>($B$11-D11)/$B$11</f>
        <v>0.46912590216519656</v>
      </c>
      <c r="E12" s="41">
        <f>($B$11-E11)/$B$11</f>
        <v>0.529270248596632</v>
      </c>
      <c r="F12" s="41">
        <f>($B$11-F11)/$B$11</f>
        <v>0.5743785084202085</v>
      </c>
      <c r="I12" s="41"/>
      <c r="J12" s="41"/>
      <c r="K12" s="41"/>
      <c r="L12" s="41"/>
      <c r="M12" s="41"/>
    </row>
    <row r="13" spans="1:13" ht="12.75">
      <c r="A13" t="s">
        <v>66</v>
      </c>
      <c r="B13" s="48">
        <f>($C$11-B11)/$C$11</f>
        <v>0</v>
      </c>
      <c r="C13" s="48">
        <f>($C$11-C11)/$C$11</f>
        <v>0</v>
      </c>
      <c r="D13" s="48">
        <f>($C$11-D11)/$C$11</f>
        <v>0.46912590216519656</v>
      </c>
      <c r="E13" s="48">
        <f>($C$11-E11)/$C$11</f>
        <v>0.529270248596632</v>
      </c>
      <c r="F13" s="48">
        <f>($C$11-F11)/$C$11</f>
        <v>0.5743785084202085</v>
      </c>
      <c r="I13" s="41"/>
      <c r="J13" s="41"/>
      <c r="K13" s="41"/>
      <c r="L13" s="41"/>
      <c r="M13" s="4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25.8515625" style="0" bestFit="1" customWidth="1"/>
    <col min="2" max="2" width="108.57421875" style="45" customWidth="1"/>
  </cols>
  <sheetData>
    <row r="1" ht="12.75">
      <c r="A1" s="46" t="s">
        <v>211</v>
      </c>
    </row>
    <row r="3" spans="1:2" ht="12.75">
      <c r="A3" t="s">
        <v>247</v>
      </c>
      <c r="B3" s="45" t="s">
        <v>212</v>
      </c>
    </row>
    <row r="4" spans="1:2" ht="25.5">
      <c r="A4" t="s">
        <v>248</v>
      </c>
      <c r="B4" s="45" t="s">
        <v>213</v>
      </c>
    </row>
    <row r="5" spans="1:2" ht="25.5">
      <c r="A5" t="s">
        <v>249</v>
      </c>
      <c r="B5" s="45" t="s">
        <v>214</v>
      </c>
    </row>
    <row r="6" spans="1:2" ht="25.5">
      <c r="A6" t="s">
        <v>215</v>
      </c>
      <c r="B6" s="45" t="s">
        <v>216</v>
      </c>
    </row>
    <row r="7" spans="1:2" ht="25.5">
      <c r="A7" t="s">
        <v>250</v>
      </c>
      <c r="B7" s="45" t="s">
        <v>217</v>
      </c>
    </row>
    <row r="8" spans="1:2" ht="38.25">
      <c r="A8" t="s">
        <v>218</v>
      </c>
      <c r="B8" s="45" t="s">
        <v>219</v>
      </c>
    </row>
    <row r="9" spans="1:2" ht="12.75">
      <c r="A9" t="s">
        <v>220</v>
      </c>
      <c r="B9" s="45" t="s">
        <v>251</v>
      </c>
    </row>
    <row r="10" spans="1:2" ht="12.75">
      <c r="A10" t="s">
        <v>221</v>
      </c>
      <c r="B10" s="45" t="s">
        <v>222</v>
      </c>
    </row>
    <row r="11" spans="1:2" ht="25.5">
      <c r="A11" t="s">
        <v>223</v>
      </c>
      <c r="B11" s="45" t="s">
        <v>224</v>
      </c>
    </row>
    <row r="12" spans="1:2" ht="25.5">
      <c r="A12" t="s">
        <v>228</v>
      </c>
      <c r="B12" s="45" t="s">
        <v>227</v>
      </c>
    </row>
    <row r="13" spans="1:2" ht="25.5">
      <c r="A13" t="s">
        <v>252</v>
      </c>
      <c r="B13" s="45" t="s">
        <v>253</v>
      </c>
    </row>
    <row r="14" spans="1:2" ht="25.5">
      <c r="A14" t="s">
        <v>259</v>
      </c>
      <c r="B14" s="45" t="s">
        <v>254</v>
      </c>
    </row>
    <row r="15" spans="1:2" ht="12.75">
      <c r="A15" t="s">
        <v>260</v>
      </c>
      <c r="B15" s="45" t="s">
        <v>255</v>
      </c>
    </row>
    <row r="16" ht="12.75">
      <c r="B16" s="45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5"/>
  <sheetViews>
    <sheetView workbookViewId="0" topLeftCell="A1">
      <selection activeCell="D7" sqref="D7"/>
    </sheetView>
  </sheetViews>
  <sheetFormatPr defaultColWidth="9.140625" defaultRowHeight="12.75"/>
  <cols>
    <col min="2" max="2" width="15.7109375" style="0" bestFit="1" customWidth="1"/>
    <col min="7" max="7" width="20.421875" style="0" customWidth="1"/>
  </cols>
  <sheetData>
    <row r="3" spans="2:3" ht="12.75">
      <c r="B3" s="49" t="s">
        <v>64</v>
      </c>
      <c r="C3" s="53" t="s">
        <v>97</v>
      </c>
    </row>
    <row r="4" spans="2:7" ht="25.5">
      <c r="B4" s="46"/>
      <c r="C4" s="47" t="s">
        <v>54</v>
      </c>
      <c r="D4" s="47" t="s">
        <v>63</v>
      </c>
      <c r="E4" s="47" t="s">
        <v>67</v>
      </c>
      <c r="F4" s="46" t="s">
        <v>58</v>
      </c>
      <c r="G4" s="46" t="s">
        <v>140</v>
      </c>
    </row>
    <row r="5" spans="2:7" ht="12.75">
      <c r="B5" t="s">
        <v>59</v>
      </c>
      <c r="C5">
        <v>53</v>
      </c>
      <c r="D5">
        <f>$C$5</f>
        <v>53</v>
      </c>
      <c r="E5">
        <f>$C$5</f>
        <v>53</v>
      </c>
      <c r="F5">
        <f>$C$5</f>
        <v>53</v>
      </c>
      <c r="G5">
        <f>$C$5</f>
        <v>53</v>
      </c>
    </row>
    <row r="6" spans="2:7" ht="12.75">
      <c r="B6" t="s">
        <v>60</v>
      </c>
      <c r="C6">
        <v>49</v>
      </c>
      <c r="D6">
        <f>$C$6</f>
        <v>49</v>
      </c>
      <c r="E6">
        <f>$C$6</f>
        <v>49</v>
      </c>
      <c r="F6">
        <f>$C$6</f>
        <v>49</v>
      </c>
      <c r="G6">
        <f>$C$6</f>
        <v>49</v>
      </c>
    </row>
    <row r="7" spans="2:7" ht="12.75">
      <c r="B7" t="s">
        <v>95</v>
      </c>
      <c r="C7">
        <v>3</v>
      </c>
      <c r="D7">
        <f>C7</f>
        <v>3</v>
      </c>
      <c r="E7">
        <f>2</f>
        <v>2</v>
      </c>
      <c r="F7">
        <v>1</v>
      </c>
      <c r="G7">
        <v>0.26</v>
      </c>
    </row>
    <row r="8" spans="2:7" ht="12.75">
      <c r="B8" t="s">
        <v>61</v>
      </c>
      <c r="C8">
        <f>8760*6%</f>
        <v>525.6</v>
      </c>
      <c r="D8">
        <f>C8</f>
        <v>525.6</v>
      </c>
      <c r="E8">
        <f>D8</f>
        <v>525.6</v>
      </c>
      <c r="F8">
        <f aca="true" t="shared" si="0" ref="F8:G10">D8</f>
        <v>525.6</v>
      </c>
      <c r="G8">
        <f t="shared" si="0"/>
        <v>525.6</v>
      </c>
    </row>
    <row r="9" spans="2:7" ht="12.75">
      <c r="B9" t="s">
        <v>62</v>
      </c>
      <c r="C9">
        <f>19%*8760</f>
        <v>1664.4</v>
      </c>
      <c r="D9">
        <f>C9</f>
        <v>1664.4</v>
      </c>
      <c r="E9">
        <f>D9</f>
        <v>1664.4</v>
      </c>
      <c r="F9">
        <f t="shared" si="0"/>
        <v>1664.4</v>
      </c>
      <c r="G9">
        <f t="shared" si="0"/>
        <v>1664.4</v>
      </c>
    </row>
    <row r="10" spans="2:7" ht="12.75">
      <c r="B10" t="s">
        <v>96</v>
      </c>
      <c r="C10">
        <f>75%*8760</f>
        <v>6570</v>
      </c>
      <c r="D10">
        <f>C10</f>
        <v>6570</v>
      </c>
      <c r="E10">
        <f>D10</f>
        <v>6570</v>
      </c>
      <c r="F10">
        <f t="shared" si="0"/>
        <v>6570</v>
      </c>
      <c r="G10">
        <f t="shared" si="0"/>
        <v>6570</v>
      </c>
    </row>
    <row r="11" spans="2:7" ht="12.75">
      <c r="B11" t="s">
        <v>45</v>
      </c>
      <c r="C11" s="76">
        <f>(C5*C8+C6*C9+C7*C10)/1000</f>
        <v>129.1224</v>
      </c>
      <c r="D11" s="76">
        <f>(D5*D8+D6*D9+D7*D10)/1000</f>
        <v>129.1224</v>
      </c>
      <c r="E11" s="76">
        <f>(E5*E8+E6*E9+E7*E10)/1000</f>
        <v>122.5524</v>
      </c>
      <c r="F11" s="76">
        <f>(F5*F8+F6*F9+F7*F10)/1000</f>
        <v>115.98240000000001</v>
      </c>
      <c r="G11" s="76">
        <f>(G5*G8+G6*G9+G7*G10)/1000</f>
        <v>111.12060000000001</v>
      </c>
    </row>
    <row r="12" spans="2:7" ht="12.75">
      <c r="B12" t="s">
        <v>48</v>
      </c>
      <c r="C12" s="77">
        <f>($C$11-C11)/$C$11</f>
        <v>0</v>
      </c>
      <c r="D12" s="77">
        <f>($C$11-D11)/$C$11</f>
        <v>0</v>
      </c>
      <c r="E12" s="77">
        <f>($C$11-E11)/$C$11</f>
        <v>0.05088195386702844</v>
      </c>
      <c r="F12" s="77">
        <f>($C$11-F11)/$C$11</f>
        <v>0.10176390773405689</v>
      </c>
      <c r="G12" s="77">
        <f>($C$11-G11)/$C$11</f>
        <v>0.139416553595658</v>
      </c>
    </row>
    <row r="13" spans="2:7" ht="12.75">
      <c r="B13" t="s">
        <v>66</v>
      </c>
      <c r="C13" s="77">
        <f>($C$11-C11)/$C$11</f>
        <v>0</v>
      </c>
      <c r="D13" s="77">
        <f>($C$11-D11)/$C$11</f>
        <v>0</v>
      </c>
      <c r="E13" s="77">
        <f>($C$11-E11)/$C$11</f>
        <v>0.05088195386702844</v>
      </c>
      <c r="F13" s="77">
        <f>($C$11-F11)/$C$11</f>
        <v>0.10176390773405689</v>
      </c>
      <c r="G13" s="77">
        <f>($C$11-G11)/$C$11</f>
        <v>0.139416553595658</v>
      </c>
    </row>
    <row r="15" ht="12.75">
      <c r="C15">
        <f>C8+C9+C10</f>
        <v>8760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zoomScale="65" zoomScaleNormal="65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3" sqref="A53"/>
    </sheetView>
  </sheetViews>
  <sheetFormatPr defaultColWidth="9.140625" defaultRowHeight="12.75"/>
  <cols>
    <col min="1" max="1" width="44.8515625" style="0" customWidth="1"/>
    <col min="2" max="2" width="12.421875" style="0" bestFit="1" customWidth="1"/>
    <col min="3" max="3" width="12.57421875" style="0" bestFit="1" customWidth="1"/>
    <col min="4" max="4" width="15.140625" style="0" bestFit="1" customWidth="1"/>
    <col min="5" max="6" width="13.140625" style="0" bestFit="1" customWidth="1"/>
    <col min="7" max="7" width="9.57421875" style="0" bestFit="1" customWidth="1"/>
    <col min="8" max="8" width="13.7109375" style="40" customWidth="1"/>
    <col min="9" max="9" width="13.140625" style="0" bestFit="1" customWidth="1"/>
    <col min="10" max="11" width="12.28125" style="0" bestFit="1" customWidth="1"/>
    <col min="12" max="12" width="16.57421875" style="0" bestFit="1" customWidth="1"/>
    <col min="13" max="13" width="12.8515625" style="0" customWidth="1"/>
    <col min="14" max="14" width="16.00390625" style="0" customWidth="1"/>
    <col min="15" max="16" width="18.140625" style="0" bestFit="1" customWidth="1"/>
    <col min="17" max="17" width="22.421875" style="0" bestFit="1" customWidth="1"/>
    <col min="18" max="18" width="12.7109375" style="0" customWidth="1"/>
  </cols>
  <sheetData>
    <row r="1" spans="3:5" ht="12.75">
      <c r="C1" t="s">
        <v>16</v>
      </c>
      <c r="E1" t="s">
        <v>16</v>
      </c>
    </row>
    <row r="2" spans="9:13" ht="13.5" thickBot="1">
      <c r="I2" s="30" t="s">
        <v>22</v>
      </c>
      <c r="M2" s="30" t="s">
        <v>22</v>
      </c>
    </row>
    <row r="3" spans="1:18" ht="90" thickBot="1">
      <c r="A3" s="1" t="s">
        <v>0</v>
      </c>
      <c r="B3" s="2" t="s">
        <v>1</v>
      </c>
      <c r="C3" s="2" t="s">
        <v>2</v>
      </c>
      <c r="D3" s="2" t="s">
        <v>3</v>
      </c>
      <c r="E3" s="15" t="s">
        <v>9</v>
      </c>
      <c r="F3" s="2" t="s">
        <v>10</v>
      </c>
      <c r="G3" s="2" t="s">
        <v>11</v>
      </c>
      <c r="H3" s="107" t="s">
        <v>12</v>
      </c>
      <c r="I3" s="15" t="s">
        <v>13</v>
      </c>
      <c r="J3" s="2" t="s">
        <v>14</v>
      </c>
      <c r="K3" s="2" t="s">
        <v>4</v>
      </c>
      <c r="L3" s="18" t="s">
        <v>5</v>
      </c>
      <c r="M3" s="15" t="s">
        <v>192</v>
      </c>
      <c r="N3" s="2" t="s">
        <v>193</v>
      </c>
      <c r="O3" s="2" t="s">
        <v>194</v>
      </c>
      <c r="P3" s="18" t="s">
        <v>195</v>
      </c>
      <c r="Q3" s="20" t="s">
        <v>15</v>
      </c>
      <c r="R3" s="21" t="s">
        <v>6</v>
      </c>
    </row>
    <row r="4" spans="1:18" ht="12.75">
      <c r="A4" s="108" t="s">
        <v>236</v>
      </c>
      <c r="B4" s="191">
        <f>B8+B12</f>
        <v>61.9</v>
      </c>
      <c r="C4" s="192">
        <v>10</v>
      </c>
      <c r="D4" s="193">
        <f>D8+D12</f>
        <v>0.125342921435248</v>
      </c>
      <c r="E4" s="194">
        <f>D4*10^9/(B4*10^6)</f>
        <v>2.024926032879612</v>
      </c>
      <c r="F4" s="195">
        <f>E4*10^6/10958</f>
        <v>184.7897456542811</v>
      </c>
      <c r="G4" s="196">
        <f>E4</f>
        <v>2.024926032879612</v>
      </c>
      <c r="H4" s="197">
        <f>G4*10^6/10958</f>
        <v>184.7897456542811</v>
      </c>
      <c r="I4" s="198"/>
      <c r="J4" s="192"/>
      <c r="K4" s="192"/>
      <c r="L4" s="192"/>
      <c r="M4" s="198"/>
      <c r="N4" s="199"/>
      <c r="O4" s="199"/>
      <c r="P4" s="200"/>
      <c r="Q4" s="201"/>
      <c r="R4" s="202" t="s">
        <v>256</v>
      </c>
    </row>
    <row r="5" spans="1:18" ht="12.75">
      <c r="A5" s="203" t="s">
        <v>25</v>
      </c>
      <c r="B5" s="204"/>
      <c r="C5" s="205">
        <v>10</v>
      </c>
      <c r="D5" s="206">
        <f>D9+D13</f>
        <v>0.125342921435248</v>
      </c>
      <c r="E5" s="207"/>
      <c r="F5" s="205"/>
      <c r="G5" s="205" t="s">
        <v>16</v>
      </c>
      <c r="H5" s="204"/>
      <c r="I5" s="208"/>
      <c r="J5" s="205"/>
      <c r="K5" s="205"/>
      <c r="L5" s="205"/>
      <c r="M5" s="209">
        <f>M9*B8/B4+M15*B12/B4</f>
        <v>0.736772453099736</v>
      </c>
      <c r="N5" s="210">
        <f>(1-M5)*$G$4</f>
        <v>0.5330163122893835</v>
      </c>
      <c r="O5" s="210">
        <f>$B$4*(G$4-N5)/10^3</f>
        <v>0.09234921170453515</v>
      </c>
      <c r="P5" s="211">
        <f>22*O5-(C5/2)*O5</f>
        <v>1.5699365989770975</v>
      </c>
      <c r="Q5" s="212"/>
      <c r="R5" s="213"/>
    </row>
    <row r="6" spans="1:18" ht="12.75">
      <c r="A6" s="203" t="s">
        <v>237</v>
      </c>
      <c r="B6" s="204"/>
      <c r="C6" s="205">
        <v>10</v>
      </c>
      <c r="D6" s="206">
        <f>D10+D14</f>
        <v>0.125342921435248</v>
      </c>
      <c r="E6" s="207"/>
      <c r="F6" s="205"/>
      <c r="G6" s="205" t="s">
        <v>16</v>
      </c>
      <c r="H6" s="204"/>
      <c r="I6" s="208"/>
      <c r="J6" s="205"/>
      <c r="K6" s="205"/>
      <c r="L6" s="205"/>
      <c r="M6" s="209">
        <f>M10*B8/B4+M14*B12/B4</f>
        <v>0.5120191763219336</v>
      </c>
      <c r="N6" s="210">
        <f>(1-M6)*$G$4</f>
        <v>0.9881250734117525</v>
      </c>
      <c r="O6" s="210">
        <f>$B$4*(G$4-N6)/10^3</f>
        <v>0.06417797939106051</v>
      </c>
      <c r="P6" s="211">
        <f>22*O6-(C6/2)*O6</f>
        <v>1.0910256496480288</v>
      </c>
      <c r="Q6" s="212"/>
      <c r="R6" s="213"/>
    </row>
    <row r="7" spans="1:18" ht="12.75">
      <c r="A7" s="203" t="s">
        <v>238</v>
      </c>
      <c r="B7" s="204"/>
      <c r="C7" s="205">
        <f>C6</f>
        <v>10</v>
      </c>
      <c r="D7" s="206">
        <f>D6</f>
        <v>0.125342921435248</v>
      </c>
      <c r="E7" s="207"/>
      <c r="F7" s="205"/>
      <c r="G7" s="205" t="s">
        <v>16</v>
      </c>
      <c r="H7" s="204"/>
      <c r="I7" s="208"/>
      <c r="J7" s="205"/>
      <c r="K7" s="205"/>
      <c r="L7" s="205"/>
      <c r="M7" s="209">
        <f>M13*B12/B4+M11*B8/B4</f>
        <v>0.21234814061819696</v>
      </c>
      <c r="N7" s="210">
        <f>(1-M7)*$G$4</f>
        <v>1.5949367549082445</v>
      </c>
      <c r="O7" s="210">
        <f>$B$4*(G$4-N7)/10^3</f>
        <v>0.02661633630642766</v>
      </c>
      <c r="P7" s="211">
        <f>22*O7-(C7/2)*O7</f>
        <v>0.4524777172092702</v>
      </c>
      <c r="Q7" s="212"/>
      <c r="R7" s="213"/>
    </row>
    <row r="8" spans="1:18" ht="12.75">
      <c r="A8" s="215" t="s">
        <v>99</v>
      </c>
      <c r="B8" s="24">
        <v>13</v>
      </c>
      <c r="C8" s="3">
        <v>10</v>
      </c>
      <c r="D8" s="10">
        <f>E8*10^6*B8*10^6/10^15</f>
        <v>0.01994356</v>
      </c>
      <c r="E8" s="27">
        <f>10958*F8/10^6</f>
        <v>1.53412</v>
      </c>
      <c r="F8" s="24">
        <v>140</v>
      </c>
      <c r="G8" s="4">
        <f>E8</f>
        <v>1.53412</v>
      </c>
      <c r="H8" s="24">
        <f>G8*10^6/10958</f>
        <v>140</v>
      </c>
      <c r="I8" s="17">
        <f>'SetTopBox-stats'!M9</f>
        <v>0.4578696343402226</v>
      </c>
      <c r="J8" s="36">
        <f>(1-I8)*G8</f>
        <v>0.8316930365659776</v>
      </c>
      <c r="K8" s="37">
        <f>I8*D8</f>
        <v>0.00913155052464229</v>
      </c>
      <c r="L8" s="11">
        <f>+(22*K8)-(C8/2)*K8</f>
        <v>0.15523635891891893</v>
      </c>
      <c r="M8" s="16"/>
      <c r="N8" s="12"/>
      <c r="O8" s="13"/>
      <c r="P8" s="14" t="s">
        <v>16</v>
      </c>
      <c r="Q8" s="38"/>
      <c r="R8" s="117" t="s">
        <v>226</v>
      </c>
    </row>
    <row r="9" spans="1:18" ht="12.75">
      <c r="A9" s="115" t="s">
        <v>25</v>
      </c>
      <c r="B9" s="25"/>
      <c r="C9" s="3">
        <v>10</v>
      </c>
      <c r="D9" s="6">
        <f>D8</f>
        <v>0.01994356</v>
      </c>
      <c r="E9" s="26"/>
      <c r="F9" s="7"/>
      <c r="G9" s="7"/>
      <c r="H9" s="25"/>
      <c r="I9" s="16"/>
      <c r="J9" s="13"/>
      <c r="K9" s="13"/>
      <c r="L9" s="7"/>
      <c r="M9" s="32">
        <f>'SetTopBox-stats'!K9</f>
        <v>0.7249602543720192</v>
      </c>
      <c r="N9" s="5">
        <f>(1-M9)*$G$8</f>
        <v>0.4219439745627979</v>
      </c>
      <c r="O9" s="5">
        <f>B$8*(G$8-N9)/10^3</f>
        <v>0.014458288330683626</v>
      </c>
      <c r="P9" s="9">
        <f>22*O9-(C9/2)*O9</f>
        <v>0.24579090162162162</v>
      </c>
      <c r="Q9" s="33" t="s">
        <v>94</v>
      </c>
      <c r="R9" s="116"/>
    </row>
    <row r="10" spans="1:18" ht="12.75">
      <c r="A10" s="115" t="s">
        <v>93</v>
      </c>
      <c r="B10" s="25"/>
      <c r="C10" s="3">
        <v>10</v>
      </c>
      <c r="D10" s="6">
        <f>D8</f>
        <v>0.01994356</v>
      </c>
      <c r="E10" s="26"/>
      <c r="F10" s="7"/>
      <c r="G10" s="7"/>
      <c r="H10" s="25"/>
      <c r="I10" s="16"/>
      <c r="J10" s="13"/>
      <c r="K10" s="13"/>
      <c r="L10" s="7"/>
      <c r="M10" s="32">
        <f>'SetTopBox-stats'!L9</f>
        <v>0.43879173290937995</v>
      </c>
      <c r="N10" s="5">
        <f>(1-M10)*$G$8</f>
        <v>0.8609608267090619</v>
      </c>
      <c r="O10" s="5">
        <f>B$8*(G$8-N10)/10^3</f>
        <v>0.008751069252782195</v>
      </c>
      <c r="P10" s="9">
        <f>22*O10-(C10/2)*O10</f>
        <v>0.1487681772972973</v>
      </c>
      <c r="Q10" s="33" t="s">
        <v>94</v>
      </c>
      <c r="R10" s="116"/>
    </row>
    <row r="11" spans="1:18" ht="12.75">
      <c r="A11" s="115" t="s">
        <v>102</v>
      </c>
      <c r="B11" s="25"/>
      <c r="C11" s="3">
        <v>10</v>
      </c>
      <c r="D11" s="6">
        <f>D9</f>
        <v>0.01994356</v>
      </c>
      <c r="E11" s="26"/>
      <c r="F11" s="7"/>
      <c r="G11" s="7"/>
      <c r="H11" s="25"/>
      <c r="I11" s="16"/>
      <c r="J11" s="13"/>
      <c r="K11" s="13"/>
      <c r="L11" s="7"/>
      <c r="M11" s="32">
        <f>'SetTopBox-stats'!J9</f>
        <v>0.05723370429252791</v>
      </c>
      <c r="N11" s="5">
        <f>(1-M11)*$G$8</f>
        <v>1.446316629570747</v>
      </c>
      <c r="O11" s="5">
        <f>B$8*(G$8-N11)/10^3</f>
        <v>0.0011414438155802878</v>
      </c>
      <c r="P11" s="9">
        <f>22*O11-(C11/2)*O11</f>
        <v>0.019404544864864894</v>
      </c>
      <c r="Q11" s="33" t="s">
        <v>104</v>
      </c>
      <c r="R11" s="116"/>
    </row>
    <row r="12" spans="1:18" ht="25.5">
      <c r="A12" s="214" t="s">
        <v>239</v>
      </c>
      <c r="B12" s="24">
        <v>48.9</v>
      </c>
      <c r="C12" s="3">
        <v>10</v>
      </c>
      <c r="D12" s="10">
        <f>E12*10^6*B12*10^6/10^15</f>
        <v>0.105399361435248</v>
      </c>
      <c r="E12" s="27">
        <f>10958*F12/10^6</f>
        <v>2.15540616432</v>
      </c>
      <c r="F12" s="24">
        <f>'SetTopBox-stats'!B18</f>
        <v>196.69704000000002</v>
      </c>
      <c r="G12" s="4">
        <f>E12</f>
        <v>2.15540616432</v>
      </c>
      <c r="H12" s="24">
        <f>G12*10^6/10958</f>
        <v>196.69704</v>
      </c>
      <c r="I12" s="17">
        <f>'SetTopBox-stats'!F19</f>
        <v>0.28571746682105637</v>
      </c>
      <c r="J12" s="36">
        <f>(1-I12)*G12</f>
        <v>1.5395689750800001</v>
      </c>
      <c r="K12" s="37">
        <f>I12*D12</f>
        <v>0.030114438553835998</v>
      </c>
      <c r="L12" s="11">
        <f>+(22*K12)-(C12/2)*K12</f>
        <v>0.511945455415212</v>
      </c>
      <c r="M12" s="16"/>
      <c r="N12" s="12"/>
      <c r="O12" s="13"/>
      <c r="P12" s="14" t="s">
        <v>16</v>
      </c>
      <c r="Q12" s="38"/>
      <c r="R12" s="117" t="s">
        <v>226</v>
      </c>
    </row>
    <row r="13" spans="1:18" ht="12.75">
      <c r="A13" s="115" t="s">
        <v>200</v>
      </c>
      <c r="B13" s="25"/>
      <c r="C13" s="3">
        <f>C12</f>
        <v>10</v>
      </c>
      <c r="D13" s="6">
        <f>D12</f>
        <v>0.105399361435248</v>
      </c>
      <c r="E13" s="26"/>
      <c r="F13" s="7"/>
      <c r="G13" s="7"/>
      <c r="H13" s="25"/>
      <c r="I13" s="16"/>
      <c r="J13" s="13"/>
      <c r="K13" s="13"/>
      <c r="L13" s="7"/>
      <c r="M13" s="32">
        <f>'SetTopBox-stats'!G19</f>
        <v>0.2535851073305425</v>
      </c>
      <c r="N13" s="4">
        <f>$G$12*(1-M13)</f>
        <v>1.6088272607999998</v>
      </c>
      <c r="O13" s="99">
        <f>($G$12-N13)*$B$12*10^12/10^15</f>
        <v>0.02672770838212801</v>
      </c>
      <c r="P13" s="9">
        <f>22*O13-(C13/2)*O13</f>
        <v>0.4543710424961761</v>
      </c>
      <c r="Q13" s="33" t="s">
        <v>203</v>
      </c>
      <c r="R13" s="116"/>
    </row>
    <row r="14" spans="1:18" ht="12.75">
      <c r="A14" s="115" t="s">
        <v>201</v>
      </c>
      <c r="B14" s="25"/>
      <c r="C14" s="3">
        <f>C12</f>
        <v>10</v>
      </c>
      <c r="D14" s="6">
        <f>D12</f>
        <v>0.105399361435248</v>
      </c>
      <c r="E14" s="26"/>
      <c r="F14" s="7"/>
      <c r="G14" s="7"/>
      <c r="H14" s="25"/>
      <c r="I14" s="16"/>
      <c r="J14" s="13"/>
      <c r="K14" s="13"/>
      <c r="L14" s="7"/>
      <c r="M14" s="32">
        <f>'SetTopBox-stats'!E19</f>
        <v>0.5314865948160685</v>
      </c>
      <c r="N14" s="4">
        <f>$G$12*(1-M14)</f>
        <v>1.0098366815999997</v>
      </c>
      <c r="O14" s="99">
        <f>($G$12-N14)*$B$12*10^12/10^15</f>
        <v>0.056018347705008006</v>
      </c>
      <c r="P14" s="9">
        <f>22*O14-(C14/2)*O14</f>
        <v>0.9523119109851361</v>
      </c>
      <c r="Q14" s="33" t="s">
        <v>202</v>
      </c>
      <c r="R14" s="116"/>
    </row>
    <row r="15" spans="1:18" ht="13.5" thickBot="1">
      <c r="A15" s="118" t="s">
        <v>199</v>
      </c>
      <c r="B15" s="119"/>
      <c r="C15" s="120">
        <f>C12</f>
        <v>10</v>
      </c>
      <c r="D15" s="121">
        <f>D12</f>
        <v>0.105399361435248</v>
      </c>
      <c r="E15" s="122"/>
      <c r="F15" s="123"/>
      <c r="G15" s="123"/>
      <c r="H15" s="119"/>
      <c r="I15" s="124"/>
      <c r="J15" s="125"/>
      <c r="K15" s="125"/>
      <c r="L15" s="123"/>
      <c r="M15" s="126">
        <f>'SetTopBox-stats'!D19</f>
        <v>0.7399127104302129</v>
      </c>
      <c r="N15" s="127">
        <f>$G$12*(1-M15)</f>
        <v>0.5605937472</v>
      </c>
      <c r="O15" s="128">
        <f>($G$12-N15)*$B$12*10^12/10^15</f>
        <v>0.077986327197168</v>
      </c>
      <c r="P15" s="129">
        <f>22*O15-(C15/2)*O15</f>
        <v>1.3257675623518559</v>
      </c>
      <c r="Q15" s="130" t="s">
        <v>202</v>
      </c>
      <c r="R15" s="131"/>
    </row>
    <row r="16" spans="1:18" ht="12.75">
      <c r="A16" s="108" t="s">
        <v>65</v>
      </c>
      <c r="B16" s="111">
        <v>47</v>
      </c>
      <c r="C16" s="109">
        <v>7</v>
      </c>
      <c r="D16" s="133">
        <f>E16*10^6*B16*10^6/10^15</f>
        <v>0.05665286</v>
      </c>
      <c r="E16" s="216">
        <f>10958*F16/10^6</f>
        <v>1.20538</v>
      </c>
      <c r="F16" s="111">
        <v>110</v>
      </c>
      <c r="G16" s="110">
        <f>E16</f>
        <v>1.20538</v>
      </c>
      <c r="H16" s="111">
        <f>G16*10^6/10958</f>
        <v>110</v>
      </c>
      <c r="I16" s="217">
        <f>'CompactAudio-stats'!F13</f>
        <v>0.5743785084202085</v>
      </c>
      <c r="J16" s="136">
        <f>(1-I16)*G16</f>
        <v>0.513035633520449</v>
      </c>
      <c r="K16" s="137">
        <f>I16*D16</f>
        <v>0.032540185224538894</v>
      </c>
      <c r="L16" s="138">
        <f>+(22*K16)-(C16/2)*K16</f>
        <v>0.6019934266539695</v>
      </c>
      <c r="M16" s="112"/>
      <c r="N16" s="113"/>
      <c r="O16" s="139"/>
      <c r="P16" s="140" t="s">
        <v>16</v>
      </c>
      <c r="Q16" s="141"/>
      <c r="R16" s="114" t="s">
        <v>257</v>
      </c>
    </row>
    <row r="17" spans="1:18" ht="12.75">
      <c r="A17" s="115" t="s">
        <v>25</v>
      </c>
      <c r="B17" s="25"/>
      <c r="C17" s="3">
        <f>C16</f>
        <v>7</v>
      </c>
      <c r="D17" s="6">
        <f>D16</f>
        <v>0.05665286</v>
      </c>
      <c r="E17" s="26"/>
      <c r="F17" s="7"/>
      <c r="G17" s="7"/>
      <c r="H17" s="25"/>
      <c r="I17" s="16"/>
      <c r="J17" s="13"/>
      <c r="K17" s="13"/>
      <c r="L17" s="7"/>
      <c r="M17" s="32">
        <f>'CompactAudio-stats'!E13</f>
        <v>0.529270248596632</v>
      </c>
      <c r="N17" s="5">
        <f>(1-M17)*G$16</f>
        <v>0.5674082277465917</v>
      </c>
      <c r="O17" s="5">
        <f>B$16*(G$16-N17)/10^3</f>
        <v>0.029984673295910185</v>
      </c>
      <c r="P17" s="9">
        <f>'CompactAudio-stats'!E13</f>
        <v>0.529270248596632</v>
      </c>
      <c r="Q17" s="33" t="s">
        <v>70</v>
      </c>
      <c r="R17" s="116"/>
    </row>
    <row r="18" spans="1:18" ht="12.75">
      <c r="A18" s="115" t="s">
        <v>89</v>
      </c>
      <c r="B18" s="25"/>
      <c r="C18" s="3">
        <f>C16</f>
        <v>7</v>
      </c>
      <c r="D18" s="6">
        <f>D16</f>
        <v>0.05665286</v>
      </c>
      <c r="E18" s="26"/>
      <c r="F18" s="7"/>
      <c r="G18" s="7"/>
      <c r="H18" s="25"/>
      <c r="I18" s="16"/>
      <c r="J18" s="13"/>
      <c r="K18" s="13"/>
      <c r="L18" s="7"/>
      <c r="M18" s="32">
        <f>'CompactAudio-stats'!F13</f>
        <v>0.5743785084202085</v>
      </c>
      <c r="N18" s="5">
        <f>(1-M18)*G$16</f>
        <v>0.513035633520449</v>
      </c>
      <c r="O18" s="5">
        <f>B$16*(G$16-N18)/10^3</f>
        <v>0.032540185224538894</v>
      </c>
      <c r="P18" s="9">
        <f>'CompactAudio-stats'!F13</f>
        <v>0.5743785084202085</v>
      </c>
      <c r="Q18" s="33" t="s">
        <v>70</v>
      </c>
      <c r="R18" s="116" t="s">
        <v>149</v>
      </c>
    </row>
    <row r="19" spans="1:18" ht="13.5" thickBot="1">
      <c r="A19" s="118" t="s">
        <v>68</v>
      </c>
      <c r="B19" s="119"/>
      <c r="C19" s="120">
        <f>C17</f>
        <v>7</v>
      </c>
      <c r="D19" s="121">
        <f>D17</f>
        <v>0.05665286</v>
      </c>
      <c r="E19" s="122"/>
      <c r="F19" s="123"/>
      <c r="G19" s="123"/>
      <c r="H19" s="119"/>
      <c r="I19" s="124"/>
      <c r="J19" s="125"/>
      <c r="K19" s="125"/>
      <c r="L19" s="123"/>
      <c r="M19" s="126">
        <f>'CompactAudio-stats'!D13</f>
        <v>0.46912590216519656</v>
      </c>
      <c r="N19" s="150">
        <f>(1-M19)*G$16</f>
        <v>0.6399050200481153</v>
      </c>
      <c r="O19" s="150">
        <f>B$16*(G$16-N19)/10^3</f>
        <v>0.026577324057738577</v>
      </c>
      <c r="P19" s="129">
        <f>'CompactAudio-stats'!D13</f>
        <v>0.46912590216519656</v>
      </c>
      <c r="Q19" s="130" t="s">
        <v>70</v>
      </c>
      <c r="R19" s="131" t="s">
        <v>16</v>
      </c>
    </row>
    <row r="20" spans="1:18" ht="12.75" hidden="1">
      <c r="A20" s="44" t="s">
        <v>133</v>
      </c>
      <c r="B20" s="24">
        <f>'[1]MiscResidential'!$C$8</f>
        <v>41.7</v>
      </c>
      <c r="C20" s="3">
        <f>'[1]MiscResidential'!$D$8</f>
        <v>17</v>
      </c>
      <c r="D20" s="10">
        <f>E20*10^6*B20*10^6/10^15</f>
        <v>0.18277944</v>
      </c>
      <c r="E20" s="27">
        <f>10958*F20/10^6</f>
        <v>4.3832</v>
      </c>
      <c r="F20" s="24">
        <v>400</v>
      </c>
      <c r="G20" s="4">
        <f>E20</f>
        <v>4.3832</v>
      </c>
      <c r="H20" s="24">
        <f>G20*10^6/10958</f>
        <v>400</v>
      </c>
      <c r="I20" s="28" t="s">
        <v>16</v>
      </c>
      <c r="J20" s="36" t="e">
        <f>(1-I20)*G20</f>
        <v>#VALUE!</v>
      </c>
      <c r="K20" s="37" t="e">
        <f>I20*D20</f>
        <v>#VALUE!</v>
      </c>
      <c r="L20" s="11" t="e">
        <f>+(22*K20)-(C20/2)*K20</f>
        <v>#VALUE!</v>
      </c>
      <c r="M20" s="16"/>
      <c r="N20" s="12"/>
      <c r="O20" s="13"/>
      <c r="P20" s="14" t="s">
        <v>16</v>
      </c>
      <c r="Q20" s="38"/>
      <c r="R20" s="23" t="s">
        <v>80</v>
      </c>
    </row>
    <row r="21" spans="1:18" ht="12.75" hidden="1">
      <c r="A21" s="29" t="s">
        <v>81</v>
      </c>
      <c r="B21" s="25"/>
      <c r="C21" s="3">
        <f aca="true" t="shared" si="0" ref="C21:D25">C20</f>
        <v>17</v>
      </c>
      <c r="D21" s="6">
        <f t="shared" si="0"/>
        <v>0.18277944</v>
      </c>
      <c r="E21" s="26"/>
      <c r="F21" s="7"/>
      <c r="G21" s="7"/>
      <c r="H21" s="25"/>
      <c r="I21" s="16"/>
      <c r="J21" s="13"/>
      <c r="K21" s="13"/>
      <c r="L21" s="7"/>
      <c r="M21" s="52">
        <f>(1/0.6-1/0.7)/(1/0.6)</f>
        <v>0.14285714285714288</v>
      </c>
      <c r="N21" s="5">
        <f>(1-M21)*G$20</f>
        <v>3.7570285714285716</v>
      </c>
      <c r="O21" s="5">
        <f>B$20*(G$20-N21)/10^3</f>
        <v>0.02611134857142858</v>
      </c>
      <c r="P21" s="9">
        <f>22*O21-(C21/2)*O21</f>
        <v>0.35250320571428584</v>
      </c>
      <c r="Q21" s="33" t="s">
        <v>70</v>
      </c>
      <c r="R21" s="23" t="s">
        <v>82</v>
      </c>
    </row>
    <row r="22" spans="1:18" ht="12.75" hidden="1">
      <c r="A22" s="8" t="s">
        <v>79</v>
      </c>
      <c r="B22" s="25"/>
      <c r="C22" s="3">
        <f t="shared" si="0"/>
        <v>17</v>
      </c>
      <c r="D22" s="6">
        <f t="shared" si="0"/>
        <v>0.18277944</v>
      </c>
      <c r="E22" s="26"/>
      <c r="F22" s="7"/>
      <c r="G22" s="7"/>
      <c r="H22" s="25"/>
      <c r="I22" s="16"/>
      <c r="J22" s="13"/>
      <c r="K22" s="13"/>
      <c r="L22" s="7"/>
      <c r="M22" s="32">
        <v>0.25</v>
      </c>
      <c r="N22" s="5">
        <f>(1-M22)*G$20</f>
        <v>3.2874000000000003</v>
      </c>
      <c r="O22" s="5">
        <f>B$20*(G$20-N22)/10^3</f>
        <v>0.045694860000000004</v>
      </c>
      <c r="P22" s="9">
        <f>22*O22-(C22/2)*O22</f>
        <v>0.61688061</v>
      </c>
      <c r="Q22" s="33" t="s">
        <v>84</v>
      </c>
      <c r="R22" s="23" t="s">
        <v>82</v>
      </c>
    </row>
    <row r="23" spans="1:18" ht="12.75" hidden="1">
      <c r="A23" s="8" t="s">
        <v>77</v>
      </c>
      <c r="B23" s="25"/>
      <c r="C23" s="3">
        <f t="shared" si="0"/>
        <v>17</v>
      </c>
      <c r="D23" s="6">
        <f t="shared" si="0"/>
        <v>0.18277944</v>
      </c>
      <c r="E23" s="26"/>
      <c r="F23" s="7"/>
      <c r="G23" s="7"/>
      <c r="H23" s="25"/>
      <c r="I23" s="16"/>
      <c r="J23" s="13"/>
      <c r="K23" s="13"/>
      <c r="L23" s="7"/>
      <c r="M23" s="19"/>
      <c r="N23" s="5">
        <f>(1-M23)*G$20</f>
        <v>4.3832</v>
      </c>
      <c r="O23" s="5">
        <f>B$20*(G$20-N23)/10^3</f>
        <v>0</v>
      </c>
      <c r="P23" s="9">
        <f>22*O23-(C23/2)*O23</f>
        <v>0</v>
      </c>
      <c r="Q23" s="33" t="s">
        <v>70</v>
      </c>
      <c r="R23" s="23"/>
    </row>
    <row r="24" spans="1:18" ht="12.75" hidden="1">
      <c r="A24" s="8" t="s">
        <v>78</v>
      </c>
      <c r="B24" s="25"/>
      <c r="C24" s="3">
        <f t="shared" si="0"/>
        <v>17</v>
      </c>
      <c r="D24" s="6">
        <f t="shared" si="0"/>
        <v>0.18277944</v>
      </c>
      <c r="E24" s="26"/>
      <c r="F24" s="7"/>
      <c r="G24" s="7"/>
      <c r="H24" s="25"/>
      <c r="I24" s="16"/>
      <c r="J24" s="13"/>
      <c r="K24" s="13"/>
      <c r="L24" s="7"/>
      <c r="M24" s="52">
        <f>0.75*M25</f>
        <v>0.5625</v>
      </c>
      <c r="N24" s="5">
        <f>(1-M24)*G$20</f>
        <v>1.91765</v>
      </c>
      <c r="O24" s="5">
        <f>B$20*(G$20-N24)/10^3</f>
        <v>0.10281343500000002</v>
      </c>
      <c r="P24" s="9">
        <f>22*O24-(C24/2)*O24</f>
        <v>1.3879813725000003</v>
      </c>
      <c r="Q24" s="33" t="s">
        <v>70</v>
      </c>
      <c r="R24" s="23" t="s">
        <v>82</v>
      </c>
    </row>
    <row r="25" spans="1:18" ht="12.75" hidden="1">
      <c r="A25" s="8" t="s">
        <v>83</v>
      </c>
      <c r="B25" s="25"/>
      <c r="C25" s="3">
        <f t="shared" si="0"/>
        <v>17</v>
      </c>
      <c r="D25" s="6">
        <f t="shared" si="0"/>
        <v>0.18277944</v>
      </c>
      <c r="E25" s="26"/>
      <c r="F25" s="7"/>
      <c r="G25" s="7"/>
      <c r="H25" s="25"/>
      <c r="I25" s="16"/>
      <c r="J25" s="13"/>
      <c r="K25" s="13"/>
      <c r="L25" s="7"/>
      <c r="M25" s="32">
        <v>0.75</v>
      </c>
      <c r="N25" s="5">
        <f>(1-M25)*G$20</f>
        <v>1.0958</v>
      </c>
      <c r="O25" s="5">
        <f>B$20*(G$20-N25)/10^3</f>
        <v>0.13708458</v>
      </c>
      <c r="P25" s="9">
        <f>22*O25-(C25/2)*O25</f>
        <v>1.8506418300000003</v>
      </c>
      <c r="Q25" s="33" t="s">
        <v>70</v>
      </c>
      <c r="R25" s="23" t="s">
        <v>82</v>
      </c>
    </row>
    <row r="26" spans="1:18" ht="33" customHeight="1">
      <c r="A26" s="108" t="s">
        <v>235</v>
      </c>
      <c r="B26" s="111">
        <f>Microwaves!B29/1000000</f>
        <v>78.090809</v>
      </c>
      <c r="C26" s="109">
        <f>Microwaves!B28</f>
        <v>8</v>
      </c>
      <c r="D26" s="133">
        <f>E26*10^6*B26*10^6/10^15</f>
        <v>0.1154645721554565</v>
      </c>
      <c r="E26" s="216">
        <f>10958*F26/10^6</f>
        <v>1.4785936223999998</v>
      </c>
      <c r="F26" s="111">
        <f>Microwaves!B6</f>
        <v>134.9328</v>
      </c>
      <c r="G26" s="110">
        <f>E26</f>
        <v>1.4785936223999998</v>
      </c>
      <c r="H26" s="111">
        <f>G26*10^6/10958</f>
        <v>134.9328</v>
      </c>
      <c r="I26" s="217">
        <v>0</v>
      </c>
      <c r="J26" s="136">
        <f>(1-I26)*G26</f>
        <v>1.4785936223999998</v>
      </c>
      <c r="K26" s="137">
        <f>I26*D26</f>
        <v>0</v>
      </c>
      <c r="L26" s="138">
        <f>+(22*K26)-(C26/2)*K26</f>
        <v>0</v>
      </c>
      <c r="M26" s="112"/>
      <c r="N26" s="113"/>
      <c r="O26" s="139"/>
      <c r="P26" s="140" t="s">
        <v>16</v>
      </c>
      <c r="Q26" s="141"/>
      <c r="R26" s="114" t="s">
        <v>18</v>
      </c>
    </row>
    <row r="27" spans="1:18" ht="12.75">
      <c r="A27" s="115" t="s">
        <v>169</v>
      </c>
      <c r="B27" s="25"/>
      <c r="C27" s="3">
        <f aca="true" t="shared" si="1" ref="C27:D32">C26</f>
        <v>8</v>
      </c>
      <c r="D27" s="6">
        <f t="shared" si="1"/>
        <v>0.1154645721554565</v>
      </c>
      <c r="E27" s="26"/>
      <c r="F27" s="7"/>
      <c r="G27" s="7"/>
      <c r="H27" s="25"/>
      <c r="I27" s="16"/>
      <c r="J27" s="13"/>
      <c r="K27" s="13"/>
      <c r="L27" s="7"/>
      <c r="M27" s="102">
        <f>Microwaves!F7</f>
        <v>0.1352139731777595</v>
      </c>
      <c r="N27" s="5">
        <f aca="true" t="shared" si="2" ref="N27:N32">(1-M27)*G$26</f>
        <v>1.278667104</v>
      </c>
      <c r="O27" s="5">
        <f aca="true" t="shared" si="3" ref="O27:O32">B$26*(G$26-N27)/10^3</f>
        <v>0.015612423562409375</v>
      </c>
      <c r="P27" s="9">
        <f aca="true" t="shared" si="4" ref="P27:P32">22*O27-(C27/2)*O27</f>
        <v>0.2810236241233688</v>
      </c>
      <c r="Q27" s="33" t="s">
        <v>70</v>
      </c>
      <c r="R27" s="116" t="s">
        <v>228</v>
      </c>
    </row>
    <row r="28" spans="1:18" ht="12.75" hidden="1">
      <c r="A28" s="219" t="s">
        <v>134</v>
      </c>
      <c r="B28" s="24">
        <f>'[1]MiscResidential'!$C$10</f>
        <v>5.08</v>
      </c>
      <c r="C28" s="3">
        <f t="shared" si="1"/>
        <v>8</v>
      </c>
      <c r="D28" s="6">
        <f t="shared" si="1"/>
        <v>0.1154645721554565</v>
      </c>
      <c r="E28" s="27">
        <f>10958*F28/10^6</f>
        <v>8.65682</v>
      </c>
      <c r="F28" s="24">
        <v>790</v>
      </c>
      <c r="G28" s="4">
        <f>E28</f>
        <v>8.65682</v>
      </c>
      <c r="H28" s="24">
        <f>G28*10^6/10958</f>
        <v>790</v>
      </c>
      <c r="I28" s="28" t="s">
        <v>16</v>
      </c>
      <c r="J28" s="36" t="e">
        <f>(1-I28)*G28</f>
        <v>#VALUE!</v>
      </c>
      <c r="K28" s="37" t="e">
        <f>I28*D28</f>
        <v>#VALUE!</v>
      </c>
      <c r="L28" s="11" t="e">
        <f>+(22*K28)-(C28/2)*K28</f>
        <v>#VALUE!</v>
      </c>
      <c r="M28" s="103"/>
      <c r="N28" s="5">
        <f t="shared" si="2"/>
        <v>1.4785936223999998</v>
      </c>
      <c r="O28" s="5">
        <f t="shared" si="3"/>
        <v>0</v>
      </c>
      <c r="P28" s="9">
        <f t="shared" si="4"/>
        <v>0</v>
      </c>
      <c r="Q28" s="33" t="s">
        <v>70</v>
      </c>
      <c r="R28" s="117" t="s">
        <v>18</v>
      </c>
    </row>
    <row r="29" spans="1:18" ht="12.75" hidden="1">
      <c r="A29" s="115" t="s">
        <v>17</v>
      </c>
      <c r="B29" s="25"/>
      <c r="C29" s="3">
        <f t="shared" si="1"/>
        <v>8</v>
      </c>
      <c r="D29" s="6">
        <f t="shared" si="1"/>
        <v>0.1154645721554565</v>
      </c>
      <c r="E29" s="26"/>
      <c r="F29" s="7"/>
      <c r="G29" s="7"/>
      <c r="H29" s="25"/>
      <c r="I29" s="16"/>
      <c r="J29" s="13"/>
      <c r="K29" s="13"/>
      <c r="L29" s="7"/>
      <c r="M29" s="102"/>
      <c r="N29" s="5">
        <f t="shared" si="2"/>
        <v>1.4785936223999998</v>
      </c>
      <c r="O29" s="5">
        <f t="shared" si="3"/>
        <v>0</v>
      </c>
      <c r="P29" s="9">
        <f t="shared" si="4"/>
        <v>0</v>
      </c>
      <c r="Q29" s="33" t="s">
        <v>70</v>
      </c>
      <c r="R29" s="116"/>
    </row>
    <row r="30" spans="1:18" ht="12.75">
      <c r="A30" s="115" t="s">
        <v>230</v>
      </c>
      <c r="B30" s="25"/>
      <c r="C30" s="3">
        <f t="shared" si="1"/>
        <v>8</v>
      </c>
      <c r="D30" s="6">
        <f t="shared" si="1"/>
        <v>0.1154645721554565</v>
      </c>
      <c r="E30" s="26"/>
      <c r="F30" s="7"/>
      <c r="G30" s="7"/>
      <c r="H30" s="25"/>
      <c r="I30" s="16"/>
      <c r="J30" s="13"/>
      <c r="K30" s="13"/>
      <c r="L30" s="7"/>
      <c r="M30" s="102">
        <f>Microwaves!C7</f>
        <v>0.012806374728753935</v>
      </c>
      <c r="N30" s="5">
        <f t="shared" si="2"/>
        <v>1.4596581983999997</v>
      </c>
      <c r="O30" s="5">
        <f t="shared" si="3"/>
        <v>0.001478682578918027</v>
      </c>
      <c r="P30" s="9">
        <f t="shared" si="4"/>
        <v>0.026616286420524486</v>
      </c>
      <c r="Q30" s="33" t="s">
        <v>70</v>
      </c>
      <c r="R30" s="116" t="s">
        <v>228</v>
      </c>
    </row>
    <row r="31" spans="1:18" ht="12.75">
      <c r="A31" s="115" t="s">
        <v>231</v>
      </c>
      <c r="B31" s="25"/>
      <c r="C31" s="3">
        <f t="shared" si="1"/>
        <v>8</v>
      </c>
      <c r="D31" s="6">
        <f t="shared" si="1"/>
        <v>0.1154645721554565</v>
      </c>
      <c r="E31" s="26"/>
      <c r="F31" s="7"/>
      <c r="G31" s="7"/>
      <c r="H31" s="25"/>
      <c r="I31" s="16"/>
      <c r="J31" s="13"/>
      <c r="K31" s="13"/>
      <c r="L31" s="7"/>
      <c r="M31" s="102">
        <f>Microwaves!E7</f>
        <v>0.007203585784924114</v>
      </c>
      <c r="N31" s="5">
        <f t="shared" si="2"/>
        <v>1.4679424463999997</v>
      </c>
      <c r="O31" s="5">
        <f t="shared" si="3"/>
        <v>0.0008317589506413914</v>
      </c>
      <c r="P31" s="9">
        <f t="shared" si="4"/>
        <v>0.014971661111545045</v>
      </c>
      <c r="Q31" s="33" t="s">
        <v>70</v>
      </c>
      <c r="R31" s="116" t="s">
        <v>228</v>
      </c>
    </row>
    <row r="32" spans="1:18" ht="13.5" thickBot="1">
      <c r="A32" s="118" t="s">
        <v>229</v>
      </c>
      <c r="B32" s="119"/>
      <c r="C32" s="120">
        <f t="shared" si="1"/>
        <v>8</v>
      </c>
      <c r="D32" s="121">
        <f t="shared" si="1"/>
        <v>0.1154645721554565</v>
      </c>
      <c r="E32" s="122"/>
      <c r="F32" s="123"/>
      <c r="G32" s="123"/>
      <c r="H32" s="119"/>
      <c r="I32" s="124"/>
      <c r="J32" s="125"/>
      <c r="K32" s="125"/>
      <c r="L32" s="123"/>
      <c r="M32" s="220">
        <f>Microwaves!D7</f>
        <v>0.025612749457507657</v>
      </c>
      <c r="N32" s="150">
        <f t="shared" si="2"/>
        <v>1.4407227744</v>
      </c>
      <c r="O32" s="150">
        <f t="shared" si="3"/>
        <v>0.0029573651578360194</v>
      </c>
      <c r="P32" s="129">
        <f t="shared" si="4"/>
        <v>0.05323257284104835</v>
      </c>
      <c r="Q32" s="130" t="s">
        <v>70</v>
      </c>
      <c r="R32" s="131" t="s">
        <v>228</v>
      </c>
    </row>
    <row r="33" spans="1:18" ht="12.75">
      <c r="A33" s="108" t="s">
        <v>234</v>
      </c>
      <c r="B33" s="111">
        <v>74</v>
      </c>
      <c r="C33" s="109">
        <v>7</v>
      </c>
      <c r="D33" s="133">
        <f>E33*10^6*B33*10^6/10^15</f>
        <v>0.10470432118079999</v>
      </c>
      <c r="E33" s="216">
        <f>10958*F33/10^6</f>
        <v>1.4149232592</v>
      </c>
      <c r="F33" s="111">
        <f>'RACKAudio-stats'!D11</f>
        <v>129.1224</v>
      </c>
      <c r="G33" s="110">
        <f>E33</f>
        <v>1.4149232592</v>
      </c>
      <c r="H33" s="111">
        <f>G33*10^6/10958</f>
        <v>129.1224</v>
      </c>
      <c r="I33" s="217">
        <f>M36</f>
        <v>0.139416553595658</v>
      </c>
      <c r="J33" s="136">
        <f>(1-I33)*G33</f>
        <v>1.2176595348</v>
      </c>
      <c r="K33" s="137">
        <f>I33*D33</f>
        <v>0.01459751560559999</v>
      </c>
      <c r="L33" s="138">
        <f>+(22*K33)-(C33/2)*K33</f>
        <v>0.2700540387035998</v>
      </c>
      <c r="M33" s="112"/>
      <c r="N33" s="113"/>
      <c r="O33" s="139"/>
      <c r="P33" s="140" t="s">
        <v>16</v>
      </c>
      <c r="Q33" s="141"/>
      <c r="R33" s="114" t="s">
        <v>257</v>
      </c>
    </row>
    <row r="34" spans="1:18" ht="12.75">
      <c r="A34" s="115" t="s">
        <v>25</v>
      </c>
      <c r="B34" s="25"/>
      <c r="C34" s="3">
        <f aca="true" t="shared" si="5" ref="C34:D36">C33</f>
        <v>7</v>
      </c>
      <c r="D34" s="6">
        <f t="shared" si="5"/>
        <v>0.10470432118079999</v>
      </c>
      <c r="E34" s="26"/>
      <c r="F34" s="7"/>
      <c r="G34" s="7"/>
      <c r="H34" s="25"/>
      <c r="I34" s="16"/>
      <c r="J34" s="13"/>
      <c r="K34" s="13"/>
      <c r="L34" s="7"/>
      <c r="M34" s="32">
        <f>'RACKAudio-stats'!F12</f>
        <v>0.10176390773405689</v>
      </c>
      <c r="N34" s="5">
        <f>(1-M34)*G$33</f>
        <v>1.2709351392000003</v>
      </c>
      <c r="O34" s="99">
        <f>B$33*(G$33-N34)/10^3</f>
        <v>0.010655120879999978</v>
      </c>
      <c r="P34" s="9">
        <f>22*O34-(C34/2)*O34</f>
        <v>0.1971197362799996</v>
      </c>
      <c r="Q34" s="33" t="s">
        <v>70</v>
      </c>
      <c r="R34" s="116"/>
    </row>
    <row r="35" spans="1:18" ht="12.75">
      <c r="A35" s="115" t="s">
        <v>68</v>
      </c>
      <c r="B35" s="25"/>
      <c r="C35" s="3">
        <f t="shared" si="5"/>
        <v>7</v>
      </c>
      <c r="D35" s="6">
        <f t="shared" si="5"/>
        <v>0.10470432118079999</v>
      </c>
      <c r="E35" s="26"/>
      <c r="F35" s="7"/>
      <c r="G35" s="7"/>
      <c r="H35" s="25"/>
      <c r="I35" s="16"/>
      <c r="J35" s="13"/>
      <c r="K35" s="13"/>
      <c r="L35" s="7"/>
      <c r="M35" s="32">
        <f>'RACKAudio-stats'!E12</f>
        <v>0.05088195386702844</v>
      </c>
      <c r="N35" s="5">
        <f>(1-M35)*G$33</f>
        <v>1.3429291992</v>
      </c>
      <c r="O35" s="99">
        <f>B$33*(G$33-N35)/10^3</f>
        <v>0.005327560439999998</v>
      </c>
      <c r="P35" s="9">
        <f>22*O35-(C35/2)*O35</f>
        <v>0.09855986813999995</v>
      </c>
      <c r="Q35" s="33" t="s">
        <v>70</v>
      </c>
      <c r="R35" s="116"/>
    </row>
    <row r="36" spans="1:18" ht="13.5" thickBot="1">
      <c r="A36" s="118" t="s">
        <v>88</v>
      </c>
      <c r="B36" s="119"/>
      <c r="C36" s="120">
        <f t="shared" si="5"/>
        <v>7</v>
      </c>
      <c r="D36" s="121">
        <f t="shared" si="5"/>
        <v>0.10470432118079999</v>
      </c>
      <c r="E36" s="122"/>
      <c r="F36" s="123"/>
      <c r="G36" s="123"/>
      <c r="H36" s="119"/>
      <c r="I36" s="124"/>
      <c r="J36" s="125"/>
      <c r="K36" s="125"/>
      <c r="L36" s="123"/>
      <c r="M36" s="126">
        <f>'RACKAudio-stats'!G12</f>
        <v>0.139416553595658</v>
      </c>
      <c r="N36" s="150">
        <f>(1-M36)*G$33</f>
        <v>1.2176595348</v>
      </c>
      <c r="O36" s="128">
        <f>B$33*(G$33-N36)/10^3</f>
        <v>0.014597515605599996</v>
      </c>
      <c r="P36" s="129">
        <f>22*O36-(C36/2)*O36</f>
        <v>0.2700540387035999</v>
      </c>
      <c r="Q36" s="130" t="s">
        <v>70</v>
      </c>
      <c r="R36" s="131" t="s">
        <v>149</v>
      </c>
    </row>
    <row r="37" spans="1:18" ht="12.75">
      <c r="A37" s="108" t="s">
        <v>233</v>
      </c>
      <c r="B37" s="111">
        <v>128.7</v>
      </c>
      <c r="C37" s="109">
        <v>7</v>
      </c>
      <c r="D37" s="133">
        <f>E37*10^6*B37*10^6/10^15</f>
        <v>0.1001309166</v>
      </c>
      <c r="E37" s="216">
        <f>10958*F37/10^6</f>
        <v>0.778018</v>
      </c>
      <c r="F37" s="111">
        <v>71</v>
      </c>
      <c r="G37" s="110">
        <f>(1-'VCR-stats'!C14)*Summary!E37</f>
        <v>0.5704783190086318</v>
      </c>
      <c r="H37" s="111">
        <f>G37*10^6/10958</f>
        <v>52.060441595969316</v>
      </c>
      <c r="I37" s="217">
        <f>'VCR-stats'!G13</f>
        <v>0.40152835670077053</v>
      </c>
      <c r="J37" s="136">
        <f>(1-I37)*G37</f>
        <v>0.3414150970436779</v>
      </c>
      <c r="K37" s="137">
        <f>I37*D37</f>
        <v>0.040205402397339905</v>
      </c>
      <c r="L37" s="138">
        <f>+(22*K37)-(C37/2)*K37</f>
        <v>0.7437999443507882</v>
      </c>
      <c r="M37" s="112"/>
      <c r="N37" s="113"/>
      <c r="O37" s="139"/>
      <c r="P37" s="140" t="s">
        <v>16</v>
      </c>
      <c r="Q37" s="141"/>
      <c r="R37" s="114" t="s">
        <v>258</v>
      </c>
    </row>
    <row r="38" spans="1:18" ht="12.75">
      <c r="A38" s="115" t="s">
        <v>25</v>
      </c>
      <c r="B38" s="25"/>
      <c r="C38" s="3">
        <f>C37</f>
        <v>7</v>
      </c>
      <c r="D38" s="6">
        <f>D37</f>
        <v>0.1001309166</v>
      </c>
      <c r="E38" s="26"/>
      <c r="F38" s="7"/>
      <c r="G38" s="7"/>
      <c r="H38" s="25"/>
      <c r="I38" s="16"/>
      <c r="J38" s="13"/>
      <c r="K38" s="13"/>
      <c r="L38" s="7"/>
      <c r="M38" s="32">
        <f>'VCR-stats'!I13</f>
        <v>0.2777567260325881</v>
      </c>
      <c r="N38" s="5">
        <f>(1-M38)*G$37</f>
        <v>0.4120241288482198</v>
      </c>
      <c r="O38" s="5">
        <f>B$37*(G$37-N38)/10^3</f>
        <v>0.020393054273645017</v>
      </c>
      <c r="P38" s="9">
        <f>22*O38-(C38/2)*O38</f>
        <v>0.3772715040624328</v>
      </c>
      <c r="Q38" s="33" t="s">
        <v>70</v>
      </c>
      <c r="R38" s="116"/>
    </row>
    <row r="39" spans="1:18" ht="13.5" thickBot="1">
      <c r="A39" s="118" t="s">
        <v>86</v>
      </c>
      <c r="B39" s="119"/>
      <c r="C39" s="120">
        <f>C38</f>
        <v>7</v>
      </c>
      <c r="D39" s="121">
        <f>D38</f>
        <v>0.1001309166</v>
      </c>
      <c r="E39" s="122"/>
      <c r="F39" s="123"/>
      <c r="G39" s="123"/>
      <c r="H39" s="119"/>
      <c r="I39" s="124"/>
      <c r="J39" s="125"/>
      <c r="K39" s="125"/>
      <c r="L39" s="123"/>
      <c r="M39" s="126">
        <f>'VCR-stats'!J13</f>
        <v>0.18517115068839216</v>
      </c>
      <c r="N39" s="150">
        <f>(1-M39)*G$37</f>
        <v>0.46484219223502377</v>
      </c>
      <c r="O39" s="150">
        <f>B$37*(G$37-N39)/10^3</f>
        <v>0.01359536951576335</v>
      </c>
      <c r="P39" s="129">
        <f>22*O39-(C39/2)*O39</f>
        <v>0.251514336041622</v>
      </c>
      <c r="Q39" s="130" t="s">
        <v>70</v>
      </c>
      <c r="R39" s="131"/>
    </row>
    <row r="40" spans="1:18" ht="12.75" hidden="1">
      <c r="A40" s="44" t="s">
        <v>137</v>
      </c>
      <c r="B40" s="50">
        <f>D40*10^15/(E40*10^12)</f>
        <v>37.71977854839691</v>
      </c>
      <c r="C40" s="3">
        <v>20</v>
      </c>
      <c r="D40" s="10">
        <f>0.124/0.75</f>
        <v>0.16533333333333333</v>
      </c>
      <c r="E40" s="27">
        <f>10958*F40/10^6</f>
        <v>4.3832</v>
      </c>
      <c r="F40" s="51">
        <v>400</v>
      </c>
      <c r="G40" s="4">
        <f>E40</f>
        <v>4.3832</v>
      </c>
      <c r="H40" s="24">
        <f>G40*10^6/10958</f>
        <v>400</v>
      </c>
      <c r="I40" s="28" t="s">
        <v>16</v>
      </c>
      <c r="J40" s="36" t="e">
        <f>(1-I40)*G40</f>
        <v>#VALUE!</v>
      </c>
      <c r="K40" s="37" t="e">
        <f>I40*D40</f>
        <v>#VALUE!</v>
      </c>
      <c r="L40" s="11" t="e">
        <f>+(22*K40)-(C40/2)*K40</f>
        <v>#VALUE!</v>
      </c>
      <c r="M40" s="16"/>
      <c r="N40" s="12"/>
      <c r="O40" s="13"/>
      <c r="P40" s="14" t="s">
        <v>16</v>
      </c>
      <c r="Q40" s="38"/>
      <c r="R40" s="23" t="s">
        <v>85</v>
      </c>
    </row>
    <row r="41" spans="1:18" ht="12.75" hidden="1">
      <c r="A41" s="29" t="s">
        <v>81</v>
      </c>
      <c r="B41" s="25"/>
      <c r="C41" s="3">
        <f aca="true" t="shared" si="6" ref="C41:D45">C40</f>
        <v>20</v>
      </c>
      <c r="D41" s="6">
        <f t="shared" si="6"/>
        <v>0.16533333333333333</v>
      </c>
      <c r="E41" s="26"/>
      <c r="F41" s="7"/>
      <c r="G41" s="7"/>
      <c r="H41" s="25"/>
      <c r="I41" s="16"/>
      <c r="J41" s="13"/>
      <c r="K41" s="13"/>
      <c r="L41" s="7"/>
      <c r="M41" s="52">
        <f>(1/0.6-1/0.7)/(1/0.6)</f>
        <v>0.14285714285714288</v>
      </c>
      <c r="N41" s="5">
        <f>(1-M41)*G$20</f>
        <v>3.7570285714285716</v>
      </c>
      <c r="O41" s="5">
        <f>B$20*(G$20-N41)/10^3</f>
        <v>0.02611134857142858</v>
      </c>
      <c r="P41" s="9">
        <f>22*O41-(C41/2)*O41</f>
        <v>0.31333618285714293</v>
      </c>
      <c r="Q41" s="33" t="s">
        <v>70</v>
      </c>
      <c r="R41" s="23" t="s">
        <v>82</v>
      </c>
    </row>
    <row r="42" spans="1:18" ht="12.75" hidden="1">
      <c r="A42" s="8" t="s">
        <v>79</v>
      </c>
      <c r="B42" s="25"/>
      <c r="C42" s="3">
        <f t="shared" si="6"/>
        <v>20</v>
      </c>
      <c r="D42" s="6">
        <f t="shared" si="6"/>
        <v>0.16533333333333333</v>
      </c>
      <c r="E42" s="26"/>
      <c r="F42" s="7"/>
      <c r="G42" s="7"/>
      <c r="H42" s="25"/>
      <c r="I42" s="16"/>
      <c r="J42" s="13"/>
      <c r="K42" s="13"/>
      <c r="L42" s="7"/>
      <c r="M42" s="32">
        <v>0.25</v>
      </c>
      <c r="N42" s="5">
        <f>(1-M42)*G$20</f>
        <v>3.2874000000000003</v>
      </c>
      <c r="O42" s="5">
        <f>B$20*(G$20-N42)/10^3</f>
        <v>0.045694860000000004</v>
      </c>
      <c r="P42" s="9">
        <f>22*O42-(C42/2)*O42</f>
        <v>0.54833832</v>
      </c>
      <c r="Q42" s="33" t="s">
        <v>84</v>
      </c>
      <c r="R42" s="23" t="s">
        <v>82</v>
      </c>
    </row>
    <row r="43" spans="1:18" ht="12.75" hidden="1">
      <c r="A43" s="8" t="s">
        <v>77</v>
      </c>
      <c r="B43" s="25"/>
      <c r="C43" s="3">
        <f t="shared" si="6"/>
        <v>20</v>
      </c>
      <c r="D43" s="6">
        <f t="shared" si="6"/>
        <v>0.16533333333333333</v>
      </c>
      <c r="E43" s="26"/>
      <c r="F43" s="7"/>
      <c r="G43" s="7"/>
      <c r="H43" s="25"/>
      <c r="I43" s="16"/>
      <c r="J43" s="13"/>
      <c r="K43" s="13"/>
      <c r="L43" s="7"/>
      <c r="M43" s="19"/>
      <c r="N43" s="5">
        <f>(1-M43)*G$20</f>
        <v>4.3832</v>
      </c>
      <c r="O43" s="5">
        <f>B$20*(G$20-N43)/10^3</f>
        <v>0</v>
      </c>
      <c r="P43" s="9">
        <f>22*O43-(C43/2)*O43</f>
        <v>0</v>
      </c>
      <c r="Q43" s="33" t="s">
        <v>70</v>
      </c>
      <c r="R43" s="23"/>
    </row>
    <row r="44" spans="1:18" ht="12.75" hidden="1">
      <c r="A44" s="8" t="s">
        <v>78</v>
      </c>
      <c r="B44" s="25"/>
      <c r="C44" s="3">
        <f t="shared" si="6"/>
        <v>20</v>
      </c>
      <c r="D44" s="6">
        <f t="shared" si="6"/>
        <v>0.16533333333333333</v>
      </c>
      <c r="E44" s="26"/>
      <c r="F44" s="7"/>
      <c r="G44" s="7"/>
      <c r="H44" s="25"/>
      <c r="I44" s="16"/>
      <c r="J44" s="13"/>
      <c r="K44" s="13"/>
      <c r="L44" s="7"/>
      <c r="M44" s="52">
        <f>0.75*M45</f>
        <v>0.5625</v>
      </c>
      <c r="N44" s="5">
        <f>(1-M44)*G$20</f>
        <v>1.91765</v>
      </c>
      <c r="O44" s="5">
        <f>B$20*(G$20-N44)/10^3</f>
        <v>0.10281343500000002</v>
      </c>
      <c r="P44" s="9">
        <f>22*O44-(C44/2)*O44</f>
        <v>1.2337612200000003</v>
      </c>
      <c r="Q44" s="33" t="s">
        <v>70</v>
      </c>
      <c r="R44" s="23" t="s">
        <v>82</v>
      </c>
    </row>
    <row r="45" spans="1:18" ht="12.75" hidden="1">
      <c r="A45" s="8" t="s">
        <v>83</v>
      </c>
      <c r="B45" s="25"/>
      <c r="C45" s="3">
        <f t="shared" si="6"/>
        <v>20</v>
      </c>
      <c r="D45" s="6">
        <f t="shared" si="6"/>
        <v>0.16533333333333333</v>
      </c>
      <c r="E45" s="26"/>
      <c r="F45" s="7"/>
      <c r="G45" s="7"/>
      <c r="H45" s="25"/>
      <c r="I45" s="16"/>
      <c r="J45" s="13"/>
      <c r="K45" s="13"/>
      <c r="L45" s="7"/>
      <c r="M45" s="32">
        <v>0.75</v>
      </c>
      <c r="N45" s="5">
        <f>(1-M45)*G$20</f>
        <v>1.0958</v>
      </c>
      <c r="O45" s="5">
        <f>B$20*(G$20-N45)/10^3</f>
        <v>0.13708458</v>
      </c>
      <c r="P45" s="9">
        <f>22*O45-(C45/2)*O45</f>
        <v>1.6450149600000001</v>
      </c>
      <c r="Q45" s="33" t="s">
        <v>70</v>
      </c>
      <c r="R45" s="23" t="s">
        <v>82</v>
      </c>
    </row>
    <row r="46" spans="1:18" ht="12.75" hidden="1">
      <c r="A46" s="44" t="s">
        <v>135</v>
      </c>
      <c r="B46" s="24">
        <f>'[1]MiscResidential'!$C$13</f>
        <v>15.1</v>
      </c>
      <c r="C46" s="3">
        <f>'[1]MiscResidential'!$D$13</f>
        <v>11</v>
      </c>
      <c r="D46" s="10">
        <f>E46*10^6*B46*10^6/10^15</f>
        <v>0.177048406</v>
      </c>
      <c r="E46" s="27">
        <f>10958*F46/10^6</f>
        <v>11.72506</v>
      </c>
      <c r="F46" s="24">
        <v>1070</v>
      </c>
      <c r="G46" s="4">
        <f>E46</f>
        <v>11.72506</v>
      </c>
      <c r="H46" s="24">
        <f>F46</f>
        <v>1070</v>
      </c>
      <c r="I46" s="17" t="s">
        <v>70</v>
      </c>
      <c r="J46" s="36" t="e">
        <f>(1-I46)*G46</f>
        <v>#VALUE!</v>
      </c>
      <c r="K46" s="37" t="e">
        <f>I46*D46</f>
        <v>#VALUE!</v>
      </c>
      <c r="L46" s="11" t="e">
        <f>+(22*K46)-(C46/2)*K46</f>
        <v>#VALUE!</v>
      </c>
      <c r="M46" s="16"/>
      <c r="N46" s="12"/>
      <c r="O46" s="13"/>
      <c r="P46" s="14" t="s">
        <v>16</v>
      </c>
      <c r="Q46" s="38"/>
      <c r="R46" s="22" t="s">
        <v>76</v>
      </c>
    </row>
    <row r="47" spans="1:18" ht="12.75" hidden="1">
      <c r="A47" s="8" t="s">
        <v>71</v>
      </c>
      <c r="B47" s="25"/>
      <c r="C47" s="3">
        <f>C46</f>
        <v>11</v>
      </c>
      <c r="D47" s="6">
        <f>D46</f>
        <v>0.177048406</v>
      </c>
      <c r="E47" s="26"/>
      <c r="F47" s="7"/>
      <c r="G47" s="7"/>
      <c r="H47" s="25"/>
      <c r="I47" s="16"/>
      <c r="J47" s="13"/>
      <c r="K47" s="13"/>
      <c r="L47" s="7"/>
      <c r="M47" s="32">
        <v>0.1</v>
      </c>
      <c r="N47" s="5">
        <f>(1-M47)*G$46</f>
        <v>10.552553999999999</v>
      </c>
      <c r="O47" s="5">
        <f>B$46*(G$46-N47)/10^3</f>
        <v>0.017704840600000004</v>
      </c>
      <c r="P47" s="9">
        <f>22*O47-(C47/2)*O47</f>
        <v>0.29212986990000006</v>
      </c>
      <c r="Q47" s="33" t="s">
        <v>70</v>
      </c>
      <c r="R47" s="23" t="s">
        <v>72</v>
      </c>
    </row>
    <row r="48" spans="1:18" ht="12.75" hidden="1">
      <c r="A48" s="8" t="s">
        <v>74</v>
      </c>
      <c r="B48" s="25"/>
      <c r="C48" s="3">
        <f>C47</f>
        <v>11</v>
      </c>
      <c r="D48" s="6">
        <f>D47</f>
        <v>0.177048406</v>
      </c>
      <c r="E48" s="26"/>
      <c r="F48" s="7"/>
      <c r="G48" s="7"/>
      <c r="H48" s="25"/>
      <c r="I48" s="16"/>
      <c r="J48" s="13"/>
      <c r="K48" s="13"/>
      <c r="L48" s="7"/>
      <c r="M48" s="32">
        <v>0.6</v>
      </c>
      <c r="N48" s="5">
        <f>(1-M48)*G$46</f>
        <v>4.690024</v>
      </c>
      <c r="O48" s="5">
        <f>B$46*(G$46-N48)/10^3</f>
        <v>0.10622904359999999</v>
      </c>
      <c r="P48" s="9"/>
      <c r="Q48" s="33" t="s">
        <v>70</v>
      </c>
      <c r="R48" s="23" t="s">
        <v>75</v>
      </c>
    </row>
    <row r="49" spans="1:18" ht="12.75" hidden="1">
      <c r="A49" s="8" t="s">
        <v>73</v>
      </c>
      <c r="B49" s="25"/>
      <c r="C49" s="3">
        <f>C47</f>
        <v>11</v>
      </c>
      <c r="D49" s="6">
        <f>D47</f>
        <v>0.177048406</v>
      </c>
      <c r="E49" s="26"/>
      <c r="F49" s="7"/>
      <c r="G49" s="7"/>
      <c r="H49" s="25"/>
      <c r="I49" s="16"/>
      <c r="J49" s="13"/>
      <c r="K49" s="13"/>
      <c r="L49" s="7"/>
      <c r="M49" s="32">
        <v>0.3</v>
      </c>
      <c r="N49" s="5">
        <f>(1-M49)*G$46</f>
        <v>8.207541999999998</v>
      </c>
      <c r="O49" s="5">
        <f>B$46*(G$46-N49)/10^3</f>
        <v>0.053114521800000015</v>
      </c>
      <c r="P49" s="9">
        <f>22*O49-(C49/2)*O49</f>
        <v>0.8763896097000001</v>
      </c>
      <c r="Q49" s="33" t="s">
        <v>70</v>
      </c>
      <c r="R49" s="23" t="s">
        <v>72</v>
      </c>
    </row>
    <row r="50" spans="1:18" ht="12.75" hidden="1">
      <c r="A50" s="3" t="s">
        <v>7</v>
      </c>
      <c r="B50" s="24">
        <f>'[1]MiscResidential'!$C$14</f>
        <v>13.6</v>
      </c>
      <c r="C50" s="3">
        <f>'[1]MiscResidential'!$D$14</f>
        <v>10</v>
      </c>
      <c r="D50" s="10">
        <f>E50*10^6*B50*10^6/10^15</f>
        <v>0.0123693904</v>
      </c>
      <c r="E50" s="27">
        <f>10958*F50/10^6</f>
        <v>0.909514</v>
      </c>
      <c r="F50" s="24">
        <v>83</v>
      </c>
      <c r="G50" s="4"/>
      <c r="H50" s="24"/>
      <c r="I50" s="28" t="s">
        <v>16</v>
      </c>
      <c r="J50" s="36" t="e">
        <f>(1-I50)*G50</f>
        <v>#VALUE!</v>
      </c>
      <c r="K50" s="37" t="e">
        <f>I50*D50</f>
        <v>#VALUE!</v>
      </c>
      <c r="L50" s="11" t="e">
        <f>+(22*K50)-(C50/2)*K50</f>
        <v>#VALUE!</v>
      </c>
      <c r="M50" s="16"/>
      <c r="N50" s="12"/>
      <c r="O50" s="13"/>
      <c r="P50" s="14" t="s">
        <v>16</v>
      </c>
      <c r="Q50" s="38"/>
      <c r="R50" s="22" t="s">
        <v>18</v>
      </c>
    </row>
    <row r="51" spans="1:18" ht="12.75" hidden="1">
      <c r="A51" s="8" t="s">
        <v>17</v>
      </c>
      <c r="B51" s="25"/>
      <c r="C51" s="3">
        <f>C50</f>
        <v>10</v>
      </c>
      <c r="D51" s="6">
        <f>D50</f>
        <v>0.0123693904</v>
      </c>
      <c r="E51" s="26"/>
      <c r="F51" s="7"/>
      <c r="G51" s="7"/>
      <c r="H51" s="25"/>
      <c r="I51" s="16"/>
      <c r="J51" s="13"/>
      <c r="K51" s="13"/>
      <c r="L51" s="7"/>
      <c r="M51" s="19"/>
      <c r="N51" s="5">
        <f>(1-M51)*G$50</f>
        <v>0</v>
      </c>
      <c r="O51" s="5">
        <f>B$50*(G$50-N51)/10^3</f>
        <v>0</v>
      </c>
      <c r="P51" s="9">
        <f>22*O51-(C51/2)*O51</f>
        <v>0</v>
      </c>
      <c r="Q51" s="31"/>
      <c r="R51" s="23"/>
    </row>
    <row r="52" spans="1:18" ht="28.5" customHeight="1">
      <c r="A52" s="108" t="s">
        <v>232</v>
      </c>
      <c r="B52" s="111">
        <v>211.5</v>
      </c>
      <c r="C52" s="109">
        <v>9</v>
      </c>
      <c r="D52" s="133">
        <f>31*10^9*10958/10^15</f>
        <v>0.339698</v>
      </c>
      <c r="E52" s="216">
        <f>D52*10^9/(B52*10^6)</f>
        <v>1.6061371158392435</v>
      </c>
      <c r="F52" s="111">
        <f>E52*10^6/10958</f>
        <v>146.5721040189125</v>
      </c>
      <c r="G52" s="110">
        <f>(1-'TV-stats'!F11)*E52</f>
        <v>1.5659023021160852</v>
      </c>
      <c r="H52" s="111">
        <f>(1-'TV-stats'!F11)*F52</f>
        <v>142.90037434897656</v>
      </c>
      <c r="I52" s="217">
        <f>'TV-stats'!N10</f>
        <v>0.09966096804443474</v>
      </c>
      <c r="J52" s="136">
        <f>(1-I52)*G52</f>
        <v>1.4098429628241873</v>
      </c>
      <c r="K52" s="137">
        <f>I52*D52</f>
        <v>0.03385463152275839</v>
      </c>
      <c r="L52" s="138">
        <f>+(22*K52)-(C52/2)*K52</f>
        <v>0.5924560516482719</v>
      </c>
      <c r="M52" s="112"/>
      <c r="N52" s="113"/>
      <c r="O52" s="139"/>
      <c r="P52" s="140" t="s">
        <v>16</v>
      </c>
      <c r="Q52" s="141"/>
      <c r="R52" s="3" t="s">
        <v>258</v>
      </c>
    </row>
    <row r="53" spans="1:18" ht="12.75">
      <c r="A53" s="115" t="s">
        <v>273</v>
      </c>
      <c r="B53" s="25"/>
      <c r="C53" s="3">
        <f>C52</f>
        <v>9</v>
      </c>
      <c r="D53" s="6">
        <f>D52</f>
        <v>0.339698</v>
      </c>
      <c r="E53" s="26"/>
      <c r="F53" s="7"/>
      <c r="G53" s="7"/>
      <c r="H53" s="25"/>
      <c r="I53" s="16"/>
      <c r="J53" s="13"/>
      <c r="K53" s="13"/>
      <c r="L53" s="7"/>
      <c r="M53" s="32">
        <f>'TV-stats'!M10</f>
        <v>0.07927577003534575</v>
      </c>
      <c r="N53" s="34">
        <f>(1-M53)*G$52</f>
        <v>1.441764191315712</v>
      </c>
      <c r="O53" s="5">
        <f>B$52*(G$52-N53)/10^3</f>
        <v>0.02625521043427893</v>
      </c>
      <c r="P53" s="9">
        <f>22*O53-(C53/2)*O53</f>
        <v>0.45946618259988126</v>
      </c>
      <c r="Q53" s="33" t="s">
        <v>70</v>
      </c>
      <c r="R53" s="116" t="s">
        <v>16</v>
      </c>
    </row>
    <row r="54" spans="1:18" ht="12.75">
      <c r="A54" s="115" t="s">
        <v>274</v>
      </c>
      <c r="B54" s="25"/>
      <c r="C54" s="3">
        <f>C53</f>
        <v>9</v>
      </c>
      <c r="D54" s="6">
        <f>D53</f>
        <v>0.339698</v>
      </c>
      <c r="E54" s="26"/>
      <c r="F54" s="7"/>
      <c r="G54" s="7"/>
      <c r="H54" s="25"/>
      <c r="I54" s="16"/>
      <c r="J54" s="13"/>
      <c r="K54" s="13"/>
      <c r="L54" s="7"/>
      <c r="M54" s="32">
        <f>'TV-stats'!N10</f>
        <v>0.09966096804443474</v>
      </c>
      <c r="N54" s="34">
        <f>(1-M54)*G$52</f>
        <v>1.4098429628241873</v>
      </c>
      <c r="O54" s="5">
        <f>B$52*(G$52-N54)/10^3</f>
        <v>0.0330065502602364</v>
      </c>
      <c r="P54" s="9">
        <f>22*O54-(C54/2)*O54</f>
        <v>0.5776146295541369</v>
      </c>
      <c r="Q54" s="33" t="s">
        <v>70</v>
      </c>
      <c r="R54" s="116" t="s">
        <v>149</v>
      </c>
    </row>
    <row r="55" spans="1:18" ht="13.5" thickBot="1">
      <c r="A55" s="118" t="s">
        <v>272</v>
      </c>
      <c r="B55" s="119"/>
      <c r="C55" s="120">
        <f>C52</f>
        <v>9</v>
      </c>
      <c r="D55" s="121">
        <f>D52</f>
        <v>0.339698</v>
      </c>
      <c r="E55" s="122"/>
      <c r="F55" s="123"/>
      <c r="G55" s="123"/>
      <c r="H55" s="119"/>
      <c r="I55" s="124"/>
      <c r="J55" s="125"/>
      <c r="K55" s="125"/>
      <c r="L55" s="123"/>
      <c r="M55" s="126">
        <f>'TV-stats'!Q12</f>
        <v>0.30596631483369147</v>
      </c>
      <c r="N55" s="218">
        <f>(1-M55)*G$52</f>
        <v>1.0867889453480326</v>
      </c>
      <c r="O55" s="150">
        <f>B$52*(G$52-N55)/10^3</f>
        <v>0.10133247495644312</v>
      </c>
      <c r="P55" s="129">
        <f>22*O55-(C55/2)*O55</f>
        <v>1.7733183117377547</v>
      </c>
      <c r="Q55" s="130" t="s">
        <v>104</v>
      </c>
      <c r="R55" s="131" t="s">
        <v>271</v>
      </c>
    </row>
    <row r="56" spans="1:18" ht="12.75" hidden="1">
      <c r="A56" s="3" t="s">
        <v>136</v>
      </c>
      <c r="B56" s="24">
        <f>'[1]MiscResidential'!$C$16</f>
        <v>77.77</v>
      </c>
      <c r="C56" s="3">
        <f>'[1]MiscResidential'!$D$16</f>
        <v>12</v>
      </c>
      <c r="D56" s="10">
        <f>'[1]MiscResidential'!$E$16</f>
        <v>0.00867815</v>
      </c>
      <c r="E56" s="27">
        <f>D56*10^15/(B56*10^12)</f>
        <v>0.1115873730230166</v>
      </c>
      <c r="F56" s="24">
        <f>E56*10^6/10958</f>
        <v>10.183187901352127</v>
      </c>
      <c r="G56" s="4">
        <f>E56</f>
        <v>0.1115873730230166</v>
      </c>
      <c r="H56" s="24">
        <f>F56</f>
        <v>10.183187901352127</v>
      </c>
      <c r="I56" s="28">
        <v>0</v>
      </c>
      <c r="J56" s="36">
        <f>(1-I56)*G56</f>
        <v>0.1115873730230166</v>
      </c>
      <c r="K56" s="37">
        <f>I56*D56</f>
        <v>0</v>
      </c>
      <c r="L56" s="11">
        <f>+(22*K56)-(C56/2)*K56</f>
        <v>0</v>
      </c>
      <c r="M56" s="16"/>
      <c r="N56" s="12"/>
      <c r="O56" s="13"/>
      <c r="P56" s="14" t="s">
        <v>16</v>
      </c>
      <c r="Q56" s="38"/>
      <c r="R56" s="23" t="s">
        <v>19</v>
      </c>
    </row>
    <row r="57" spans="1:18" ht="25.5" hidden="1">
      <c r="A57" s="35" t="s">
        <v>23</v>
      </c>
      <c r="B57" s="25"/>
      <c r="C57" s="3">
        <f>C56</f>
        <v>12</v>
      </c>
      <c r="D57" s="6">
        <f>D56</f>
        <v>0.00867815</v>
      </c>
      <c r="E57" s="26"/>
      <c r="F57" s="7"/>
      <c r="G57" s="7"/>
      <c r="H57" s="25"/>
      <c r="I57" s="16"/>
      <c r="J57" s="13"/>
      <c r="K57" s="13"/>
      <c r="L57" s="7"/>
      <c r="M57" s="32">
        <f>M60</f>
        <v>0.7465786611834478</v>
      </c>
      <c r="N57" s="5">
        <f>(1-M57)*G$56</f>
        <v>0.028278621466514883</v>
      </c>
      <c r="O57" s="5">
        <f>B$56*(G$56-N57)/10^3</f>
        <v>0.0064789216085491385</v>
      </c>
      <c r="P57" s="9">
        <f>22*O57-(C57/2)*O57</f>
        <v>0.10366274573678623</v>
      </c>
      <c r="Q57" s="31">
        <v>0</v>
      </c>
      <c r="R57" s="23"/>
    </row>
    <row r="58" spans="1:18" ht="25.5" hidden="1">
      <c r="A58" s="35" t="s">
        <v>24</v>
      </c>
      <c r="B58" s="25"/>
      <c r="C58" s="3">
        <f>C57</f>
        <v>12</v>
      </c>
      <c r="D58" s="6">
        <f>D57</f>
        <v>0.00867815</v>
      </c>
      <c r="E58" s="26"/>
      <c r="F58" s="7"/>
      <c r="G58" s="7"/>
      <c r="H58" s="25"/>
      <c r="I58" s="16"/>
      <c r="J58" s="13"/>
      <c r="K58" s="13"/>
      <c r="L58" s="7"/>
      <c r="M58" s="32">
        <f>M62</f>
        <v>0.4937876299945265</v>
      </c>
      <c r="N58" s="5">
        <f>(1-M58)*G$56</f>
        <v>0.05648690856066607</v>
      </c>
      <c r="O58" s="5">
        <f>B$56*(G$56-N58)/10^3</f>
        <v>0.004285163121237</v>
      </c>
      <c r="P58" s="9">
        <f>22*O58-(C58/2)*O58</f>
        <v>0.06856260993979202</v>
      </c>
      <c r="Q58" s="31">
        <v>0</v>
      </c>
      <c r="R58" s="23"/>
    </row>
    <row r="59" spans="1:30" ht="60.75" customHeight="1">
      <c r="A59" s="108" t="s">
        <v>8</v>
      </c>
      <c r="B59" s="111">
        <v>138</v>
      </c>
      <c r="C59" s="109">
        <v>13</v>
      </c>
      <c r="D59" s="133">
        <v>0.076</v>
      </c>
      <c r="E59" s="134">
        <f>(D59*10^9)/(B59*10^6)</f>
        <v>0.5507246376811594</v>
      </c>
      <c r="F59" s="111">
        <f>E59*10^6/10958</f>
        <v>50.25776945438579</v>
      </c>
      <c r="G59" s="110">
        <f>E59</f>
        <v>0.5507246376811594</v>
      </c>
      <c r="H59" s="111">
        <f>F59</f>
        <v>50.25776945438579</v>
      </c>
      <c r="I59" s="135">
        <f>50%</f>
        <v>0.5</v>
      </c>
      <c r="J59" s="136">
        <f>(1-I59)*G59</f>
        <v>0.2753623188405797</v>
      </c>
      <c r="K59" s="137">
        <f>I59*D59</f>
        <v>0.038</v>
      </c>
      <c r="L59" s="138">
        <f>+(22*K59)-(C59/2)*K59</f>
        <v>0.589</v>
      </c>
      <c r="M59" s="112"/>
      <c r="N59" s="113"/>
      <c r="O59" s="139"/>
      <c r="P59" s="140" t="s">
        <v>16</v>
      </c>
      <c r="Q59" s="141"/>
      <c r="R59" s="142" t="s">
        <v>244</v>
      </c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43"/>
    </row>
    <row r="60" spans="1:30" ht="25.5">
      <c r="A60" s="144" t="s">
        <v>241</v>
      </c>
      <c r="B60" s="25"/>
      <c r="C60" s="3">
        <f>C59</f>
        <v>13</v>
      </c>
      <c r="D60" s="6">
        <f>D59</f>
        <v>0.076</v>
      </c>
      <c r="E60" s="26"/>
      <c r="F60" s="7"/>
      <c r="G60" s="7"/>
      <c r="H60" s="25"/>
      <c r="I60" s="16"/>
      <c r="J60" s="7"/>
      <c r="K60" s="7"/>
      <c r="L60" s="7"/>
      <c r="M60" s="32">
        <f>'CeilingFan-stats'!E15</f>
        <v>0.7465786611834478</v>
      </c>
      <c r="N60" s="5">
        <f>(1-M60)*G$59</f>
        <v>0.13956537500042002</v>
      </c>
      <c r="O60" s="5">
        <f>B$59*(G$59-N60)/10^3</f>
        <v>0.05673997824994204</v>
      </c>
      <c r="P60" s="9">
        <f>22*O60-(C60/2)*O60</f>
        <v>0.8794696628741017</v>
      </c>
      <c r="Q60" s="33" t="s">
        <v>146</v>
      </c>
      <c r="R60" s="3" t="s">
        <v>150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45"/>
    </row>
    <row r="61" spans="1:30" ht="12.75">
      <c r="A61" s="115" t="s">
        <v>240</v>
      </c>
      <c r="B61" s="25"/>
      <c r="C61" s="3">
        <f>C60</f>
        <v>13</v>
      </c>
      <c r="D61" s="6">
        <f>D60</f>
        <v>0.076</v>
      </c>
      <c r="E61" s="26"/>
      <c r="F61" s="7"/>
      <c r="G61" s="7"/>
      <c r="H61" s="25"/>
      <c r="I61" s="16"/>
      <c r="J61" s="7"/>
      <c r="K61" s="7"/>
      <c r="L61" s="7"/>
      <c r="M61" s="32">
        <f>'CeilingFan-stats'!E13</f>
        <v>0.2228172043010752</v>
      </c>
      <c r="N61" s="5">
        <f>(1-M61)*G$59</f>
        <v>0.4280137135733209</v>
      </c>
      <c r="O61" s="5">
        <f>B$59*(G$59-N61)/10^3</f>
        <v>0.016934107526881716</v>
      </c>
      <c r="P61" s="9">
        <f>22*O61-(C61/2)*O61</f>
        <v>0.26247866666666664</v>
      </c>
      <c r="Q61" s="33" t="s">
        <v>147</v>
      </c>
      <c r="R61" s="3" t="s">
        <v>225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45"/>
    </row>
    <row r="62" spans="1:30" ht="12.75">
      <c r="A62" s="146" t="s">
        <v>21</v>
      </c>
      <c r="B62" s="25"/>
      <c r="C62" s="3">
        <f>C60</f>
        <v>13</v>
      </c>
      <c r="D62" s="6">
        <f>D60</f>
        <v>0.076</v>
      </c>
      <c r="E62" s="26"/>
      <c r="F62" s="7"/>
      <c r="G62" s="7"/>
      <c r="H62" s="25"/>
      <c r="I62" s="16"/>
      <c r="J62" s="7"/>
      <c r="K62" s="7"/>
      <c r="L62" s="7"/>
      <c r="M62" s="32">
        <f>'CeilingFan-stats'!E14</f>
        <v>0.4937876299945265</v>
      </c>
      <c r="N62" s="5">
        <f>(1-M62)*G$59</f>
        <v>0.2787836240609854</v>
      </c>
      <c r="O62" s="5">
        <f>B$59*(G$59-N62)/10^3</f>
        <v>0.037527859879584013</v>
      </c>
      <c r="P62" s="9">
        <f>22*O62-(C62/2)*O62</f>
        <v>0.5816818281335522</v>
      </c>
      <c r="Q62" s="31">
        <v>0</v>
      </c>
      <c r="R62" s="3" t="s">
        <v>20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145"/>
    </row>
    <row r="63" spans="1:30" ht="12.75">
      <c r="A63" s="147" t="s">
        <v>242</v>
      </c>
      <c r="B63" s="132">
        <f>B59*0.75</f>
        <v>103.5</v>
      </c>
      <c r="C63" s="3">
        <f>C59</f>
        <v>13</v>
      </c>
      <c r="D63" s="99">
        <f>B63*E63*10^12/10^15</f>
        <v>0.257452731</v>
      </c>
      <c r="E63" s="27">
        <f>10958*F63/10^6</f>
        <v>2.487466</v>
      </c>
      <c r="F63" s="104">
        <v>227</v>
      </c>
      <c r="G63" s="106">
        <f>E63</f>
        <v>2.487466</v>
      </c>
      <c r="H63" s="106">
        <f>F63</f>
        <v>227</v>
      </c>
      <c r="I63" s="105"/>
      <c r="J63" s="104"/>
      <c r="K63" s="104"/>
      <c r="L63" s="104"/>
      <c r="M63" s="16"/>
      <c r="N63" s="7"/>
      <c r="O63" s="7"/>
      <c r="P63" s="7"/>
      <c r="Q63" s="7"/>
      <c r="R63" s="23" t="s">
        <v>246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45"/>
    </row>
    <row r="64" spans="1:30" ht="13.5" thickBot="1">
      <c r="A64" s="148" t="s">
        <v>205</v>
      </c>
      <c r="B64" s="119"/>
      <c r="C64" s="120">
        <f>C63</f>
        <v>13</v>
      </c>
      <c r="D64" s="128">
        <f>D63</f>
        <v>0.257452731</v>
      </c>
      <c r="E64" s="122"/>
      <c r="F64" s="123"/>
      <c r="G64" s="123"/>
      <c r="H64" s="119"/>
      <c r="I64" s="122"/>
      <c r="J64" s="123"/>
      <c r="K64" s="123"/>
      <c r="L64" s="119"/>
      <c r="M64" s="149">
        <f>1-60/180</f>
        <v>0.6666666666666667</v>
      </c>
      <c r="N64" s="150">
        <f>(1-M64)*G63</f>
        <v>0.8291553333333331</v>
      </c>
      <c r="O64" s="150">
        <f>($G$63-N64)*$B$63*10^12/10^15</f>
        <v>0.17163515400000004</v>
      </c>
      <c r="P64" s="129">
        <f>22*O64-(C64/2)*O64</f>
        <v>2.660344887000001</v>
      </c>
      <c r="Q64" s="120" t="s">
        <v>243</v>
      </c>
      <c r="R64" s="120" t="s">
        <v>245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51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7" ht="12.75"/>
    <row r="108" ht="12.75"/>
  </sheetData>
  <printOptions/>
  <pageMargins left="0.28" right="0.18" top="0.41" bottom="0.25" header="0.26" footer="0.18"/>
  <pageSetup fitToHeight="1" fitToWidth="1" horizontalDpi="600" verticalDpi="600" orientation="landscape" scale="3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L20" sqref="L20"/>
    </sheetView>
  </sheetViews>
  <sheetFormatPr defaultColWidth="9.140625" defaultRowHeight="12.75"/>
  <cols>
    <col min="2" max="2" width="19.57421875" style="0" bestFit="1" customWidth="1"/>
    <col min="3" max="3" width="7.57421875" style="0" bestFit="1" customWidth="1"/>
  </cols>
  <sheetData>
    <row r="1" ht="12.75">
      <c r="A1" s="30" t="s">
        <v>30</v>
      </c>
    </row>
    <row r="3" spans="5:8" ht="12.75">
      <c r="E3" t="s">
        <v>55</v>
      </c>
      <c r="F3" t="s">
        <v>56</v>
      </c>
      <c r="G3" t="s">
        <v>57</v>
      </c>
      <c r="H3" t="s">
        <v>56</v>
      </c>
    </row>
    <row r="4" spans="2:11" s="39" customFormat="1" ht="38.25">
      <c r="B4" s="39" t="s">
        <v>16</v>
      </c>
      <c r="C4" s="42" t="s">
        <v>47</v>
      </c>
      <c r="D4" s="43" t="s">
        <v>54</v>
      </c>
      <c r="E4" s="43" t="s">
        <v>39</v>
      </c>
      <c r="F4" s="43" t="s">
        <v>39</v>
      </c>
      <c r="G4" s="39" t="s">
        <v>39</v>
      </c>
      <c r="H4" s="39" t="s">
        <v>39</v>
      </c>
      <c r="I4" s="42" t="s">
        <v>51</v>
      </c>
      <c r="J4" s="42" t="s">
        <v>87</v>
      </c>
      <c r="K4" s="39" t="s">
        <v>204</v>
      </c>
    </row>
    <row r="5" spans="2:11" ht="12.75">
      <c r="B5" s="29" t="s">
        <v>40</v>
      </c>
      <c r="C5">
        <v>17.5</v>
      </c>
      <c r="D5">
        <v>17.5</v>
      </c>
      <c r="E5">
        <v>14.5</v>
      </c>
      <c r="F5">
        <v>9.8</v>
      </c>
      <c r="G5">
        <v>9.2</v>
      </c>
      <c r="H5">
        <v>6.1</v>
      </c>
      <c r="I5">
        <f>C5</f>
        <v>17.5</v>
      </c>
      <c r="J5">
        <f>C5</f>
        <v>17.5</v>
      </c>
      <c r="K5">
        <f>C5</f>
        <v>17.5</v>
      </c>
    </row>
    <row r="6" spans="2:11" ht="12.75">
      <c r="B6" s="29" t="s">
        <v>52</v>
      </c>
      <c r="C6">
        <v>10</v>
      </c>
      <c r="D6">
        <v>13.5</v>
      </c>
      <c r="E6">
        <v>7.9</v>
      </c>
      <c r="F6">
        <v>6.1</v>
      </c>
      <c r="G6">
        <f>F6</f>
        <v>6.1</v>
      </c>
      <c r="H6">
        <v>6.1</v>
      </c>
      <c r="I6">
        <f>C6</f>
        <v>10</v>
      </c>
      <c r="J6">
        <f>C6</f>
        <v>10</v>
      </c>
      <c r="K6">
        <f>C6</f>
        <v>10</v>
      </c>
    </row>
    <row r="7" spans="2:11" ht="12.75">
      <c r="B7" s="29" t="s">
        <v>41</v>
      </c>
      <c r="C7">
        <v>4</v>
      </c>
      <c r="D7">
        <v>5.9</v>
      </c>
      <c r="E7">
        <v>1.5</v>
      </c>
      <c r="F7">
        <v>3.3</v>
      </c>
      <c r="G7">
        <v>2.4</v>
      </c>
      <c r="H7">
        <v>3.3</v>
      </c>
      <c r="I7">
        <f>1</f>
        <v>1</v>
      </c>
      <c r="J7">
        <f>2</f>
        <v>2</v>
      </c>
      <c r="K7">
        <v>0</v>
      </c>
    </row>
    <row r="8" spans="2:11" ht="12.75">
      <c r="B8" s="29" t="s">
        <v>42</v>
      </c>
      <c r="C8">
        <v>0.84</v>
      </c>
      <c r="D8">
        <v>0.84</v>
      </c>
      <c r="E8">
        <v>0.84</v>
      </c>
      <c r="F8">
        <v>0.84</v>
      </c>
      <c r="G8">
        <v>0.84</v>
      </c>
      <c r="H8">
        <v>0.84</v>
      </c>
      <c r="I8">
        <v>0.84</v>
      </c>
      <c r="J8">
        <f aca="true" t="shared" si="0" ref="J8:K11">I8</f>
        <v>0.84</v>
      </c>
      <c r="K8">
        <f t="shared" si="0"/>
        <v>0.84</v>
      </c>
    </row>
    <row r="9" spans="2:11" ht="12.75">
      <c r="B9" s="29" t="s">
        <v>53</v>
      </c>
      <c r="C9">
        <v>8.5</v>
      </c>
      <c r="D9">
        <v>8.5</v>
      </c>
      <c r="E9">
        <v>8.5</v>
      </c>
      <c r="F9">
        <v>8.5</v>
      </c>
      <c r="G9">
        <v>8.5</v>
      </c>
      <c r="H9">
        <v>8.5</v>
      </c>
      <c r="I9">
        <v>8.5</v>
      </c>
      <c r="J9">
        <f t="shared" si="0"/>
        <v>8.5</v>
      </c>
      <c r="K9">
        <f t="shared" si="0"/>
        <v>8.5</v>
      </c>
    </row>
    <row r="10" spans="2:11" ht="12.75">
      <c r="B10" s="29" t="s">
        <v>43</v>
      </c>
      <c r="C10">
        <f aca="true" t="shared" si="1" ref="C10:I10">24-C8-C9</f>
        <v>14.66</v>
      </c>
      <c r="D10">
        <f t="shared" si="1"/>
        <v>14.66</v>
      </c>
      <c r="E10">
        <f t="shared" si="1"/>
        <v>14.66</v>
      </c>
      <c r="F10">
        <f t="shared" si="1"/>
        <v>14.66</v>
      </c>
      <c r="G10">
        <f t="shared" si="1"/>
        <v>14.66</v>
      </c>
      <c r="H10">
        <f t="shared" si="1"/>
        <v>14.66</v>
      </c>
      <c r="I10">
        <f t="shared" si="1"/>
        <v>14.66</v>
      </c>
      <c r="J10">
        <f t="shared" si="0"/>
        <v>14.66</v>
      </c>
      <c r="K10">
        <f t="shared" si="0"/>
        <v>14.66</v>
      </c>
    </row>
    <row r="11" spans="2:11" ht="12.75">
      <c r="B11" s="29" t="s">
        <v>44</v>
      </c>
      <c r="C11">
        <v>365</v>
      </c>
      <c r="D11">
        <f>C11</f>
        <v>365</v>
      </c>
      <c r="E11">
        <f>C11</f>
        <v>365</v>
      </c>
      <c r="F11">
        <f>E11</f>
        <v>365</v>
      </c>
      <c r="G11">
        <f>F11</f>
        <v>365</v>
      </c>
      <c r="H11">
        <f>G11</f>
        <v>365</v>
      </c>
      <c r="I11">
        <f>H11</f>
        <v>365</v>
      </c>
      <c r="J11">
        <f t="shared" si="0"/>
        <v>365</v>
      </c>
      <c r="K11">
        <f t="shared" si="0"/>
        <v>365</v>
      </c>
    </row>
    <row r="12" spans="2:11" ht="12.75">
      <c r="B12" s="29" t="s">
        <v>45</v>
      </c>
      <c r="C12" s="40">
        <f>C11*(C5*C8+C7*C10+C6*C9)/1000</f>
        <v>57.7941</v>
      </c>
      <c r="D12" s="40">
        <f aca="true" t="shared" si="2" ref="D12:J12">D11*(D5*D8+D7*D10+D6*D9)/1000</f>
        <v>78.81956000000001</v>
      </c>
      <c r="E12" s="40">
        <f t="shared" si="2"/>
        <v>36.9818</v>
      </c>
      <c r="F12" s="40">
        <f t="shared" si="2"/>
        <v>39.5879</v>
      </c>
      <c r="G12" s="40">
        <f t="shared" si="2"/>
        <v>34.58813</v>
      </c>
      <c r="H12" s="40">
        <f t="shared" si="2"/>
        <v>38.453480000000006</v>
      </c>
      <c r="I12" s="40">
        <f t="shared" si="2"/>
        <v>41.7414</v>
      </c>
      <c r="J12" s="40">
        <f t="shared" si="2"/>
        <v>47.092299999999994</v>
      </c>
      <c r="K12" s="40">
        <f>K11*(K5*K8+K7*K10+K6*K9)/1000</f>
        <v>36.3905</v>
      </c>
    </row>
    <row r="13" spans="2:11" ht="12.75">
      <c r="B13" s="29" t="s">
        <v>50</v>
      </c>
      <c r="C13" s="41">
        <f aca="true" t="shared" si="3" ref="C13:K13">($C$12-C12)/$C$12</f>
        <v>0</v>
      </c>
      <c r="D13" s="41">
        <f t="shared" si="3"/>
        <v>-0.36379941897183293</v>
      </c>
      <c r="E13" s="41">
        <f t="shared" si="3"/>
        <v>0.3601111532146015</v>
      </c>
      <c r="F13" s="41">
        <f t="shared" si="3"/>
        <v>0.31501831501831506</v>
      </c>
      <c r="G13" s="41">
        <f t="shared" si="3"/>
        <v>0.40152835670077053</v>
      </c>
      <c r="H13" s="41">
        <f t="shared" si="3"/>
        <v>0.33464696223316903</v>
      </c>
      <c r="I13" s="41">
        <f t="shared" si="3"/>
        <v>0.2777567260325881</v>
      </c>
      <c r="J13" s="41">
        <f t="shared" si="3"/>
        <v>0.18517115068839216</v>
      </c>
      <c r="K13" s="41">
        <f t="shared" si="3"/>
        <v>0.3703423013767841</v>
      </c>
    </row>
    <row r="14" spans="2:11" ht="12.75">
      <c r="B14" s="29" t="s">
        <v>49</v>
      </c>
      <c r="C14" s="41">
        <f aca="true" t="shared" si="4" ref="C14:J14">($D$12-C12)/$D$12</f>
        <v>0.26675434371874196</v>
      </c>
      <c r="D14" s="41">
        <f t="shared" si="4"/>
        <v>0</v>
      </c>
      <c r="E14" s="41">
        <f t="shared" si="4"/>
        <v>0.5308042825917831</v>
      </c>
      <c r="F14" s="41">
        <f t="shared" si="4"/>
        <v>0.4977401548549625</v>
      </c>
      <c r="G14" s="41">
        <f t="shared" si="4"/>
        <v>0.5611732671433335</v>
      </c>
      <c r="H14" s="41">
        <f t="shared" si="4"/>
        <v>0.5121327751639314</v>
      </c>
      <c r="I14" s="41">
        <f t="shared" si="4"/>
        <v>0.47041825658504066</v>
      </c>
      <c r="J14" s="41">
        <f t="shared" si="4"/>
        <v>0.4025302856296078</v>
      </c>
      <c r="K14" s="41">
        <f>($D$12-K12)/$D$12</f>
        <v>0.5383062275404735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2" max="2" width="10.140625" style="0" bestFit="1" customWidth="1"/>
    <col min="3" max="3" width="10.7109375" style="0" bestFit="1" customWidth="1"/>
    <col min="5" max="5" width="20.00390625" style="0" customWidth="1"/>
    <col min="8" max="8" width="14.57421875" style="0" customWidth="1"/>
  </cols>
  <sheetData>
    <row r="1" spans="1:20" ht="13.5" thickBot="1">
      <c r="A1" s="221" t="s">
        <v>30</v>
      </c>
      <c r="B1" s="222"/>
      <c r="C1" s="223"/>
      <c r="P1" s="178" t="s">
        <v>276</v>
      </c>
      <c r="Q1" s="152"/>
      <c r="R1" s="152"/>
      <c r="S1" s="152"/>
      <c r="T1" s="153"/>
    </row>
    <row r="2" spans="1:20" ht="13.5" thickBot="1">
      <c r="A2" s="154" t="s">
        <v>31</v>
      </c>
      <c r="B2" s="155"/>
      <c r="C2" s="156"/>
      <c r="P2" s="154" t="s">
        <v>207</v>
      </c>
      <c r="Q2" s="155" t="s">
        <v>207</v>
      </c>
      <c r="R2" s="155"/>
      <c r="S2" s="155" t="s">
        <v>209</v>
      </c>
      <c r="T2" s="156"/>
    </row>
    <row r="3" spans="1:20" s="39" customFormat="1" ht="76.5">
      <c r="A3" s="157" t="s">
        <v>26</v>
      </c>
      <c r="B3" s="158" t="s">
        <v>27</v>
      </c>
      <c r="C3" s="159" t="s">
        <v>28</v>
      </c>
      <c r="E3" s="164" t="s">
        <v>16</v>
      </c>
      <c r="F3" s="165" t="s">
        <v>47</v>
      </c>
      <c r="G3" s="165" t="s">
        <v>39</v>
      </c>
      <c r="H3" s="165" t="s">
        <v>145</v>
      </c>
      <c r="I3" s="165" t="s">
        <v>46</v>
      </c>
      <c r="J3" s="165" t="s">
        <v>51</v>
      </c>
      <c r="K3" s="166" t="s">
        <v>275</v>
      </c>
      <c r="L3" s="167" t="s">
        <v>196</v>
      </c>
      <c r="M3" s="167" t="s">
        <v>197</v>
      </c>
      <c r="N3" s="168" t="s">
        <v>198</v>
      </c>
      <c r="P3" s="179" t="s">
        <v>267</v>
      </c>
      <c r="Q3" s="180" t="s">
        <v>208</v>
      </c>
      <c r="R3" s="158"/>
      <c r="S3" s="181" t="s">
        <v>210</v>
      </c>
      <c r="T3" s="182" t="s">
        <v>266</v>
      </c>
    </row>
    <row r="4" spans="1:20" ht="12.75">
      <c r="A4" s="154">
        <v>1997</v>
      </c>
      <c r="B4" s="155" t="s">
        <v>29</v>
      </c>
      <c r="C4" s="156">
        <v>71</v>
      </c>
      <c r="E4" s="169" t="s">
        <v>40</v>
      </c>
      <c r="F4" s="170">
        <v>86</v>
      </c>
      <c r="G4" s="170">
        <v>60</v>
      </c>
      <c r="H4" s="170">
        <f>F4</f>
        <v>86</v>
      </c>
      <c r="I4" s="170">
        <f>90</f>
        <v>90</v>
      </c>
      <c r="J4" s="170">
        <f>F4</f>
        <v>86</v>
      </c>
      <c r="K4" s="155">
        <f>75</f>
        <v>75</v>
      </c>
      <c r="L4" s="155">
        <f>K4</f>
        <v>75</v>
      </c>
      <c r="M4" s="155">
        <f>K4</f>
        <v>75</v>
      </c>
      <c r="N4" s="156">
        <f>K4</f>
        <v>75</v>
      </c>
      <c r="P4" s="154">
        <v>53</v>
      </c>
      <c r="Q4" s="155">
        <v>68</v>
      </c>
      <c r="R4" s="155"/>
      <c r="S4" s="155">
        <f>85</f>
        <v>85</v>
      </c>
      <c r="T4" s="156">
        <f>(90+114)/2</f>
        <v>102</v>
      </c>
    </row>
    <row r="5" spans="1:20" ht="12.75">
      <c r="A5" s="154">
        <v>1998</v>
      </c>
      <c r="B5" s="155" t="s">
        <v>29</v>
      </c>
      <c r="C5" s="156">
        <v>70</v>
      </c>
      <c r="E5" s="169" t="s">
        <v>41</v>
      </c>
      <c r="F5" s="170">
        <v>5.7</v>
      </c>
      <c r="G5" s="170">
        <v>6.9</v>
      </c>
      <c r="H5" s="170">
        <v>0.1</v>
      </c>
      <c r="I5" s="170">
        <f>4.9</f>
        <v>4.9</v>
      </c>
      <c r="J5" s="170">
        <v>1</v>
      </c>
      <c r="K5" s="155">
        <f>4.5</f>
        <v>4.5</v>
      </c>
      <c r="L5" s="155">
        <f>3</f>
        <v>3</v>
      </c>
      <c r="M5" s="155">
        <f>1</f>
        <v>1</v>
      </c>
      <c r="N5" s="156">
        <v>0.1</v>
      </c>
      <c r="P5" s="154">
        <v>0.7</v>
      </c>
      <c r="Q5" s="155">
        <v>5.1</v>
      </c>
      <c r="R5" s="155"/>
      <c r="S5" s="155">
        <v>0.22</v>
      </c>
      <c r="T5" s="156">
        <f>5.3</f>
        <v>5.3</v>
      </c>
    </row>
    <row r="6" spans="1:20" ht="12.75">
      <c r="A6" s="154">
        <v>1996</v>
      </c>
      <c r="B6" s="155" t="s">
        <v>32</v>
      </c>
      <c r="C6" s="156">
        <v>149</v>
      </c>
      <c r="E6" s="169" t="s">
        <v>42</v>
      </c>
      <c r="F6" s="170">
        <f>8.3</f>
        <v>8.3</v>
      </c>
      <c r="G6" s="170">
        <f>F6</f>
        <v>8.3</v>
      </c>
      <c r="H6" s="170">
        <f>G6</f>
        <v>8.3</v>
      </c>
      <c r="I6" s="170">
        <f>H6</f>
        <v>8.3</v>
      </c>
      <c r="J6" s="170">
        <f>I6</f>
        <v>8.3</v>
      </c>
      <c r="K6" s="155">
        <f>F6</f>
        <v>8.3</v>
      </c>
      <c r="L6" s="155">
        <f>K6</f>
        <v>8.3</v>
      </c>
      <c r="M6" s="155">
        <f>K6</f>
        <v>8.3</v>
      </c>
      <c r="N6" s="156">
        <f>K6</f>
        <v>8.3</v>
      </c>
      <c r="P6" s="154">
        <f aca="true" t="shared" si="0" ref="P6:Q8">M6</f>
        <v>8.3</v>
      </c>
      <c r="Q6" s="155">
        <f t="shared" si="0"/>
        <v>8.3</v>
      </c>
      <c r="R6" s="155"/>
      <c r="S6" s="155">
        <f aca="true" t="shared" si="1" ref="S6:T8">P6</f>
        <v>8.3</v>
      </c>
      <c r="T6" s="156">
        <f t="shared" si="1"/>
        <v>8.3</v>
      </c>
    </row>
    <row r="7" spans="1:20" ht="12.75">
      <c r="A7" s="154">
        <v>1996</v>
      </c>
      <c r="B7" s="155" t="s">
        <v>32</v>
      </c>
      <c r="C7" s="156">
        <v>80</v>
      </c>
      <c r="E7" s="169" t="s">
        <v>43</v>
      </c>
      <c r="F7" s="170">
        <f>24-F6</f>
        <v>15.7</v>
      </c>
      <c r="G7" s="170">
        <f>24-G6</f>
        <v>15.7</v>
      </c>
      <c r="H7" s="170">
        <f>24-H6</f>
        <v>15.7</v>
      </c>
      <c r="I7" s="170">
        <f>24-I6</f>
        <v>15.7</v>
      </c>
      <c r="J7" s="170">
        <f>24-J6</f>
        <v>15.7</v>
      </c>
      <c r="K7" s="155">
        <f>F7</f>
        <v>15.7</v>
      </c>
      <c r="L7" s="155">
        <f>K7</f>
        <v>15.7</v>
      </c>
      <c r="M7" s="155">
        <f>K7</f>
        <v>15.7</v>
      </c>
      <c r="N7" s="156">
        <f>K7</f>
        <v>15.7</v>
      </c>
      <c r="P7" s="154">
        <f t="shared" si="0"/>
        <v>15.7</v>
      </c>
      <c r="Q7" s="155">
        <f t="shared" si="0"/>
        <v>15.7</v>
      </c>
      <c r="R7" s="155"/>
      <c r="S7" s="155">
        <f t="shared" si="1"/>
        <v>15.7</v>
      </c>
      <c r="T7" s="156">
        <f t="shared" si="1"/>
        <v>15.7</v>
      </c>
    </row>
    <row r="8" spans="1:20" ht="12.75">
      <c r="A8" s="154">
        <v>1996</v>
      </c>
      <c r="B8" s="155" t="s">
        <v>32</v>
      </c>
      <c r="C8" s="156">
        <v>109</v>
      </c>
      <c r="E8" s="169" t="s">
        <v>44</v>
      </c>
      <c r="F8" s="170">
        <v>365</v>
      </c>
      <c r="G8" s="170">
        <f>F8</f>
        <v>365</v>
      </c>
      <c r="H8" s="170">
        <f>G8</f>
        <v>365</v>
      </c>
      <c r="I8" s="170">
        <f>H8</f>
        <v>365</v>
      </c>
      <c r="J8" s="170">
        <f>I8</f>
        <v>365</v>
      </c>
      <c r="K8" s="155">
        <f>F8</f>
        <v>365</v>
      </c>
      <c r="L8" s="155">
        <f>K8</f>
        <v>365</v>
      </c>
      <c r="M8" s="155">
        <f>K8</f>
        <v>365</v>
      </c>
      <c r="N8" s="156">
        <f>K8</f>
        <v>365</v>
      </c>
      <c r="P8" s="154">
        <f t="shared" si="0"/>
        <v>365</v>
      </c>
      <c r="Q8" s="155">
        <f t="shared" si="0"/>
        <v>365</v>
      </c>
      <c r="R8" s="155"/>
      <c r="S8" s="155">
        <f t="shared" si="1"/>
        <v>365</v>
      </c>
      <c r="T8" s="156">
        <f t="shared" si="1"/>
        <v>365</v>
      </c>
    </row>
    <row r="9" spans="1:20" ht="12.75">
      <c r="A9" s="154">
        <v>1996</v>
      </c>
      <c r="B9" s="155" t="s">
        <v>33</v>
      </c>
      <c r="C9" s="156">
        <v>85</v>
      </c>
      <c r="E9" s="169" t="s">
        <v>45</v>
      </c>
      <c r="F9" s="171">
        <f aca="true" t="shared" si="2" ref="F9:Q9">F8*(F4*F6+F5*F7)/1000</f>
        <v>293.20085000000006</v>
      </c>
      <c r="G9" s="171">
        <f t="shared" si="2"/>
        <v>221.31045</v>
      </c>
      <c r="H9" s="171">
        <f t="shared" si="2"/>
        <v>261.11005000000006</v>
      </c>
      <c r="I9" s="171">
        <f t="shared" si="2"/>
        <v>300.73445000000004</v>
      </c>
      <c r="J9" s="171">
        <f t="shared" si="2"/>
        <v>266.26750000000004</v>
      </c>
      <c r="K9" s="171">
        <f t="shared" si="2"/>
        <v>252.99975</v>
      </c>
      <c r="L9" s="171">
        <f t="shared" si="2"/>
        <v>244.404</v>
      </c>
      <c r="M9" s="171">
        <f t="shared" si="2"/>
        <v>232.94300000000004</v>
      </c>
      <c r="N9" s="172">
        <f t="shared" si="2"/>
        <v>227.78555000000003</v>
      </c>
      <c r="P9" s="183">
        <f t="shared" si="2"/>
        <v>164.57485</v>
      </c>
      <c r="Q9" s="171">
        <f t="shared" si="2"/>
        <v>235.23155000000003</v>
      </c>
      <c r="R9" s="155"/>
      <c r="S9" s="171">
        <f>S8*(S4*S6+S5*S7)/1000</f>
        <v>258.76821</v>
      </c>
      <c r="T9" s="172">
        <f>T8*(T4*T6+T5*T7)/1000</f>
        <v>339.38065</v>
      </c>
    </row>
    <row r="10" spans="1:20" ht="13.5" thickBot="1">
      <c r="A10" s="154">
        <v>1996</v>
      </c>
      <c r="B10" s="155" t="s">
        <v>34</v>
      </c>
      <c r="C10" s="156">
        <v>61</v>
      </c>
      <c r="E10" s="169" t="s">
        <v>50</v>
      </c>
      <c r="F10" s="173">
        <f>($F$9-F9)/$F$9</f>
        <v>0</v>
      </c>
      <c r="G10" s="173">
        <f>($F$9-G9)/$F$9</f>
        <v>0.24519164934208085</v>
      </c>
      <c r="H10" s="173">
        <f>($F$9-H9)/$F$9</f>
        <v>0.10944988733832113</v>
      </c>
      <c r="I10" s="173">
        <f>($F$9-I9)/$F$9</f>
        <v>-0.025694332059405616</v>
      </c>
      <c r="J10" s="173">
        <f>($F$9-J9)/$F$9</f>
        <v>0.09185972687323388</v>
      </c>
      <c r="K10" s="155"/>
      <c r="L10" s="174">
        <f>($K$9-L9)/$K$9</f>
        <v>0.033975330015148276</v>
      </c>
      <c r="M10" s="174">
        <f>($K$9-M9)/$K$9</f>
        <v>0.07927577003534575</v>
      </c>
      <c r="N10" s="175">
        <f>($K$9-N9)/$K$9</f>
        <v>0.09966096804443474</v>
      </c>
      <c r="P10" s="161"/>
      <c r="Q10" s="184">
        <f>(Q9-P9)/Q9</f>
        <v>0.3003708473629495</v>
      </c>
      <c r="R10" s="162"/>
      <c r="S10" s="162"/>
      <c r="T10" s="185">
        <f>(T9-S9)/T9</f>
        <v>0.23752809713812498</v>
      </c>
    </row>
    <row r="11" spans="1:14" ht="12.75">
      <c r="A11" s="154">
        <v>1996</v>
      </c>
      <c r="B11" s="155" t="s">
        <v>35</v>
      </c>
      <c r="C11" s="156">
        <v>104</v>
      </c>
      <c r="E11" s="169" t="s">
        <v>49</v>
      </c>
      <c r="F11" s="173">
        <f>($I$9-F9)/$I$9</f>
        <v>0.025050671780369616</v>
      </c>
      <c r="G11" s="173">
        <f>($I$9-G9)/$I$9</f>
        <v>0.2641001055914945</v>
      </c>
      <c r="H11" s="173">
        <f>($I$9-H9)/$I$9</f>
        <v>0.13175876591458005</v>
      </c>
      <c r="I11" s="173">
        <f>($I$9-I9)/$I$9</f>
        <v>0</v>
      </c>
      <c r="J11" s="173">
        <f>($I$9-J9)/$I$9</f>
        <v>0.11460925078586771</v>
      </c>
      <c r="K11" s="155"/>
      <c r="L11" s="155"/>
      <c r="M11" s="155"/>
      <c r="N11" s="156"/>
    </row>
    <row r="12" spans="1:18" ht="13.5" thickBot="1">
      <c r="A12" s="154">
        <v>1998</v>
      </c>
      <c r="B12" s="155" t="s">
        <v>36</v>
      </c>
      <c r="C12" s="156">
        <v>87</v>
      </c>
      <c r="E12" s="176"/>
      <c r="F12" s="177" t="s">
        <v>139</v>
      </c>
      <c r="G12" s="177"/>
      <c r="H12" s="177" t="s">
        <v>138</v>
      </c>
      <c r="I12" s="177"/>
      <c r="J12" s="177" t="s">
        <v>69</v>
      </c>
      <c r="K12" s="162"/>
      <c r="L12" s="162"/>
      <c r="M12" s="162"/>
      <c r="N12" s="163"/>
      <c r="P12" s="187" t="s">
        <v>269</v>
      </c>
      <c r="Q12" s="186">
        <f>(38%+Q10+T10)/3</f>
        <v>0.30596631483369147</v>
      </c>
      <c r="R12" t="s">
        <v>270</v>
      </c>
    </row>
    <row r="13" spans="1:3" ht="12.75">
      <c r="A13" s="154">
        <v>1998</v>
      </c>
      <c r="B13" s="155" t="s">
        <v>33</v>
      </c>
      <c r="C13" s="156">
        <v>72</v>
      </c>
    </row>
    <row r="14" spans="1:16" ht="12.75">
      <c r="A14" s="154">
        <v>1998</v>
      </c>
      <c r="B14" s="155" t="s">
        <v>29</v>
      </c>
      <c r="C14" s="156">
        <v>73</v>
      </c>
      <c r="F14" t="s">
        <v>279</v>
      </c>
      <c r="P14" s="39" t="s">
        <v>277</v>
      </c>
    </row>
    <row r="15" spans="1:16" ht="12.75">
      <c r="A15" s="154">
        <v>1997</v>
      </c>
      <c r="B15" s="155" t="s">
        <v>37</v>
      </c>
      <c r="C15" s="156">
        <v>98</v>
      </c>
      <c r="F15" t="s">
        <v>278</v>
      </c>
      <c r="P15" t="s">
        <v>268</v>
      </c>
    </row>
    <row r="16" spans="1:16" ht="12.75">
      <c r="A16" s="154">
        <v>1997</v>
      </c>
      <c r="B16" s="155" t="s">
        <v>33</v>
      </c>
      <c r="C16" s="156">
        <v>60</v>
      </c>
      <c r="P16" t="s">
        <v>206</v>
      </c>
    </row>
    <row r="17" spans="1:6" ht="12.75">
      <c r="A17" s="154">
        <v>1996</v>
      </c>
      <c r="B17" s="155" t="s">
        <v>35</v>
      </c>
      <c r="C17" s="156">
        <v>86</v>
      </c>
      <c r="F17" t="s">
        <v>16</v>
      </c>
    </row>
    <row r="18" spans="1:3" ht="12.75">
      <c r="A18" s="154"/>
      <c r="B18" s="155" t="s">
        <v>38</v>
      </c>
      <c r="C18" s="160">
        <f>SUM(C4:C17)/14</f>
        <v>86.07142857142857</v>
      </c>
    </row>
    <row r="19" spans="1:5" ht="13.5" thickBot="1">
      <c r="A19" s="161"/>
      <c r="B19" s="162" t="s">
        <v>39</v>
      </c>
      <c r="C19" s="163">
        <f>MIN(C4:C18)</f>
        <v>60</v>
      </c>
      <c r="D19" s="48" t="s">
        <v>16</v>
      </c>
      <c r="E19" t="s">
        <v>16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15" sqref="B15"/>
    </sheetView>
  </sheetViews>
  <sheetFormatPr defaultColWidth="9.140625" defaultRowHeight="12.75"/>
  <cols>
    <col min="1" max="1" width="51.57421875" style="0" customWidth="1"/>
    <col min="2" max="2" width="15.00390625" style="0" customWidth="1"/>
    <col min="3" max="3" width="27.57421875" style="0" customWidth="1"/>
    <col min="4" max="4" width="22.7109375" style="0" customWidth="1"/>
    <col min="5" max="5" width="10.57421875" style="0" customWidth="1"/>
    <col min="7" max="7" width="10.140625" style="0" bestFit="1" customWidth="1"/>
    <col min="9" max="9" width="10.140625" style="0" bestFit="1" customWidth="1"/>
  </cols>
  <sheetData>
    <row r="1" spans="1:6" ht="25.5">
      <c r="A1" s="78" t="s">
        <v>16</v>
      </c>
      <c r="B1" s="79" t="s">
        <v>154</v>
      </c>
      <c r="C1" s="80" t="s">
        <v>166</v>
      </c>
      <c r="D1" s="80" t="s">
        <v>229</v>
      </c>
      <c r="E1" s="79" t="s">
        <v>168</v>
      </c>
      <c r="F1" s="80" t="s">
        <v>199</v>
      </c>
    </row>
    <row r="2" spans="1:7" ht="12.75">
      <c r="A2" s="81" t="s">
        <v>40</v>
      </c>
      <c r="B2" s="60">
        <v>1500</v>
      </c>
      <c r="C2" s="61">
        <f>D15</f>
        <v>1476</v>
      </c>
      <c r="D2" s="61">
        <f>D19</f>
        <v>1452</v>
      </c>
      <c r="E2" s="82">
        <f>D17</f>
        <v>1486.5</v>
      </c>
      <c r="F2" s="93">
        <f>B2</f>
        <v>1500</v>
      </c>
      <c r="G2" s="92" t="s">
        <v>171</v>
      </c>
    </row>
    <row r="3" spans="1:7" ht="12.75">
      <c r="A3" s="81" t="s">
        <v>41</v>
      </c>
      <c r="B3" s="60">
        <v>3.1</v>
      </c>
      <c r="C3" s="61">
        <v>3.1</v>
      </c>
      <c r="D3" s="61">
        <v>3.1</v>
      </c>
      <c r="E3" s="60">
        <v>3.1</v>
      </c>
      <c r="F3" s="61">
        <v>1</v>
      </c>
      <c r="G3" s="92" t="s">
        <v>172</v>
      </c>
    </row>
    <row r="4" spans="1:7" ht="12.75">
      <c r="A4" s="81" t="s">
        <v>151</v>
      </c>
      <c r="B4" s="60">
        <v>72</v>
      </c>
      <c r="C4" s="61">
        <v>72</v>
      </c>
      <c r="D4" s="61">
        <v>72</v>
      </c>
      <c r="E4" s="60">
        <v>72</v>
      </c>
      <c r="F4" s="61">
        <v>72</v>
      </c>
      <c r="G4" t="s">
        <v>183</v>
      </c>
    </row>
    <row r="5" spans="1:7" ht="12.75">
      <c r="A5" s="81" t="s">
        <v>152</v>
      </c>
      <c r="B5" s="60">
        <f>8760-B4</f>
        <v>8688</v>
      </c>
      <c r="C5" s="61">
        <v>8688</v>
      </c>
      <c r="D5" s="61">
        <v>8688</v>
      </c>
      <c r="E5" s="60">
        <v>8688</v>
      </c>
      <c r="F5" s="61">
        <f>8760-F4</f>
        <v>8688</v>
      </c>
      <c r="G5" s="91" t="s">
        <v>170</v>
      </c>
    </row>
    <row r="6" spans="1:6" ht="12.75">
      <c r="A6" s="81" t="s">
        <v>45</v>
      </c>
      <c r="B6" s="83">
        <f>(B2*B4+B3*B5)/1000</f>
        <v>134.9328</v>
      </c>
      <c r="C6" s="84">
        <f>(C2*C4+C3*C5)/1000</f>
        <v>133.20479999999998</v>
      </c>
      <c r="D6" s="84">
        <f>(D2*D4+D3*D5)/1000</f>
        <v>131.4768</v>
      </c>
      <c r="E6" s="83">
        <f>(E2*E4+E3*E5)/1000</f>
        <v>133.96079999999998</v>
      </c>
      <c r="F6" s="84">
        <f>(F2*F4+F3*F5)/1000</f>
        <v>116.688</v>
      </c>
    </row>
    <row r="7" spans="1:6" ht="12.75">
      <c r="A7" s="81" t="s">
        <v>153</v>
      </c>
      <c r="B7" s="100">
        <f>($B$6-B6)/$B$6</f>
        <v>0</v>
      </c>
      <c r="C7" s="101">
        <f>($B$6-C6)/$B$6</f>
        <v>0.012806374728753935</v>
      </c>
      <c r="D7" s="101">
        <f>($B$6-D6)/$B$6</f>
        <v>0.025612749457507657</v>
      </c>
      <c r="E7" s="100">
        <f>($B$6-E6)/$B$6</f>
        <v>0.007203585784924114</v>
      </c>
      <c r="F7" s="101">
        <f>($B$6-F6)/$B$6</f>
        <v>0.1352139731777595</v>
      </c>
    </row>
    <row r="8" spans="1:6" ht="12.75">
      <c r="A8" s="62"/>
      <c r="C8" s="63"/>
      <c r="D8" s="63"/>
      <c r="E8" s="62"/>
      <c r="F8" s="63"/>
    </row>
    <row r="11" spans="1:11" ht="12.75">
      <c r="A11" s="94" t="s">
        <v>155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55" t="s">
        <v>156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4" ht="12.75">
      <c r="A13" s="86" t="s">
        <v>157</v>
      </c>
      <c r="B13" s="86" t="s">
        <v>159</v>
      </c>
      <c r="C13" s="86" t="s">
        <v>164</v>
      </c>
      <c r="D13" s="86" t="s">
        <v>167</v>
      </c>
    </row>
    <row r="14" spans="1:4" ht="12.75">
      <c r="A14" s="60" t="s">
        <v>158</v>
      </c>
      <c r="B14" s="87">
        <v>0.57</v>
      </c>
      <c r="C14" s="87" t="s">
        <v>165</v>
      </c>
      <c r="D14" s="60">
        <f>B2</f>
        <v>1500</v>
      </c>
    </row>
    <row r="15" spans="1:4" ht="12.75">
      <c r="A15" s="88" t="s">
        <v>161</v>
      </c>
      <c r="B15" s="89">
        <v>0.586</v>
      </c>
      <c r="C15" s="89">
        <f>B15-B14</f>
        <v>0.016000000000000014</v>
      </c>
      <c r="D15" s="60">
        <f>$D$14-$D$14*C15</f>
        <v>1476</v>
      </c>
    </row>
    <row r="16" spans="1:4" ht="12.75">
      <c r="A16" s="88" t="s">
        <v>160</v>
      </c>
      <c r="B16" s="89">
        <v>0.588</v>
      </c>
      <c r="C16" s="89">
        <f>B16-B14-C15</f>
        <v>0.0020000000000000018</v>
      </c>
      <c r="D16" s="60">
        <f>$D$14-$D$14*C16</f>
        <v>1497</v>
      </c>
    </row>
    <row r="17" spans="1:4" ht="12.75">
      <c r="A17" s="88" t="s">
        <v>162</v>
      </c>
      <c r="B17" s="89">
        <v>0.597</v>
      </c>
      <c r="C17" s="89">
        <f>B17-B14-C16-C15</f>
        <v>0.009000000000000008</v>
      </c>
      <c r="D17" s="60">
        <f>$D$14-$D$14*C17</f>
        <v>1486.5</v>
      </c>
    </row>
    <row r="18" spans="1:4" ht="12.75">
      <c r="A18" s="88" t="s">
        <v>163</v>
      </c>
      <c r="B18" s="89">
        <v>0.602</v>
      </c>
      <c r="C18" s="89">
        <f>B18-B14-C17-C16-C15</f>
        <v>0.0050000000000000044</v>
      </c>
      <c r="D18" s="60">
        <f>$D$14-$D$14*C18</f>
        <v>1492.5</v>
      </c>
    </row>
    <row r="19" spans="1:4" ht="12.75">
      <c r="A19" s="62" t="s">
        <v>189</v>
      </c>
      <c r="B19" s="90">
        <v>0.602</v>
      </c>
      <c r="C19" s="90">
        <f>B19-B14</f>
        <v>0.03200000000000003</v>
      </c>
      <c r="D19" s="60">
        <f>$D$14-$D$14*C19</f>
        <v>1452</v>
      </c>
    </row>
    <row r="20" spans="1:4" ht="25.5">
      <c r="A20" s="62"/>
      <c r="B20" s="62"/>
      <c r="C20" s="95" t="s">
        <v>173</v>
      </c>
      <c r="D20" s="62"/>
    </row>
    <row r="21" spans="4:9" ht="12.75">
      <c r="D21" s="189" t="s">
        <v>178</v>
      </c>
      <c r="E21" s="189"/>
      <c r="F21" s="189"/>
      <c r="G21" s="189"/>
      <c r="H21" s="189"/>
      <c r="I21" s="189"/>
    </row>
    <row r="22" spans="1:9" ht="12.75">
      <c r="A22" t="s">
        <v>190</v>
      </c>
      <c r="B22" t="s">
        <v>191</v>
      </c>
      <c r="C22">
        <v>1994</v>
      </c>
      <c r="D22" s="54">
        <v>1995</v>
      </c>
      <c r="E22" s="54">
        <v>1996</v>
      </c>
      <c r="F22" s="54">
        <v>1997</v>
      </c>
      <c r="G22" s="54">
        <v>1998</v>
      </c>
      <c r="H22" s="54">
        <v>1999</v>
      </c>
      <c r="I22" s="54">
        <v>2000</v>
      </c>
    </row>
    <row r="23" spans="1:9" ht="12.75">
      <c r="A23" t="s">
        <v>174</v>
      </c>
      <c r="B23" s="96">
        <v>7130000</v>
      </c>
      <c r="C23" s="96">
        <v>7830000</v>
      </c>
      <c r="D23" s="97">
        <v>7760000</v>
      </c>
      <c r="E23" s="97">
        <v>7737000</v>
      </c>
      <c r="F23" s="97">
        <v>7730000</v>
      </c>
      <c r="G23" s="97">
        <v>9109600</v>
      </c>
      <c r="H23" s="97">
        <v>9264000</v>
      </c>
      <c r="I23" s="97">
        <v>10113888</v>
      </c>
    </row>
    <row r="24" spans="1:9" ht="12.75">
      <c r="A24" t="s">
        <v>175</v>
      </c>
      <c r="B24" s="96">
        <v>130000</v>
      </c>
      <c r="C24" s="96">
        <v>125000</v>
      </c>
      <c r="D24" s="97">
        <v>115000</v>
      </c>
      <c r="E24" s="97">
        <v>113000</v>
      </c>
      <c r="F24" s="97">
        <v>111000</v>
      </c>
      <c r="G24" s="97">
        <v>129644</v>
      </c>
      <c r="H24" s="97">
        <v>154891</v>
      </c>
      <c r="I24" s="97">
        <v>196000</v>
      </c>
    </row>
    <row r="25" spans="1:9" ht="12.75">
      <c r="A25" t="s">
        <v>176</v>
      </c>
      <c r="B25" s="96">
        <v>778000</v>
      </c>
      <c r="C25" s="96">
        <v>924000</v>
      </c>
      <c r="D25" s="97">
        <v>1100000</v>
      </c>
      <c r="E25" s="97">
        <v>1211000</v>
      </c>
      <c r="F25" s="97">
        <v>1330000</v>
      </c>
      <c r="G25" s="97">
        <v>1577450</v>
      </c>
      <c r="H25" s="97">
        <v>2162194</v>
      </c>
      <c r="I25" s="97">
        <v>2333677</v>
      </c>
    </row>
    <row r="26" spans="2:4" ht="12.75">
      <c r="B26" s="188" t="s">
        <v>177</v>
      </c>
      <c r="C26" s="188"/>
      <c r="D26" s="188"/>
    </row>
    <row r="28" spans="1:3" ht="12.75">
      <c r="A28" t="s">
        <v>179</v>
      </c>
      <c r="B28">
        <v>8</v>
      </c>
      <c r="C28" t="s">
        <v>180</v>
      </c>
    </row>
    <row r="29" spans="1:3" ht="12.75">
      <c r="A29" t="s">
        <v>181</v>
      </c>
      <c r="B29" s="96">
        <f>SUM(B23:I23)+SUM(B25:I25)</f>
        <v>78090809</v>
      </c>
      <c r="C29" t="s">
        <v>184</v>
      </c>
    </row>
    <row r="30" spans="1:3" ht="12.75">
      <c r="A30" t="s">
        <v>182</v>
      </c>
      <c r="B30" s="96">
        <f>SUM(B23:I25)</f>
        <v>79165344</v>
      </c>
      <c r="C30" t="s">
        <v>184</v>
      </c>
    </row>
    <row r="31" spans="1:3" ht="12.75">
      <c r="A31" t="s">
        <v>185</v>
      </c>
      <c r="B31">
        <v>0.9</v>
      </c>
      <c r="C31" t="s">
        <v>186</v>
      </c>
    </row>
    <row r="32" spans="1:2" ht="12.75">
      <c r="A32" t="s">
        <v>187</v>
      </c>
      <c r="B32" s="96">
        <v>101670000</v>
      </c>
    </row>
    <row r="33" spans="1:3" ht="12.75">
      <c r="A33" s="64" t="s">
        <v>182</v>
      </c>
      <c r="B33" s="98">
        <f>B31*B32</f>
        <v>91503000</v>
      </c>
      <c r="C33" t="s">
        <v>188</v>
      </c>
    </row>
  </sheetData>
  <mergeCells count="2">
    <mergeCell ref="B26:D26"/>
    <mergeCell ref="D21:I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3" max="3" width="9.57421875" style="0" customWidth="1"/>
    <col min="4" max="4" width="10.57421875" style="0" customWidth="1"/>
    <col min="5" max="5" width="12.8515625" style="0" customWidth="1"/>
    <col min="7" max="9" width="10.28125" style="0" customWidth="1"/>
    <col min="10" max="10" width="10.140625" style="0" customWidth="1"/>
    <col min="12" max="12" width="94.57421875" style="0" customWidth="1"/>
  </cols>
  <sheetData>
    <row r="1" spans="1:4" ht="12.75">
      <c r="A1" s="55" t="s">
        <v>132</v>
      </c>
      <c r="B1" s="55"/>
      <c r="C1" s="55"/>
      <c r="D1" s="55"/>
    </row>
    <row r="2" spans="1:12" ht="12.75">
      <c r="A2" s="55" t="s">
        <v>130</v>
      </c>
      <c r="B2" s="190" t="s">
        <v>109</v>
      </c>
      <c r="C2" s="190"/>
      <c r="D2" s="190"/>
      <c r="E2" s="190" t="s">
        <v>114</v>
      </c>
      <c r="F2" s="190"/>
      <c r="G2" s="190"/>
      <c r="H2" s="190" t="s">
        <v>121</v>
      </c>
      <c r="I2" s="190"/>
      <c r="J2" s="190"/>
      <c r="L2" s="54" t="s">
        <v>118</v>
      </c>
    </row>
    <row r="3" spans="1:12" ht="12.75">
      <c r="A3" s="56"/>
      <c r="B3" s="57" t="s">
        <v>110</v>
      </c>
      <c r="C3" s="57" t="s">
        <v>111</v>
      </c>
      <c r="D3" s="57" t="s">
        <v>112</v>
      </c>
      <c r="E3" s="57" t="s">
        <v>110</v>
      </c>
      <c r="F3" s="57" t="s">
        <v>111</v>
      </c>
      <c r="G3" s="57" t="s">
        <v>112</v>
      </c>
      <c r="H3" s="57" t="s">
        <v>110</v>
      </c>
      <c r="I3" s="57" t="s">
        <v>111</v>
      </c>
      <c r="J3" s="57" t="s">
        <v>112</v>
      </c>
      <c r="K3" s="57" t="s">
        <v>116</v>
      </c>
      <c r="L3" s="58" t="s">
        <v>117</v>
      </c>
    </row>
    <row r="4" spans="1:12" ht="12.75">
      <c r="A4" s="59" t="s">
        <v>105</v>
      </c>
      <c r="B4" s="59">
        <v>113</v>
      </c>
      <c r="C4" s="59"/>
      <c r="D4" s="59">
        <v>61.9</v>
      </c>
      <c r="E4" s="59">
        <v>1087</v>
      </c>
      <c r="F4" s="59"/>
      <c r="G4" s="59">
        <v>3110</v>
      </c>
      <c r="H4" s="59">
        <v>9.6</v>
      </c>
      <c r="I4" s="59"/>
      <c r="J4" s="59">
        <v>50.2</v>
      </c>
      <c r="K4" s="60" t="s">
        <v>142</v>
      </c>
      <c r="L4" s="61" t="s">
        <v>143</v>
      </c>
    </row>
    <row r="5" spans="1:12" ht="12.75">
      <c r="A5" s="59" t="s">
        <v>106</v>
      </c>
      <c r="B5" s="59">
        <v>130</v>
      </c>
      <c r="C5" s="59"/>
      <c r="D5" s="59">
        <v>65.1</v>
      </c>
      <c r="E5" s="59">
        <v>1001</v>
      </c>
      <c r="F5" s="59"/>
      <c r="G5" s="59">
        <v>6057</v>
      </c>
      <c r="H5" s="59">
        <v>7.7</v>
      </c>
      <c r="I5" s="59"/>
      <c r="J5" s="59">
        <v>93.1</v>
      </c>
      <c r="K5" s="60" t="s">
        <v>142</v>
      </c>
      <c r="L5" s="61" t="s">
        <v>143</v>
      </c>
    </row>
    <row r="6" spans="1:12" ht="12.75">
      <c r="A6" s="59" t="s">
        <v>107</v>
      </c>
      <c r="B6" s="59">
        <v>214</v>
      </c>
      <c r="C6" s="59"/>
      <c r="D6" s="59">
        <v>71.4</v>
      </c>
      <c r="E6" s="59">
        <v>1865</v>
      </c>
      <c r="F6" s="59"/>
      <c r="G6" s="59">
        <v>5339</v>
      </c>
      <c r="H6" s="59">
        <v>8.7</v>
      </c>
      <c r="I6" s="59"/>
      <c r="J6" s="59">
        <v>74.8</v>
      </c>
      <c r="K6" s="60" t="s">
        <v>142</v>
      </c>
      <c r="L6" s="61" t="s">
        <v>143</v>
      </c>
    </row>
    <row r="7" spans="1:12" ht="12.75">
      <c r="A7" s="59" t="s">
        <v>108</v>
      </c>
      <c r="B7" s="59">
        <v>210</v>
      </c>
      <c r="C7" s="59"/>
      <c r="D7" s="59">
        <v>130.5</v>
      </c>
      <c r="E7" s="59">
        <v>1907</v>
      </c>
      <c r="F7" s="59"/>
      <c r="G7" s="59">
        <v>6471</v>
      </c>
      <c r="H7" s="59">
        <v>9.1</v>
      </c>
      <c r="I7" s="59"/>
      <c r="J7" s="59">
        <v>49.6</v>
      </c>
      <c r="K7" s="60" t="s">
        <v>142</v>
      </c>
      <c r="L7" s="61" t="s">
        <v>143</v>
      </c>
    </row>
    <row r="8" spans="1:12" ht="12.75">
      <c r="A8" s="60" t="s">
        <v>113</v>
      </c>
      <c r="B8" s="71">
        <v>155</v>
      </c>
      <c r="C8" s="60">
        <v>110</v>
      </c>
      <c r="D8" s="71">
        <v>75</v>
      </c>
      <c r="E8" s="60">
        <v>1250</v>
      </c>
      <c r="F8" s="62">
        <v>2500</v>
      </c>
      <c r="G8" s="62">
        <v>5000</v>
      </c>
      <c r="H8" s="62" t="s">
        <v>125</v>
      </c>
      <c r="I8" s="62" t="s">
        <v>125</v>
      </c>
      <c r="J8" s="62" t="s">
        <v>125</v>
      </c>
      <c r="K8" s="62" t="s">
        <v>125</v>
      </c>
      <c r="L8" s="63" t="s">
        <v>125</v>
      </c>
    </row>
    <row r="9" spans="1:12" ht="12.75">
      <c r="A9" s="60" t="s">
        <v>115</v>
      </c>
      <c r="B9" s="72">
        <f>B4</f>
        <v>113</v>
      </c>
      <c r="C9" s="73"/>
      <c r="D9" s="72">
        <f>D4</f>
        <v>61.9</v>
      </c>
      <c r="E9" s="73">
        <f>E4</f>
        <v>1087</v>
      </c>
      <c r="F9" s="69"/>
      <c r="G9" s="69">
        <f>G4</f>
        <v>3110</v>
      </c>
      <c r="H9" s="69"/>
      <c r="I9" s="69"/>
      <c r="J9" s="69"/>
      <c r="L9" s="54"/>
    </row>
    <row r="10" spans="1:12" ht="12.75">
      <c r="A10" s="62" t="s">
        <v>120</v>
      </c>
      <c r="B10" s="74">
        <f>E10/H10</f>
        <v>419.1208791208791</v>
      </c>
      <c r="C10" s="75"/>
      <c r="D10" s="74">
        <f>G10/J10</f>
        <v>260.92741935483866</v>
      </c>
      <c r="E10" s="75">
        <f>E7</f>
        <v>1907</v>
      </c>
      <c r="F10" s="69"/>
      <c r="G10" s="69">
        <f>G7</f>
        <v>6471</v>
      </c>
      <c r="H10" s="69">
        <f>(H7*0.2)/0.4</f>
        <v>4.55</v>
      </c>
      <c r="I10" s="69"/>
      <c r="J10" s="69">
        <f>(J7*0.2)/0.4</f>
        <v>24.800000000000004</v>
      </c>
      <c r="K10" t="s">
        <v>119</v>
      </c>
      <c r="L10" s="85" t="s">
        <v>144</v>
      </c>
    </row>
    <row r="11" ht="12.75">
      <c r="L11" s="54"/>
    </row>
    <row r="12" spans="1:12" ht="12.75">
      <c r="A12" s="70" t="s">
        <v>126</v>
      </c>
      <c r="B12" s="57" t="s">
        <v>110</v>
      </c>
      <c r="C12" s="57" t="s">
        <v>111</v>
      </c>
      <c r="D12" s="57" t="s">
        <v>112</v>
      </c>
      <c r="E12" s="58" t="s">
        <v>128</v>
      </c>
      <c r="L12" s="54" t="s">
        <v>122</v>
      </c>
    </row>
    <row r="13" spans="1:12" ht="12.75">
      <c r="A13" s="60" t="s">
        <v>69</v>
      </c>
      <c r="B13" s="65">
        <f>(1/B9-1/B8)/(1/B9)</f>
        <v>0.27096774193548384</v>
      </c>
      <c r="C13" s="65"/>
      <c r="D13" s="65">
        <f>(1/D9-1/D8)/(1/D9)</f>
        <v>0.1746666666666666</v>
      </c>
      <c r="E13" s="66">
        <f>AVERAGE(B13,D13)</f>
        <v>0.2228172043010752</v>
      </c>
      <c r="L13" s="54" t="s">
        <v>123</v>
      </c>
    </row>
    <row r="14" spans="1:12" ht="12.75">
      <c r="A14" s="60" t="s">
        <v>127</v>
      </c>
      <c r="B14" s="65">
        <f>(1/B9-1/B7)/(1/B9)</f>
        <v>0.4619047619047619</v>
      </c>
      <c r="C14" s="65"/>
      <c r="D14" s="65">
        <f>(1/D9-1/D7)/(1/D9)</f>
        <v>0.5256704980842912</v>
      </c>
      <c r="E14" s="66">
        <f>AVERAGE(B14,D14)</f>
        <v>0.4937876299945265</v>
      </c>
      <c r="L14" s="54" t="s">
        <v>124</v>
      </c>
    </row>
    <row r="15" spans="1:5" ht="12.75">
      <c r="A15" s="62" t="s">
        <v>131</v>
      </c>
      <c r="B15" s="67">
        <f>1-B9/B10</f>
        <v>0.7303880440482433</v>
      </c>
      <c r="C15" s="67"/>
      <c r="D15" s="67">
        <f>1-D9/D10</f>
        <v>0.7627692783186524</v>
      </c>
      <c r="E15" s="68">
        <f>AVERAGE(B15,D15)</f>
        <v>0.7465786611834478</v>
      </c>
    </row>
    <row r="16" spans="5:9" ht="12.75">
      <c r="E16" s="54" t="s">
        <v>129</v>
      </c>
      <c r="F16" s="54"/>
      <c r="G16" s="54"/>
      <c r="H16" s="54"/>
      <c r="I16" s="54"/>
    </row>
  </sheetData>
  <mergeCells count="3"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2001-08-24T18:51:41Z</cp:lastPrinted>
  <dcterms:created xsi:type="dcterms:W3CDTF">2001-07-12T22:50:24Z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