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3"/>
  </bookViews>
  <sheets>
    <sheet name="list" sheetId="1" r:id="rId1"/>
    <sheet name="source" sheetId="2" r:id="rId2"/>
    <sheet name="cond" sheetId="3" r:id="rId3"/>
    <sheet name="emiss 1" sheetId="4" r:id="rId4"/>
    <sheet name="feed 1" sheetId="5" r:id="rId5"/>
    <sheet name="process" sheetId="6" r:id="rId6"/>
    <sheet name="not used emiss 2" sheetId="7" r:id="rId7"/>
  </sheets>
  <definedNames>
    <definedName name="_xlnm.Print_Titles" localSheetId="4">'feed 1'!$B:$B</definedName>
  </definedNames>
  <calcPr fullCalcOnLoad="1"/>
</workbook>
</file>

<file path=xl/sharedStrings.xml><?xml version="1.0" encoding="utf-8"?>
<sst xmlns="http://schemas.openxmlformats.org/spreadsheetml/2006/main" count="782" uniqueCount="174">
  <si>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</si>
  <si>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</si>
  <si>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</si>
  <si>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</si>
  <si>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</si>
  <si>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</si>
  <si>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</si>
  <si>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</si>
  <si>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</si>
  <si>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</si>
  <si>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</si>
  <si>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</si>
  <si>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</si>
  <si>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</si>
  <si>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</si>
  <si>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</si>
  <si>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</si>
  <si>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</si>
  <si>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</si>
  <si>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</si>
  <si>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Feedrate Calculations</t>
  </si>
  <si>
    <t>Cond Avg</t>
  </si>
  <si>
    <t>Feedstream Description</t>
  </si>
  <si>
    <t>Ash</t>
  </si>
  <si>
    <t>DRE</t>
  </si>
  <si>
    <t>lb/hr</t>
  </si>
  <si>
    <r>
      <t>o</t>
    </r>
    <r>
      <rPr>
        <sz val="10"/>
        <rFont val="Arial"/>
        <family val="2"/>
      </rPr>
      <t>F</t>
    </r>
  </si>
  <si>
    <t>MM Btu/hr</t>
  </si>
  <si>
    <t>ug/dscm</t>
  </si>
  <si>
    <t>SVM</t>
  </si>
  <si>
    <t>LVM</t>
  </si>
  <si>
    <t>mg/dscm</t>
  </si>
  <si>
    <t>Stack Gas Emissions</t>
  </si>
  <si>
    <t>HW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</si>
  <si>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</si>
  <si>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</si>
  <si>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</si>
  <si>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</si>
  <si>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</si>
  <si>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</si>
  <si>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</si>
  <si>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</si>
  <si>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</si>
  <si>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</si>
  <si>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</si>
  <si>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</si>
  <si>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</si>
  <si>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</si>
  <si>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</si>
  <si>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Mercury</t>
  </si>
  <si>
    <t>Comments</t>
  </si>
  <si>
    <t>Trial Burn</t>
  </si>
  <si>
    <t xml:space="preserve">   O2</t>
  </si>
  <si>
    <t xml:space="preserve">   Moisture</t>
  </si>
  <si>
    <t>Chromium</t>
  </si>
  <si>
    <t>Sampling Train</t>
  </si>
  <si>
    <t>Trial burn</t>
  </si>
  <si>
    <t>*</t>
  </si>
  <si>
    <t>HWC Burn Status (Date if Terminated)</t>
  </si>
  <si>
    <t>nd</t>
  </si>
  <si>
    <t>n</t>
  </si>
  <si>
    <t>Phase I ID No.</t>
  </si>
  <si>
    <t>Silver</t>
  </si>
  <si>
    <t>Arsenic</t>
  </si>
  <si>
    <t>Barium</t>
  </si>
  <si>
    <t>Cadmium</t>
  </si>
  <si>
    <t>Copper</t>
  </si>
  <si>
    <t>Nickel</t>
  </si>
  <si>
    <t>Antimony</t>
  </si>
  <si>
    <t>Selenium</t>
  </si>
  <si>
    <t>Thallium</t>
  </si>
  <si>
    <t>CO (RA)</t>
  </si>
  <si>
    <t>Comb Cham Pressure</t>
  </si>
  <si>
    <t>in H2O</t>
  </si>
  <si>
    <t>gpm</t>
  </si>
  <si>
    <t>Natural gas</t>
  </si>
  <si>
    <t>CO (MHRA)</t>
  </si>
  <si>
    <t>POHC Feedrate</t>
  </si>
  <si>
    <t>Emission Rate</t>
  </si>
  <si>
    <t>&gt;</t>
  </si>
  <si>
    <t>Stack Gas Flowrate</t>
  </si>
  <si>
    <t>Oxygen</t>
  </si>
  <si>
    <t>Feedrate MTEC Calculations</t>
  </si>
  <si>
    <t>7%O2</t>
  </si>
  <si>
    <t>Geismar</t>
  </si>
  <si>
    <t>LA</t>
  </si>
  <si>
    <t>Aniline incinerator</t>
  </si>
  <si>
    <t>3 combustion chamber, low-NOx via recycled flue gas burning</t>
  </si>
  <si>
    <t>Spray contactor/quench tank, hydrosonics 2-stage venturi scrubber,  mist eliminator</t>
  </si>
  <si>
    <t>WQ/VS/DM</t>
  </si>
  <si>
    <t>none</t>
  </si>
  <si>
    <t>24.2 MMBtu/hr</t>
  </si>
  <si>
    <t>604C1</t>
  </si>
  <si>
    <t>Test Report for the Trial Burn on the Aniline Incinerator at BASF Corp. in Geismar, LA , Final Report, December 1992.</t>
  </si>
  <si>
    <t xml:space="preserve">Midwest Research Institute </t>
  </si>
  <si>
    <t>Sept 15-17, 1992</t>
  </si>
  <si>
    <t>Trial burn (initial)</t>
  </si>
  <si>
    <t>PM, metals, DRE, NOx/CO/THC, VOC/PICs, metal feeds</t>
  </si>
  <si>
    <t>NOx</t>
  </si>
  <si>
    <t>Benzene</t>
  </si>
  <si>
    <t>Mononitrobenzene</t>
  </si>
  <si>
    <t>POHC -1</t>
  </si>
  <si>
    <t>POHC - 2</t>
  </si>
  <si>
    <t>g/min</t>
  </si>
  <si>
    <t xml:space="preserve">Avg of 3 trains (PM, metals,SVPOHC) </t>
  </si>
  <si>
    <t>Primary Comb Chamb Temp (Red furnace)</t>
  </si>
  <si>
    <t>Sec Comb Chamb Temp (Reox chamber)</t>
  </si>
  <si>
    <t>VS Water Flow</t>
  </si>
  <si>
    <t>Quench Water Flow</t>
  </si>
  <si>
    <t>Steam production</t>
  </si>
  <si>
    <t>Total heat input</t>
  </si>
  <si>
    <t>Chlorine</t>
  </si>
  <si>
    <t>g/hr</t>
  </si>
  <si>
    <t>LAD040776809</t>
  </si>
  <si>
    <t>kg/hr</t>
  </si>
  <si>
    <t>Aniline and mononitrobenzene (MNB) process liquid wastes</t>
  </si>
  <si>
    <t>Report Name/Date</t>
  </si>
  <si>
    <t>Report Preparer</t>
  </si>
  <si>
    <t>Testing Firm</t>
  </si>
  <si>
    <t>Testing Dates</t>
  </si>
  <si>
    <t>Condition Descr</t>
  </si>
  <si>
    <t>Content</t>
  </si>
  <si>
    <t>604C10</t>
  </si>
  <si>
    <t>R1</t>
  </si>
  <si>
    <t>R2</t>
  </si>
  <si>
    <t>R3</t>
  </si>
  <si>
    <t>R4</t>
  </si>
  <si>
    <t/>
  </si>
  <si>
    <t>Chromium (Hex)</t>
  </si>
  <si>
    <t>Cr Hex</t>
  </si>
  <si>
    <t>Nitrobenzene</t>
  </si>
  <si>
    <t>Condition Description</t>
  </si>
  <si>
    <t>Combustor Class</t>
  </si>
  <si>
    <t>Combustor Type</t>
  </si>
  <si>
    <t>Liquid injection</t>
  </si>
  <si>
    <t>John Zinc, horizontal, liquid incinerator, 3 comb zones (reduction furnace, quench zone, reoxidation chamber) w/waste heat boiler/economizer; flue gas recycled from economizer outlet to reduction furnace</t>
  </si>
  <si>
    <t>Same data as in previous sheet condition 10!</t>
  </si>
  <si>
    <t>Total</t>
  </si>
  <si>
    <t>Aniline TK-501</t>
  </si>
  <si>
    <t>MNB TK-502</t>
  </si>
  <si>
    <t>Heating Value</t>
  </si>
  <si>
    <t>Btu/lb</t>
  </si>
  <si>
    <t>Feedrate</t>
  </si>
  <si>
    <t>BASF</t>
  </si>
  <si>
    <t>APCS Detailed Acronym</t>
  </si>
  <si>
    <t>APCS General Class</t>
  </si>
  <si>
    <t>Number of Sister Facilities</t>
  </si>
  <si>
    <t>WQ,HEWS</t>
  </si>
  <si>
    <t>Cond Dates</t>
  </si>
  <si>
    <t>E1</t>
  </si>
  <si>
    <t>HC(RA)</t>
  </si>
  <si>
    <t>Chromium(Hex)</t>
  </si>
  <si>
    <t>Liq.</t>
  </si>
  <si>
    <t>source</t>
  </si>
  <si>
    <t>cond</t>
  </si>
  <si>
    <t>emiss 1</t>
  </si>
  <si>
    <t>feed 1</t>
  </si>
  <si>
    <t>process</t>
  </si>
  <si>
    <t>same data as in previous sheet</t>
  </si>
  <si>
    <t>Onsite incinerator</t>
  </si>
  <si>
    <t>HC (RA)</t>
  </si>
  <si>
    <t>Feedstream Number</t>
  </si>
  <si>
    <t>Feed Class</t>
  </si>
  <si>
    <t>F1</t>
  </si>
  <si>
    <t>Liq HW</t>
  </si>
  <si>
    <t>F2</t>
  </si>
  <si>
    <t>F3</t>
  </si>
  <si>
    <t>NG</t>
  </si>
  <si>
    <t>F4</t>
  </si>
  <si>
    <t>Thermal Feedrate</t>
  </si>
  <si>
    <t>MMBtu/hr</t>
  </si>
  <si>
    <t>Feed Class 2</t>
  </si>
  <si>
    <t>MF</t>
  </si>
  <si>
    <t>Estimated Firing Rate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</si>
</sst>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00000"/>
    <numFmt numFmtId="178" formatCode="0.0000E+00"/>
    <numFmt numFmtId="179" formatCode="0.000E+00"/>
    <numFmt numFmtId="180" formatCode="0.0E+00"/>
    <numFmt numFmtId="181" formatCode="mm/dd/yy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right" wrapText="1"/>
    </xf>
    <xf numFmtId="17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J19" sqref="J19"/>
    </sheetView>
  </sheetViews>
  <sheetFormatPr defaultColWidth="9.140625" defaultRowHeight="12.75"/>
  <sheetData>
    <row r="1" ht="12.75">
      <c r="A1" t="s">
        <v>153</v>
      </c>
    </row>
    <row r="2" ht="12.75">
      <c r="A2" t="s">
        <v>154</v>
      </c>
    </row>
    <row r="3" ht="12.75">
      <c r="A3" t="s">
        <v>155</v>
      </c>
    </row>
    <row r="4" ht="12.75">
      <c r="A4" t="s">
        <v>156</v>
      </c>
    </row>
    <row r="5" ht="12.75">
      <c r="A5" t="s">
        <v>157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52"/>
  <sheetViews>
    <sheetView workbookViewId="0" topLeftCell="B13">
      <selection activeCell="C28" sqref="C28"/>
    </sheetView>
  </sheetViews>
  <sheetFormatPr defaultColWidth="9.140625" defaultRowHeight="12.75"/>
  <cols>
    <col min="1" max="1" width="1.57421875" style="1" hidden="1" customWidth="1"/>
    <col min="2" max="2" width="26.8515625" style="1" customWidth="1"/>
    <col min="3" max="3" width="58.421875" style="1" customWidth="1"/>
    <col min="4" max="16384" width="8.8515625" style="1" customWidth="1"/>
  </cols>
  <sheetData>
    <row r="1" spans="2:12" ht="12.75">
      <c r="B1" s="6" t="s">
        <v>42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2.75">
      <c r="B3" s="11" t="s">
        <v>61</v>
      </c>
      <c r="C3" s="12">
        <v>604</v>
      </c>
      <c r="D3" s="11"/>
      <c r="E3" s="11"/>
      <c r="F3" s="11"/>
      <c r="G3" s="11"/>
      <c r="H3" s="11"/>
      <c r="I3" s="11"/>
      <c r="J3" s="11"/>
      <c r="K3" s="11"/>
      <c r="L3" s="11"/>
    </row>
    <row r="4" spans="2:12" ht="12.75">
      <c r="B4" s="11" t="s">
        <v>0</v>
      </c>
      <c r="C4" s="11" t="s">
        <v>113</v>
      </c>
      <c r="D4" s="11"/>
      <c r="E4" s="11"/>
      <c r="F4" s="11"/>
      <c r="G4" s="11"/>
      <c r="H4" s="11"/>
      <c r="I4" s="11"/>
      <c r="J4" s="11"/>
      <c r="K4" s="11"/>
      <c r="L4" s="11"/>
    </row>
    <row r="5" spans="2:12" ht="12.75">
      <c r="B5" s="11" t="s">
        <v>1</v>
      </c>
      <c r="C5" s="11" t="s">
        <v>143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ht="12.75"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2.75">
      <c r="B7" s="11" t="s">
        <v>3</v>
      </c>
      <c r="C7" s="11" t="s">
        <v>84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2.75">
      <c r="B8" s="11" t="s">
        <v>4</v>
      </c>
      <c r="C8" s="11" t="s">
        <v>85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12.75">
      <c r="B9" s="11" t="s">
        <v>5</v>
      </c>
      <c r="C9" s="11" t="s">
        <v>86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ht="12.75">
      <c r="B10" s="11" t="s">
        <v>6</v>
      </c>
      <c r="C10" s="11" t="s">
        <v>90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2.75">
      <c r="B11" s="11" t="s">
        <v>146</v>
      </c>
      <c r="C11" s="12">
        <v>0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2.75">
      <c r="B12" s="11" t="s">
        <v>132</v>
      </c>
      <c r="C12" s="11" t="s">
        <v>159</v>
      </c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2.75">
      <c r="B13" s="11" t="s">
        <v>133</v>
      </c>
      <c r="C13" s="11" t="s">
        <v>134</v>
      </c>
      <c r="D13" s="11"/>
      <c r="E13" s="11"/>
      <c r="F13" s="11"/>
      <c r="G13" s="11"/>
      <c r="H13" s="11"/>
      <c r="I13" s="11"/>
      <c r="J13" s="11"/>
      <c r="K13" s="11"/>
      <c r="L13" s="11"/>
    </row>
    <row r="14" spans="2:12" s="31" customFormat="1" ht="12.75">
      <c r="B14" s="30" t="s">
        <v>34</v>
      </c>
      <c r="C14" s="30" t="s">
        <v>87</v>
      </c>
      <c r="D14" s="30"/>
      <c r="E14" s="30"/>
      <c r="F14" s="30"/>
      <c r="G14" s="30"/>
      <c r="H14" s="30"/>
      <c r="I14" s="30"/>
      <c r="J14" s="30"/>
      <c r="K14" s="30"/>
      <c r="L14" s="30"/>
    </row>
    <row r="15" spans="2:12" s="31" customFormat="1" ht="51">
      <c r="B15" s="30"/>
      <c r="C15" s="30" t="s">
        <v>135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2:12" s="31" customFormat="1" ht="12.75">
      <c r="B16" s="30" t="s">
        <v>39</v>
      </c>
      <c r="C16" s="32" t="s">
        <v>91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2:12" s="31" customFormat="1" ht="12.75">
      <c r="B17" s="11" t="s">
        <v>43</v>
      </c>
      <c r="C17" s="30"/>
      <c r="F17" s="30"/>
      <c r="G17" s="30"/>
      <c r="H17" s="30"/>
      <c r="I17" s="30"/>
      <c r="J17" s="30"/>
      <c r="K17" s="30"/>
      <c r="L17" s="30"/>
    </row>
    <row r="18" spans="2:12" s="31" customFormat="1" ht="12.75">
      <c r="B18" s="30" t="s">
        <v>144</v>
      </c>
      <c r="C18" s="30" t="s">
        <v>89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2:12" s="31" customFormat="1" ht="12.75">
      <c r="B19" s="30" t="s">
        <v>145</v>
      </c>
      <c r="C19" s="30" t="s">
        <v>147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2:12" ht="25.5">
      <c r="B20" s="30" t="s">
        <v>7</v>
      </c>
      <c r="C20" s="30" t="s">
        <v>88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12.75">
      <c r="B21" s="11" t="s">
        <v>37</v>
      </c>
      <c r="C21" s="11" t="s">
        <v>152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2:12" ht="12.75">
      <c r="B22" s="11" t="s">
        <v>44</v>
      </c>
      <c r="C22" s="35" t="s">
        <v>115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2:12" ht="12.75">
      <c r="B23" s="11" t="s">
        <v>38</v>
      </c>
      <c r="C23" s="11" t="s">
        <v>75</v>
      </c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2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2" ht="12.75">
      <c r="B25" s="11" t="s">
        <v>8</v>
      </c>
      <c r="C25" s="12"/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12.75">
      <c r="B26" s="11" t="s">
        <v>9</v>
      </c>
      <c r="C26" s="34">
        <v>2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2.75">
      <c r="B27" s="11" t="s">
        <v>10</v>
      </c>
      <c r="C27" s="12">
        <v>40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2:12" ht="12.75">
      <c r="B28" s="11" t="s">
        <v>40</v>
      </c>
      <c r="C28" s="13">
        <f>('emiss 1'!O42)/3.14/60</f>
        <v>21.94413810177579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2:12" ht="14.25" customHeight="1">
      <c r="B29" s="11" t="s">
        <v>41</v>
      </c>
      <c r="C29" s="53">
        <f>'emiss 1'!O45</f>
        <v>149</v>
      </c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12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2" ht="12.75">
      <c r="B31" s="11" t="s">
        <v>11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2" ht="12.75">
      <c r="B32" s="11" t="s">
        <v>58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2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2:12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43" spans="4:12" ht="12.75">
      <c r="D43" s="11"/>
      <c r="E43" s="11"/>
      <c r="F43" s="11"/>
      <c r="G43" s="11"/>
      <c r="H43" s="11"/>
      <c r="I43" s="11"/>
      <c r="J43" s="11"/>
      <c r="K43" s="11"/>
      <c r="L43" s="11"/>
    </row>
    <row r="44" spans="2:12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2.75">
      <c r="B45" s="40"/>
      <c r="C45" s="14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2.75">
      <c r="B50" s="40"/>
      <c r="C50" s="36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2.75">
      <c r="B53" s="40"/>
      <c r="C53" s="14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2.75">
      <c r="B56" s="11"/>
      <c r="C56" s="54"/>
      <c r="D56" s="11"/>
      <c r="E56" s="11"/>
      <c r="F56" s="11"/>
      <c r="G56" s="11"/>
      <c r="H56" s="11"/>
      <c r="I56" s="11"/>
      <c r="J56" s="11"/>
      <c r="K56" s="11"/>
      <c r="L56" s="11"/>
    </row>
    <row r="57" spans="2:12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2:12" ht="12.75">
      <c r="B58" s="40"/>
      <c r="C58" s="36"/>
      <c r="D58" s="11"/>
      <c r="E58" s="11"/>
      <c r="F58" s="11"/>
      <c r="G58" s="11"/>
      <c r="H58" s="11"/>
      <c r="I58" s="11"/>
      <c r="J58" s="11"/>
      <c r="K58" s="11"/>
      <c r="L58" s="11"/>
    </row>
    <row r="59" spans="2:12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2:12" ht="12.75">
      <c r="B60" s="40"/>
      <c r="C60" s="36"/>
      <c r="D60" s="11"/>
      <c r="E60" s="11"/>
      <c r="F60" s="11"/>
      <c r="G60" s="11"/>
      <c r="H60" s="11"/>
      <c r="I60" s="11"/>
      <c r="J60" s="11"/>
      <c r="K60" s="11"/>
      <c r="L60" s="11"/>
    </row>
    <row r="61" spans="2:12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2:12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2:12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2:12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2:12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2:12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2:12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2:12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2:12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2:12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2:12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2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2:12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2:12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2:12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2:12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2:12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2:12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2:12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2:12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2:12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2:12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2:12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2:12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2:12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2:12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2:12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2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2:12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2:12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2:12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2:12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2:12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2:12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2:12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2:12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2:12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2:12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2:12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2:12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2:12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2:12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2:12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2:12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2:12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2:12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2:12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2:12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2:12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2:12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2:12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2:12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2:12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2:12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2:12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2:12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2:12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2:12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2:12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2:12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2:12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2:12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2:12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2:12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2:12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2:12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2:12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2:12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2:12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2:12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2:12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2:12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2:12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2:12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2:12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2:12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2:12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2:12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2:12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2:12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2:12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2:12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2:12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2:12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2:12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2:12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2:12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2:12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2:12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2:12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2:12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2:12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2:12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2:12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2:12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2:12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2:12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2:12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2:12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2:12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2:12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2:12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2:12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2:12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2:12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2:12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2:12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2:12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2:12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2:12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2:12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2:12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2:12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2:12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2:12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2:12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2:12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2:12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2:12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2:12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2:12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2:12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2:12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2:12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2:12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2:12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2:12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2:12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2:12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2:12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2:12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2:12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2:12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2:12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2:12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2:12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2:12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2:12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2:12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2:12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2:12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2:12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2:12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2:12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2:12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2:12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2:12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2:12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2:12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2:12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2:12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2:12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2:12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2:12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2:12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2:12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2:12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2:12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2:12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2:12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2:12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2:12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2:12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2:12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2:12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2:12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2:12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2:12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2:12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2:12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2:12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2:12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2:12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2:12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2:12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2:12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2:12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2:12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2:12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2:12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2:12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2:12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2:12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2:12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2:12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2:12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2:12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2:12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2:12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2:12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2:12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2:12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2:12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2:12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2:12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2:12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2:12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2:12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2:12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2:12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2:12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2:12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2:12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2:12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2:12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2:12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2:12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2:12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2:12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2:12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2:12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2:12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2:12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2:12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2:12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2:12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2:12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2:12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2:12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2:12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2:12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2:12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2:12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2:12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2:12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2:12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2:12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2:12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2:12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2:1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2:1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2:1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2:1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2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2:12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2:12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2:12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2:12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2:12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2:12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2:12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2:12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2:12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2:12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2:12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2:12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2:12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2:12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2:12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2:12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2:12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2:12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2:12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2:12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2:12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2:12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2:12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2:12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2:12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2:12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2:12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2:12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2:12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2:12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2:12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2:12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2:12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2:12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2:12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2:12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2:12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2:12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2:12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2:12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2:12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2:12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2:12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2:12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2:12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2:12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2:12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2:12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2:12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2:12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2:12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2:12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2:12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2:12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2:12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2:12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2:12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2:12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2:12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2:12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2:12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2:12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2:12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2:12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2:12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2:12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2:12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2:12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2:12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2:12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2:12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2:12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2:12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2:12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2:12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2:12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2:12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2:12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2:12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2:12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2:12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2:12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2:12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2:12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2:12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2:12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2:12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2:12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2:12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2:12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2:12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2:12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2:12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2:12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2:12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2:12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2:12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2:12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2:12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2:12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2:12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2:12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2:12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2:12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2:12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2:12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2:12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2:12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2:12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2:12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2:12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2:12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2:12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2:12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2:12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2:12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2:12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2:12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2:12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2:12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2:12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2:12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2:12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2:12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2:12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2:12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2:12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2:12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2:12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2:12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2:12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2:12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2:12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2:12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2:12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2:12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2:12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2:12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2:12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2:12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2:12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2:12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2:12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2:12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2:12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2:12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2:12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2:12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1"/>
  <sheetViews>
    <sheetView workbookViewId="0" topLeftCell="B1">
      <selection activeCell="C28" sqref="C28"/>
    </sheetView>
  </sheetViews>
  <sheetFormatPr defaultColWidth="9.140625" defaultRowHeight="12.75"/>
  <cols>
    <col min="1" max="1" width="0.9921875" style="0" hidden="1" customWidth="1"/>
    <col min="2" max="2" width="19.7109375" style="0" customWidth="1"/>
    <col min="3" max="3" width="64.00390625" style="44" customWidth="1"/>
  </cols>
  <sheetData>
    <row r="1" ht="12.75">
      <c r="B1" s="6" t="s">
        <v>131</v>
      </c>
    </row>
    <row r="3" spans="2:11" s="1" customFormat="1" ht="12.75">
      <c r="B3" s="6" t="s">
        <v>122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s="1" customFormat="1" ht="12.75">
      <c r="B4" s="6"/>
      <c r="C4" s="11"/>
      <c r="D4" s="11"/>
      <c r="E4" s="11"/>
      <c r="F4" s="11"/>
      <c r="G4" s="11"/>
      <c r="H4" s="11"/>
      <c r="I4" s="11"/>
      <c r="J4" s="11"/>
      <c r="K4" s="11"/>
    </row>
    <row r="5" spans="2:11" s="1" customFormat="1" ht="25.5">
      <c r="B5" s="40" t="s">
        <v>116</v>
      </c>
      <c r="C5" s="35" t="s">
        <v>93</v>
      </c>
      <c r="D5" s="11"/>
      <c r="E5" s="11"/>
      <c r="F5" s="11"/>
      <c r="G5" s="11"/>
      <c r="H5" s="11"/>
      <c r="I5" s="11"/>
      <c r="J5" s="11"/>
      <c r="K5" s="11"/>
    </row>
    <row r="6" spans="2:11" s="1" customFormat="1" ht="12.75">
      <c r="B6" s="11" t="s">
        <v>117</v>
      </c>
      <c r="C6" s="11" t="s">
        <v>94</v>
      </c>
      <c r="D6" s="11"/>
      <c r="E6" s="11"/>
      <c r="F6" s="11"/>
      <c r="G6" s="11"/>
      <c r="H6" s="11"/>
      <c r="I6" s="11"/>
      <c r="J6" s="11"/>
      <c r="K6" s="11"/>
    </row>
    <row r="7" spans="2:11" s="1" customFormat="1" ht="12.75">
      <c r="B7" s="11" t="s">
        <v>118</v>
      </c>
      <c r="C7" s="11" t="s">
        <v>94</v>
      </c>
      <c r="D7" s="11"/>
      <c r="E7" s="11"/>
      <c r="F7" s="11"/>
      <c r="G7" s="11"/>
      <c r="H7" s="11"/>
      <c r="I7" s="11"/>
      <c r="J7" s="11"/>
      <c r="K7" s="11"/>
    </row>
    <row r="8" spans="2:11" s="1" customFormat="1" ht="12.75">
      <c r="B8" s="11" t="s">
        <v>119</v>
      </c>
      <c r="C8" s="14" t="s">
        <v>95</v>
      </c>
      <c r="D8" s="11"/>
      <c r="E8" s="11"/>
      <c r="F8" s="11"/>
      <c r="G8" s="11"/>
      <c r="H8" s="11"/>
      <c r="I8" s="11"/>
      <c r="J8" s="11"/>
      <c r="K8" s="11"/>
    </row>
    <row r="9" spans="2:11" s="1" customFormat="1" ht="12.75">
      <c r="B9" s="11" t="s">
        <v>148</v>
      </c>
      <c r="C9" s="67">
        <v>33864</v>
      </c>
      <c r="D9" s="11"/>
      <c r="E9" s="11"/>
      <c r="F9" s="11"/>
      <c r="G9" s="11"/>
      <c r="H9" s="11"/>
      <c r="I9" s="11"/>
      <c r="J9" s="11"/>
      <c r="K9" s="11"/>
    </row>
    <row r="10" spans="2:11" s="1" customFormat="1" ht="12.75">
      <c r="B10" s="11" t="s">
        <v>120</v>
      </c>
      <c r="C10" s="11" t="s">
        <v>96</v>
      </c>
      <c r="D10" s="11"/>
      <c r="E10" s="11"/>
      <c r="F10" s="11"/>
      <c r="G10" s="11"/>
      <c r="H10" s="11"/>
      <c r="I10" s="11"/>
      <c r="J10" s="11"/>
      <c r="K10" s="11"/>
    </row>
    <row r="11" spans="2:11" s="1" customFormat="1" ht="12.75">
      <c r="B11" s="40" t="s">
        <v>121</v>
      </c>
      <c r="C11" s="36" t="s">
        <v>97</v>
      </c>
      <c r="D11" s="11"/>
      <c r="E11" s="11"/>
      <c r="F11" s="11"/>
      <c r="G11" s="11"/>
      <c r="H11" s="11"/>
      <c r="I11" s="11"/>
      <c r="J11" s="11"/>
      <c r="K11" s="1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B5">
      <selection activeCell="I38" sqref="I38"/>
    </sheetView>
  </sheetViews>
  <sheetFormatPr defaultColWidth="9.140625" defaultRowHeight="12.75"/>
  <cols>
    <col min="1" max="1" width="2.28125" style="16" hidden="1" customWidth="1"/>
    <col min="2" max="2" width="17.28125" style="16" customWidth="1"/>
    <col min="3" max="3" width="7.28125" style="16" customWidth="1"/>
    <col min="4" max="4" width="8.421875" style="8" customWidth="1"/>
    <col min="5" max="5" width="6.140625" style="8" customWidth="1"/>
    <col min="6" max="6" width="2.57421875" style="8" customWidth="1"/>
    <col min="7" max="7" width="9.140625" style="16" customWidth="1"/>
    <col min="8" max="8" width="3.421875" style="16" customWidth="1"/>
    <col min="9" max="9" width="9.57421875" style="17" customWidth="1"/>
    <col min="10" max="10" width="2.8515625" style="17" customWidth="1"/>
    <col min="11" max="11" width="9.28125" style="17" customWidth="1"/>
    <col min="12" max="12" width="3.57421875" style="16" customWidth="1"/>
    <col min="13" max="13" width="9.28125" style="16" customWidth="1"/>
    <col min="14" max="14" width="3.8515625" style="16" customWidth="1"/>
    <col min="15" max="15" width="10.140625" style="16" customWidth="1"/>
    <col min="16" max="16" width="2.140625" style="16" customWidth="1"/>
    <col min="17" max="16384" width="8.8515625" style="16" customWidth="1"/>
  </cols>
  <sheetData>
    <row r="1" spans="2:3" ht="12.75">
      <c r="B1" s="15" t="s">
        <v>32</v>
      </c>
      <c r="C1" s="15"/>
    </row>
    <row r="2" spans="2:14" ht="12.75">
      <c r="B2" s="18"/>
      <c r="C2" s="18"/>
      <c r="G2" s="18"/>
      <c r="H2" s="18"/>
      <c r="I2" s="19"/>
      <c r="J2" s="19"/>
      <c r="K2" s="19"/>
      <c r="L2" s="18"/>
      <c r="M2" s="18"/>
      <c r="N2" s="18"/>
    </row>
    <row r="3" spans="2:5" ht="12.75">
      <c r="B3" s="11"/>
      <c r="C3" s="11" t="s">
        <v>50</v>
      </c>
      <c r="D3" s="8" t="s">
        <v>12</v>
      </c>
      <c r="E3" s="8" t="s">
        <v>35</v>
      </c>
    </row>
    <row r="4" spans="2:14" ht="12.75">
      <c r="B4" s="11"/>
      <c r="C4" s="11"/>
      <c r="G4" s="18"/>
      <c r="H4" s="18"/>
      <c r="I4" s="19"/>
      <c r="J4" s="19"/>
      <c r="K4" s="19"/>
      <c r="L4" s="18"/>
      <c r="M4" s="18"/>
      <c r="N4" s="18"/>
    </row>
    <row r="5" spans="1:15" ht="12.75">
      <c r="A5" s="16">
        <v>1</v>
      </c>
      <c r="B5" s="20" t="s">
        <v>122</v>
      </c>
      <c r="C5" s="20" t="s">
        <v>51</v>
      </c>
      <c r="G5" s="18" t="s">
        <v>123</v>
      </c>
      <c r="H5" s="18"/>
      <c r="I5" s="19" t="s">
        <v>124</v>
      </c>
      <c r="J5" s="19"/>
      <c r="K5" s="19" t="s">
        <v>125</v>
      </c>
      <c r="L5" s="18"/>
      <c r="M5" s="18" t="s">
        <v>126</v>
      </c>
      <c r="N5" s="18"/>
      <c r="O5" s="16" t="s">
        <v>21</v>
      </c>
    </row>
    <row r="6" spans="2:14" ht="12.75">
      <c r="B6" s="8"/>
      <c r="C6" s="8"/>
      <c r="D6" s="11"/>
      <c r="E6" s="11"/>
      <c r="F6" s="11"/>
      <c r="G6" s="11"/>
      <c r="H6" s="11"/>
      <c r="I6" s="21"/>
      <c r="J6" s="21"/>
      <c r="K6" s="21"/>
      <c r="L6" s="11"/>
      <c r="M6" s="11"/>
      <c r="N6" s="11"/>
    </row>
    <row r="7" spans="2:15" ht="12.75">
      <c r="B7" s="8" t="s">
        <v>71</v>
      </c>
      <c r="C7" s="8" t="s">
        <v>149</v>
      </c>
      <c r="D7" s="11" t="s">
        <v>16</v>
      </c>
      <c r="E7" s="11" t="s">
        <v>15</v>
      </c>
      <c r="F7"/>
      <c r="G7">
        <v>1</v>
      </c>
      <c r="H7"/>
      <c r="I7">
        <v>1</v>
      </c>
      <c r="J7"/>
      <c r="K7">
        <v>1</v>
      </c>
      <c r="L7"/>
      <c r="M7">
        <v>3</v>
      </c>
      <c r="N7"/>
      <c r="O7" s="5">
        <f>AVERAGE(M7,K7,I7,G7)</f>
        <v>1.5</v>
      </c>
    </row>
    <row r="8" spans="2:15" ht="12.75">
      <c r="B8" s="8" t="s">
        <v>76</v>
      </c>
      <c r="C8" s="8" t="s">
        <v>149</v>
      </c>
      <c r="D8" s="11" t="s">
        <v>16</v>
      </c>
      <c r="E8" s="11" t="s">
        <v>15</v>
      </c>
      <c r="F8" s="11" t="s">
        <v>59</v>
      </c>
      <c r="G8" s="55">
        <v>5</v>
      </c>
      <c r="H8" s="55" t="s">
        <v>59</v>
      </c>
      <c r="I8" s="55">
        <v>5</v>
      </c>
      <c r="J8" s="55" t="s">
        <v>59</v>
      </c>
      <c r="K8" s="55">
        <v>5</v>
      </c>
      <c r="L8" s="55" t="s">
        <v>59</v>
      </c>
      <c r="M8" s="55">
        <v>10</v>
      </c>
      <c r="N8" t="s">
        <v>59</v>
      </c>
      <c r="O8" s="5">
        <f>AVERAGE(M8,K8,I8,G8)</f>
        <v>6.25</v>
      </c>
    </row>
    <row r="9" spans="2:15" ht="12.75">
      <c r="B9" s="8"/>
      <c r="C9" s="8"/>
      <c r="D9" s="11"/>
      <c r="E9" s="11"/>
      <c r="F9"/>
      <c r="G9"/>
      <c r="H9"/>
      <c r="I9"/>
      <c r="J9"/>
      <c r="K9"/>
      <c r="L9"/>
      <c r="M9"/>
      <c r="N9"/>
      <c r="O9" s="41"/>
    </row>
    <row r="10" spans="2:15" ht="12.75">
      <c r="B10" s="8" t="s">
        <v>13</v>
      </c>
      <c r="C10" s="8" t="s">
        <v>149</v>
      </c>
      <c r="D10" s="8" t="s">
        <v>14</v>
      </c>
      <c r="E10" s="8" t="s">
        <v>15</v>
      </c>
      <c r="F10"/>
      <c r="G10">
        <v>0.0033</v>
      </c>
      <c r="H10"/>
      <c r="I10">
        <v>0.004</v>
      </c>
      <c r="J10"/>
      <c r="K10">
        <v>0.0025</v>
      </c>
      <c r="L10"/>
      <c r="M10">
        <v>0.0034</v>
      </c>
      <c r="N10"/>
      <c r="O10" s="41">
        <f>AVERAGE(M10,K10,I10,G10)</f>
        <v>0.0033</v>
      </c>
    </row>
    <row r="11" spans="2:15" ht="12.75">
      <c r="B11" s="8"/>
      <c r="C11" s="8"/>
      <c r="F11"/>
      <c r="G11"/>
      <c r="H11"/>
      <c r="I11"/>
      <c r="J11"/>
      <c r="K11"/>
      <c r="L11"/>
      <c r="M11"/>
      <c r="N11"/>
      <c r="O11" s="41"/>
    </row>
    <row r="12" spans="2:15" ht="12.75">
      <c r="B12" s="8" t="s">
        <v>98</v>
      </c>
      <c r="C12" s="8"/>
      <c r="D12" s="8" t="s">
        <v>16</v>
      </c>
      <c r="E12" s="8" t="s">
        <v>15</v>
      </c>
      <c r="F12"/>
      <c r="G12" s="49">
        <f>23*14/(21-3.6)</f>
        <v>18.505747126436784</v>
      </c>
      <c r="H12" s="49"/>
      <c r="I12" s="49">
        <f>23*14/(21-3.7)</f>
        <v>18.61271676300578</v>
      </c>
      <c r="J12" s="49"/>
      <c r="K12" s="49">
        <f>21*14/(21-3.6)</f>
        <v>16.896551724137932</v>
      </c>
      <c r="L12" s="49"/>
      <c r="M12" s="49">
        <f>24*14/(21-3.7)</f>
        <v>19.421965317919074</v>
      </c>
      <c r="N12"/>
      <c r="O12" s="5">
        <f>AVERAGE(M12,K12,I12,G12)</f>
        <v>18.359245232874894</v>
      </c>
    </row>
    <row r="13" spans="2:15" ht="12.75">
      <c r="B13" s="8" t="s">
        <v>150</v>
      </c>
      <c r="C13" s="8"/>
      <c r="D13" s="8" t="s">
        <v>16</v>
      </c>
      <c r="E13" s="8" t="s">
        <v>15</v>
      </c>
      <c r="F13"/>
      <c r="G13" s="49">
        <v>0</v>
      </c>
      <c r="H13" s="49"/>
      <c r="I13" s="49">
        <v>0</v>
      </c>
      <c r="J13" s="49"/>
      <c r="K13" s="49">
        <v>0</v>
      </c>
      <c r="L13" s="49"/>
      <c r="M13" s="49">
        <v>0</v>
      </c>
      <c r="N13"/>
      <c r="O13" s="5">
        <f>AVERAGE(M13,K13,I13,G13)</f>
        <v>0</v>
      </c>
    </row>
    <row r="14" spans="2:15" ht="12.75">
      <c r="B14" s="8"/>
      <c r="C14" s="8"/>
      <c r="F14"/>
      <c r="G14" s="41"/>
      <c r="H14"/>
      <c r="I14" s="41"/>
      <c r="J14" s="41"/>
      <c r="K14" s="41"/>
      <c r="L14"/>
      <c r="M14" s="41"/>
      <c r="N14"/>
      <c r="O14" s="5"/>
    </row>
    <row r="15" spans="2:15" ht="12.75">
      <c r="B15" s="8" t="s">
        <v>101</v>
      </c>
      <c r="C15" s="8" t="s">
        <v>99</v>
      </c>
      <c r="G15" s="22"/>
      <c r="H15" s="22"/>
      <c r="I15" s="23"/>
      <c r="J15" s="23"/>
      <c r="K15" s="23"/>
      <c r="L15" s="22"/>
      <c r="M15" s="22"/>
      <c r="O15" s="5"/>
    </row>
    <row r="16" spans="2:15" ht="12.75">
      <c r="B16" s="8" t="s">
        <v>77</v>
      </c>
      <c r="C16" s="8"/>
      <c r="D16" s="8" t="s">
        <v>103</v>
      </c>
      <c r="G16" s="22">
        <v>197</v>
      </c>
      <c r="H16" s="22"/>
      <c r="I16" s="23">
        <v>183</v>
      </c>
      <c r="J16" s="23"/>
      <c r="K16" s="23">
        <v>191</v>
      </c>
      <c r="L16" s="22"/>
      <c r="M16" s="16">
        <v>185</v>
      </c>
      <c r="N16"/>
      <c r="O16"/>
    </row>
    <row r="17" spans="2:15" ht="12.75">
      <c r="B17" s="8" t="s">
        <v>78</v>
      </c>
      <c r="C17" s="8" t="s">
        <v>149</v>
      </c>
      <c r="D17" s="8" t="s">
        <v>103</v>
      </c>
      <c r="G17" s="45">
        <v>0.0014</v>
      </c>
      <c r="H17" s="8" t="s">
        <v>59</v>
      </c>
      <c r="I17" s="45">
        <v>0.00185</v>
      </c>
      <c r="J17" s="45" t="s">
        <v>59</v>
      </c>
      <c r="K17" s="45">
        <v>0.00184</v>
      </c>
      <c r="L17" s="8"/>
      <c r="M17" s="45">
        <v>0.00228</v>
      </c>
      <c r="N17"/>
      <c r="O17"/>
    </row>
    <row r="18" spans="2:15" ht="12.75">
      <c r="B18" s="8" t="s">
        <v>24</v>
      </c>
      <c r="C18" s="8" t="s">
        <v>149</v>
      </c>
      <c r="D18" s="8" t="s">
        <v>18</v>
      </c>
      <c r="G18" s="56">
        <f>(G16-G17)/G16*100</f>
        <v>99.99928934010153</v>
      </c>
      <c r="H18" s="56" t="s">
        <v>79</v>
      </c>
      <c r="I18" s="56">
        <f>(I16-I17)/I16*100</f>
        <v>99.99898907103825</v>
      </c>
      <c r="J18" s="52" t="s">
        <v>79</v>
      </c>
      <c r="K18" s="56">
        <f>(K16-K17)/K16*100</f>
        <v>99.99903664921467</v>
      </c>
      <c r="L18" s="56"/>
      <c r="M18" s="56">
        <f>(M16-M17)/M16*100</f>
        <v>99.99876756756755</v>
      </c>
      <c r="N18"/>
      <c r="O18"/>
    </row>
    <row r="19" spans="2:15" ht="12.75">
      <c r="B19" s="8"/>
      <c r="C19" s="8"/>
      <c r="F19"/>
      <c r="G19"/>
      <c r="H19"/>
      <c r="I19"/>
      <c r="J19"/>
      <c r="K19"/>
      <c r="L19"/>
      <c r="M19"/>
      <c r="N19"/>
      <c r="O19"/>
    </row>
    <row r="20" spans="2:15" ht="12.75">
      <c r="B20" s="8" t="s">
        <v>102</v>
      </c>
      <c r="C20" s="8" t="s">
        <v>100</v>
      </c>
      <c r="G20" s="22"/>
      <c r="H20" s="22"/>
      <c r="I20" s="23"/>
      <c r="J20" s="23"/>
      <c r="K20" s="23"/>
      <c r="L20" s="22"/>
      <c r="M20" s="22"/>
      <c r="N20"/>
      <c r="O20"/>
    </row>
    <row r="21" spans="2:15" ht="12.75">
      <c r="B21" s="8" t="s">
        <v>77</v>
      </c>
      <c r="C21" s="8"/>
      <c r="D21" s="8" t="s">
        <v>103</v>
      </c>
      <c r="G21" s="22">
        <v>1998</v>
      </c>
      <c r="H21" s="22"/>
      <c r="I21" s="23">
        <v>1998</v>
      </c>
      <c r="J21" s="23"/>
      <c r="K21" s="23">
        <v>2045</v>
      </c>
      <c r="L21" s="22"/>
      <c r="M21" s="16">
        <v>2092</v>
      </c>
      <c r="N21"/>
      <c r="O21"/>
    </row>
    <row r="22" spans="2:15" ht="12.75">
      <c r="B22" s="8" t="s">
        <v>78</v>
      </c>
      <c r="C22" s="8" t="s">
        <v>149</v>
      </c>
      <c r="D22" s="8" t="s">
        <v>103</v>
      </c>
      <c r="F22" s="8" t="s">
        <v>59</v>
      </c>
      <c r="G22" s="45">
        <v>0.00068</v>
      </c>
      <c r="H22" s="8" t="s">
        <v>59</v>
      </c>
      <c r="I22" s="45">
        <v>0.00073</v>
      </c>
      <c r="J22" s="45" t="s">
        <v>59</v>
      </c>
      <c r="K22" s="45">
        <v>0.00074</v>
      </c>
      <c r="L22" s="8" t="s">
        <v>59</v>
      </c>
      <c r="M22" s="45">
        <v>0.00075</v>
      </c>
      <c r="N22"/>
      <c r="O22"/>
    </row>
    <row r="23" spans="2:15" ht="12.75">
      <c r="B23" s="8" t="s">
        <v>24</v>
      </c>
      <c r="C23" s="8" t="s">
        <v>149</v>
      </c>
      <c r="D23" s="8" t="s">
        <v>18</v>
      </c>
      <c r="F23" s="8" t="s">
        <v>79</v>
      </c>
      <c r="G23" s="56">
        <f>(G21-G22)/G21*100</f>
        <v>99.99996596596597</v>
      </c>
      <c r="H23" s="56" t="s">
        <v>79</v>
      </c>
      <c r="I23" s="56">
        <f>(I21-I22)/I21*100</f>
        <v>99.99996346346346</v>
      </c>
      <c r="J23" s="56" t="s">
        <v>79</v>
      </c>
      <c r="K23" s="56">
        <f>(K21-K22)/K21*100</f>
        <v>99.99996381418093</v>
      </c>
      <c r="L23" s="56" t="s">
        <v>79</v>
      </c>
      <c r="M23" s="56">
        <f>(M21-M22)/M21*100</f>
        <v>99.99996414913957</v>
      </c>
      <c r="N23"/>
      <c r="O23"/>
    </row>
    <row r="24" spans="2:15" ht="12.75">
      <c r="B24" s="8"/>
      <c r="C24" s="8"/>
      <c r="F24"/>
      <c r="G24"/>
      <c r="H24"/>
      <c r="I24"/>
      <c r="J24"/>
      <c r="K24"/>
      <c r="L24"/>
      <c r="M24"/>
      <c r="N24"/>
      <c r="O24" s="5"/>
    </row>
    <row r="25" spans="2:15" ht="12.75">
      <c r="B25" s="8"/>
      <c r="C25" s="8"/>
      <c r="G25"/>
      <c r="H25" s="8"/>
      <c r="I25"/>
      <c r="J25"/>
      <c r="K25"/>
      <c r="L25" s="8"/>
      <c r="M25"/>
      <c r="N25"/>
      <c r="O25" s="5"/>
    </row>
    <row r="26" spans="2:15" ht="12.75">
      <c r="B26" s="8" t="s">
        <v>68</v>
      </c>
      <c r="C26" s="8"/>
      <c r="D26" s="8" t="s">
        <v>28</v>
      </c>
      <c r="E26" s="8" t="s">
        <v>60</v>
      </c>
      <c r="F26" s="8" t="s">
        <v>59</v>
      </c>
      <c r="G26">
        <v>11.5</v>
      </c>
      <c r="H26" s="8" t="s">
        <v>59</v>
      </c>
      <c r="I26">
        <v>12.6</v>
      </c>
      <c r="J26" s="8" t="s">
        <v>59</v>
      </c>
      <c r="K26">
        <v>12.5</v>
      </c>
      <c r="L26" s="8" t="s">
        <v>59</v>
      </c>
      <c r="M26">
        <v>13.6</v>
      </c>
      <c r="N26"/>
      <c r="O26" s="5"/>
    </row>
    <row r="27" spans="2:15" ht="12.75">
      <c r="B27" s="8" t="s">
        <v>63</v>
      </c>
      <c r="C27" s="8"/>
      <c r="D27" s="8" t="s">
        <v>28</v>
      </c>
      <c r="E27" s="8" t="s">
        <v>60</v>
      </c>
      <c r="G27">
        <v>0.458</v>
      </c>
      <c r="H27" s="8"/>
      <c r="I27">
        <v>0.28</v>
      </c>
      <c r="J27"/>
      <c r="K27">
        <v>0.194</v>
      </c>
      <c r="L27" s="8"/>
      <c r="M27">
        <v>0.188</v>
      </c>
      <c r="N27"/>
      <c r="O27" s="5"/>
    </row>
    <row r="28" spans="2:15" ht="12.75">
      <c r="B28" s="8" t="s">
        <v>64</v>
      </c>
      <c r="C28" s="8"/>
      <c r="D28" s="8" t="s">
        <v>28</v>
      </c>
      <c r="E28" s="8" t="s">
        <v>60</v>
      </c>
      <c r="F28"/>
      <c r="G28">
        <v>51.3</v>
      </c>
      <c r="H28"/>
      <c r="I28">
        <v>57.4</v>
      </c>
      <c r="J28"/>
      <c r="K28">
        <v>52.7</v>
      </c>
      <c r="L28"/>
      <c r="M28">
        <v>57.8</v>
      </c>
      <c r="N28"/>
      <c r="O28" s="5"/>
    </row>
    <row r="29" spans="2:15" ht="12.75">
      <c r="B29" s="8" t="s">
        <v>48</v>
      </c>
      <c r="C29" s="8"/>
      <c r="D29" s="8" t="s">
        <v>28</v>
      </c>
      <c r="E29" s="8" t="s">
        <v>60</v>
      </c>
      <c r="F29" s="8" t="s">
        <v>59</v>
      </c>
      <c r="G29">
        <v>0.094</v>
      </c>
      <c r="H29" s="8" t="s">
        <v>59</v>
      </c>
      <c r="I29">
        <v>0.103</v>
      </c>
      <c r="J29" s="8" t="s">
        <v>59</v>
      </c>
      <c r="K29">
        <v>0.103</v>
      </c>
      <c r="L29" s="8" t="s">
        <v>59</v>
      </c>
      <c r="M29">
        <v>0.11</v>
      </c>
      <c r="N29"/>
      <c r="O29" s="5"/>
    </row>
    <row r="30" spans="2:15" ht="12.75">
      <c r="B30" s="8" t="s">
        <v>65</v>
      </c>
      <c r="C30" s="8"/>
      <c r="D30" s="8" t="s">
        <v>28</v>
      </c>
      <c r="E30" s="8" t="s">
        <v>60</v>
      </c>
      <c r="G30">
        <v>0.777</v>
      </c>
      <c r="H30" s="8"/>
      <c r="I30">
        <v>5.83</v>
      </c>
      <c r="J30" t="s">
        <v>59</v>
      </c>
      <c r="K30">
        <v>0.83</v>
      </c>
      <c r="L30" s="8" t="s">
        <v>59</v>
      </c>
      <c r="M30">
        <v>1.03</v>
      </c>
      <c r="N30"/>
      <c r="O30" s="5"/>
    </row>
    <row r="31" spans="2:15" ht="12.75">
      <c r="B31" s="8" t="s">
        <v>54</v>
      </c>
      <c r="C31" s="8"/>
      <c r="D31" s="8" t="s">
        <v>28</v>
      </c>
      <c r="E31" s="8" t="s">
        <v>60</v>
      </c>
      <c r="G31">
        <v>18.1</v>
      </c>
      <c r="H31" s="8"/>
      <c r="I31">
        <v>15.8</v>
      </c>
      <c r="J31"/>
      <c r="K31">
        <v>15</v>
      </c>
      <c r="L31" s="8"/>
      <c r="M31">
        <v>17</v>
      </c>
      <c r="N31"/>
      <c r="O31" s="5"/>
    </row>
    <row r="32" spans="2:15" ht="12.75">
      <c r="B32" s="8" t="s">
        <v>151</v>
      </c>
      <c r="C32" s="8"/>
      <c r="D32" s="8" t="s">
        <v>28</v>
      </c>
      <c r="E32" s="8" t="s">
        <v>60</v>
      </c>
      <c r="F32"/>
      <c r="G32">
        <v>2.1</v>
      </c>
      <c r="H32"/>
      <c r="I32">
        <v>1.76</v>
      </c>
      <c r="J32"/>
      <c r="K32">
        <v>1.8</v>
      </c>
      <c r="L32"/>
      <c r="M32">
        <v>1.79</v>
      </c>
      <c r="N32"/>
      <c r="O32" s="5"/>
    </row>
    <row r="33" spans="2:15" ht="12.75">
      <c r="B33" s="8" t="s">
        <v>66</v>
      </c>
      <c r="C33" s="8"/>
      <c r="D33" s="8" t="s">
        <v>28</v>
      </c>
      <c r="E33" s="8" t="s">
        <v>60</v>
      </c>
      <c r="G33">
        <v>1741</v>
      </c>
      <c r="H33" s="8"/>
      <c r="I33">
        <v>1839</v>
      </c>
      <c r="J33"/>
      <c r="K33">
        <v>1536</v>
      </c>
      <c r="L33" s="8"/>
      <c r="M33">
        <v>1550</v>
      </c>
      <c r="N33"/>
      <c r="O33" s="5"/>
    </row>
    <row r="34" spans="2:15" ht="12.75">
      <c r="B34" s="8" t="s">
        <v>47</v>
      </c>
      <c r="C34" s="8"/>
      <c r="D34" s="8" t="s">
        <v>28</v>
      </c>
      <c r="E34" s="8" t="s">
        <v>60</v>
      </c>
      <c r="G34">
        <v>2.96</v>
      </c>
      <c r="H34"/>
      <c r="I34">
        <v>3.48</v>
      </c>
      <c r="J34"/>
      <c r="K34">
        <v>4.89</v>
      </c>
      <c r="L34"/>
      <c r="M34">
        <v>2.01</v>
      </c>
      <c r="N34"/>
      <c r="O34" s="5"/>
    </row>
    <row r="35" spans="2:15" ht="12.75">
      <c r="B35" s="8" t="s">
        <v>49</v>
      </c>
      <c r="C35" s="8"/>
      <c r="D35" s="8" t="s">
        <v>28</v>
      </c>
      <c r="E35" s="8" t="s">
        <v>60</v>
      </c>
      <c r="F35" s="8" t="s">
        <v>59</v>
      </c>
      <c r="G35">
        <v>0.928</v>
      </c>
      <c r="H35" s="8" t="s">
        <v>59</v>
      </c>
      <c r="I35">
        <v>1.21</v>
      </c>
      <c r="J35" s="8" t="s">
        <v>59</v>
      </c>
      <c r="K35">
        <v>1.04</v>
      </c>
      <c r="L35" s="8" t="s">
        <v>59</v>
      </c>
      <c r="M35">
        <v>0.768</v>
      </c>
      <c r="N35"/>
      <c r="O35" s="5"/>
    </row>
    <row r="36" spans="2:15" ht="12.75">
      <c r="B36" s="8" t="s">
        <v>67</v>
      </c>
      <c r="C36" s="8"/>
      <c r="D36" s="8" t="s">
        <v>28</v>
      </c>
      <c r="E36" s="8" t="s">
        <v>60</v>
      </c>
      <c r="G36">
        <v>12.4</v>
      </c>
      <c r="H36" s="8"/>
      <c r="I36" s="50">
        <v>12.9</v>
      </c>
      <c r="J36" s="50"/>
      <c r="K36" s="50">
        <v>18.7</v>
      </c>
      <c r="L36" s="8"/>
      <c r="M36">
        <v>13.9</v>
      </c>
      <c r="N36"/>
      <c r="O36" s="5"/>
    </row>
    <row r="37" spans="2:15" ht="12.75">
      <c r="B37" s="8" t="s">
        <v>69</v>
      </c>
      <c r="C37" s="8"/>
      <c r="D37" s="8" t="s">
        <v>28</v>
      </c>
      <c r="E37" s="8" t="s">
        <v>60</v>
      </c>
      <c r="F37" s="8" t="s">
        <v>59</v>
      </c>
      <c r="G37">
        <v>8.78</v>
      </c>
      <c r="H37" s="8" t="s">
        <v>59</v>
      </c>
      <c r="I37">
        <v>9.46</v>
      </c>
      <c r="J37" s="8" t="s">
        <v>59</v>
      </c>
      <c r="K37">
        <v>9.31</v>
      </c>
      <c r="L37" s="8" t="s">
        <v>59</v>
      </c>
      <c r="M37">
        <v>10.1</v>
      </c>
      <c r="N37"/>
      <c r="O37" s="5"/>
    </row>
    <row r="38" spans="2:15" ht="12.75">
      <c r="B38" s="8" t="s">
        <v>62</v>
      </c>
      <c r="C38" s="8"/>
      <c r="D38" s="8" t="s">
        <v>28</v>
      </c>
      <c r="E38" s="8" t="s">
        <v>60</v>
      </c>
      <c r="G38">
        <v>13.3</v>
      </c>
      <c r="H38" s="8" t="s">
        <v>59</v>
      </c>
      <c r="I38">
        <v>9.74</v>
      </c>
      <c r="J38" t="s">
        <v>59</v>
      </c>
      <c r="K38">
        <v>9.69</v>
      </c>
      <c r="L38" s="8" t="s">
        <v>59</v>
      </c>
      <c r="M38">
        <v>10.3</v>
      </c>
      <c r="N38"/>
      <c r="O38" s="5"/>
    </row>
    <row r="39" spans="2:15" ht="12.75">
      <c r="B39" s="8" t="s">
        <v>70</v>
      </c>
      <c r="C39" s="8"/>
      <c r="D39" s="8" t="s">
        <v>28</v>
      </c>
      <c r="E39" s="8" t="s">
        <v>60</v>
      </c>
      <c r="F39" s="8" t="s">
        <v>59</v>
      </c>
      <c r="G39">
        <v>9.96</v>
      </c>
      <c r="H39" s="8" t="s">
        <v>59</v>
      </c>
      <c r="I39">
        <v>11</v>
      </c>
      <c r="J39" s="8" t="s">
        <v>59</v>
      </c>
      <c r="K39">
        <v>10.9</v>
      </c>
      <c r="L39" s="8" t="s">
        <v>59</v>
      </c>
      <c r="M39">
        <v>11.7</v>
      </c>
      <c r="N39"/>
      <c r="O39" s="5"/>
    </row>
    <row r="40" spans="2:15" ht="12.75">
      <c r="B40" s="8"/>
      <c r="C40" s="8"/>
      <c r="F40"/>
      <c r="G40"/>
      <c r="H40"/>
      <c r="I40"/>
      <c r="J40"/>
      <c r="K40"/>
      <c r="L40"/>
      <c r="M40"/>
      <c r="N40"/>
      <c r="O40" s="5"/>
    </row>
    <row r="41" spans="2:15" ht="12.75">
      <c r="B41" s="8" t="s">
        <v>55</v>
      </c>
      <c r="C41" s="8" t="s">
        <v>104</v>
      </c>
      <c r="D41" s="8" t="s">
        <v>149</v>
      </c>
      <c r="F41"/>
      <c r="G41"/>
      <c r="H41"/>
      <c r="I41"/>
      <c r="J41"/>
      <c r="K41"/>
      <c r="L41"/>
      <c r="M41"/>
      <c r="N41"/>
      <c r="O41" s="5"/>
    </row>
    <row r="42" spans="2:15" ht="12.75">
      <c r="B42" s="8" t="s">
        <v>46</v>
      </c>
      <c r="C42" s="8"/>
      <c r="D42" s="8" t="s">
        <v>17</v>
      </c>
      <c r="F42"/>
      <c r="G42" s="49">
        <f>118/0.0283</f>
        <v>4169.611307420495</v>
      </c>
      <c r="H42"/>
      <c r="I42" s="49">
        <f>118/0.0283</f>
        <v>4169.611307420495</v>
      </c>
      <c r="J42"/>
      <c r="K42" s="49">
        <f>117/0.0283</f>
        <v>4134.275618374559</v>
      </c>
      <c r="L42"/>
      <c r="M42" s="49">
        <f>115/0.0283</f>
        <v>4063.6042402826856</v>
      </c>
      <c r="N42"/>
      <c r="O42" s="49">
        <f>AVERAGE(M42,K42,I42,G42)</f>
        <v>4134.275618374559</v>
      </c>
    </row>
    <row r="43" spans="2:15" ht="12.75">
      <c r="B43" s="8" t="s">
        <v>52</v>
      </c>
      <c r="C43" s="8"/>
      <c r="D43" s="8" t="s">
        <v>18</v>
      </c>
      <c r="F43"/>
      <c r="G43">
        <v>3.6</v>
      </c>
      <c r="H43"/>
      <c r="I43">
        <v>3.7</v>
      </c>
      <c r="J43"/>
      <c r="K43">
        <v>3.6</v>
      </c>
      <c r="L43"/>
      <c r="M43">
        <v>3.7</v>
      </c>
      <c r="N43"/>
      <c r="O43" s="5">
        <f>AVERAGE(M43,K43,I43,G43)</f>
        <v>3.65</v>
      </c>
    </row>
    <row r="44" spans="2:15" ht="12.75">
      <c r="B44" s="8" t="s">
        <v>53</v>
      </c>
      <c r="C44" s="8"/>
      <c r="D44" s="8" t="s">
        <v>18</v>
      </c>
      <c r="F44"/>
      <c r="G44">
        <v>23.3</v>
      </c>
      <c r="H44"/>
      <c r="I44">
        <v>22.9</v>
      </c>
      <c r="J44"/>
      <c r="K44">
        <v>23.4</v>
      </c>
      <c r="L44"/>
      <c r="M44">
        <v>24.4</v>
      </c>
      <c r="N44"/>
      <c r="O44" s="5">
        <f>AVERAGE(M44,K44,I44,G44)</f>
        <v>23.499999999999996</v>
      </c>
    </row>
    <row r="45" spans="2:15" ht="12.75">
      <c r="B45" s="8" t="s">
        <v>45</v>
      </c>
      <c r="C45" s="8"/>
      <c r="D45" s="8" t="s">
        <v>19</v>
      </c>
      <c r="F45"/>
      <c r="G45">
        <v>148</v>
      </c>
      <c r="H45"/>
      <c r="I45">
        <v>148</v>
      </c>
      <c r="J45"/>
      <c r="K45">
        <v>148</v>
      </c>
      <c r="L45"/>
      <c r="M45">
        <v>152</v>
      </c>
      <c r="N45"/>
      <c r="O45" s="49">
        <f>AVERAGE(M45,K45,I45,G45)</f>
        <v>149</v>
      </c>
    </row>
    <row r="46" spans="2:15" ht="12.75">
      <c r="B46" s="8"/>
      <c r="C46" s="8"/>
      <c r="F46"/>
      <c r="G46"/>
      <c r="H46"/>
      <c r="I46"/>
      <c r="J46"/>
      <c r="K46"/>
      <c r="L46"/>
      <c r="M46"/>
      <c r="N46"/>
      <c r="O46" s="5"/>
    </row>
    <row r="47" spans="2:15" ht="12.75">
      <c r="B47" s="8" t="s">
        <v>68</v>
      </c>
      <c r="C47" s="8" t="s">
        <v>149</v>
      </c>
      <c r="D47" s="8" t="s">
        <v>28</v>
      </c>
      <c r="E47" s="8" t="s">
        <v>15</v>
      </c>
      <c r="F47" s="8" t="s">
        <v>59</v>
      </c>
      <c r="G47" s="5">
        <f>G26*(21-7)/(21-G$43)</f>
        <v>9.252873563218392</v>
      </c>
      <c r="H47" s="8" t="s">
        <v>59</v>
      </c>
      <c r="I47" s="5">
        <f>I26*(21-7)/(21-I$43)</f>
        <v>10.196531791907514</v>
      </c>
      <c r="J47" s="8" t="s">
        <v>59</v>
      </c>
      <c r="K47" s="5">
        <f>K26*(21-7)/(21-K$43)</f>
        <v>10.057471264367816</v>
      </c>
      <c r="L47" s="8" t="s">
        <v>59</v>
      </c>
      <c r="M47" s="5">
        <f>M26*(21-7)/(21-M$43)</f>
        <v>11.00578034682081</v>
      </c>
      <c r="N47"/>
      <c r="O47" s="5">
        <f>AVERAGE(M47,K47,I47,G47)</f>
        <v>10.128164241578633</v>
      </c>
    </row>
    <row r="48" spans="2:15" ht="12.75">
      <c r="B48" s="8" t="s">
        <v>63</v>
      </c>
      <c r="C48" s="8" t="s">
        <v>149</v>
      </c>
      <c r="D48" s="8" t="s">
        <v>28</v>
      </c>
      <c r="E48" s="8" t="s">
        <v>15</v>
      </c>
      <c r="G48" s="5">
        <f aca="true" t="shared" si="0" ref="G48:G60">G27*(21-7)/(21-G$43)</f>
        <v>0.3685057471264368</v>
      </c>
      <c r="H48" s="8"/>
      <c r="I48" s="5">
        <f aca="true" t="shared" si="1" ref="I48:I60">I27*(21-7)/(21-I$43)</f>
        <v>0.22658959537572257</v>
      </c>
      <c r="J48"/>
      <c r="K48" s="5">
        <f aca="true" t="shared" si="2" ref="K48:K60">K27*(21-7)/(21-K$43)</f>
        <v>0.15609195402298853</v>
      </c>
      <c r="L48" s="8"/>
      <c r="M48" s="5">
        <f aca="true" t="shared" si="3" ref="M48:M60">M27*(21-7)/(21-M$43)</f>
        <v>0.15213872832369943</v>
      </c>
      <c r="N48"/>
      <c r="O48" s="5">
        <f>AVERAGE(M48,K48,I48,G48)</f>
        <v>0.22583150621221182</v>
      </c>
    </row>
    <row r="49" spans="2:15" ht="12.75">
      <c r="B49" s="8" t="s">
        <v>64</v>
      </c>
      <c r="C49" s="8" t="s">
        <v>149</v>
      </c>
      <c r="D49" s="8" t="s">
        <v>28</v>
      </c>
      <c r="E49" s="8" t="s">
        <v>15</v>
      </c>
      <c r="F49"/>
      <c r="G49" s="5">
        <f t="shared" si="0"/>
        <v>41.275862068965516</v>
      </c>
      <c r="H49"/>
      <c r="I49" s="5">
        <f t="shared" si="1"/>
        <v>46.45086705202312</v>
      </c>
      <c r="J49"/>
      <c r="K49" s="5">
        <f t="shared" si="2"/>
        <v>42.40229885057472</v>
      </c>
      <c r="L49"/>
      <c r="M49" s="5">
        <f t="shared" si="3"/>
        <v>46.774566473988436</v>
      </c>
      <c r="N49"/>
      <c r="O49" s="5">
        <f>AVERAGE(M49,K49,I49,G49)</f>
        <v>44.22589861138795</v>
      </c>
    </row>
    <row r="50" spans="2:15" ht="12.75">
      <c r="B50" s="8" t="s">
        <v>48</v>
      </c>
      <c r="C50" s="8" t="s">
        <v>149</v>
      </c>
      <c r="D50" s="8" t="s">
        <v>28</v>
      </c>
      <c r="E50" s="8" t="s">
        <v>15</v>
      </c>
      <c r="F50" s="8" t="s">
        <v>59</v>
      </c>
      <c r="G50" s="5">
        <f t="shared" si="0"/>
        <v>0.07563218390804599</v>
      </c>
      <c r="H50" s="8" t="s">
        <v>59</v>
      </c>
      <c r="I50" s="5">
        <f t="shared" si="1"/>
        <v>0.08335260115606936</v>
      </c>
      <c r="J50" s="8" t="s">
        <v>59</v>
      </c>
      <c r="K50" s="5">
        <f t="shared" si="2"/>
        <v>0.0828735632183908</v>
      </c>
      <c r="L50" s="8" t="s">
        <v>59</v>
      </c>
      <c r="M50" s="5">
        <f t="shared" si="3"/>
        <v>0.08901734104046242</v>
      </c>
      <c r="N50"/>
      <c r="O50" s="5">
        <f>AVERAGE(M50,K50,I50,G50)</f>
        <v>0.08271892233074214</v>
      </c>
    </row>
    <row r="51" spans="2:15" ht="12.75">
      <c r="B51" s="8" t="s">
        <v>65</v>
      </c>
      <c r="C51" s="8" t="s">
        <v>149</v>
      </c>
      <c r="D51" s="8" t="s">
        <v>28</v>
      </c>
      <c r="E51" s="8" t="s">
        <v>15</v>
      </c>
      <c r="G51" s="5">
        <f t="shared" si="0"/>
        <v>0.6251724137931035</v>
      </c>
      <c r="H51" s="8"/>
      <c r="I51" s="5">
        <f t="shared" si="1"/>
        <v>4.717919075144509</v>
      </c>
      <c r="J51" t="s">
        <v>59</v>
      </c>
      <c r="K51" s="5">
        <f t="shared" si="2"/>
        <v>0.667816091954023</v>
      </c>
      <c r="L51" s="8" t="s">
        <v>59</v>
      </c>
      <c r="M51" s="5">
        <f t="shared" si="3"/>
        <v>0.8335260115606936</v>
      </c>
      <c r="N51"/>
      <c r="O51" s="5">
        <f>AVERAGE(M51,K51,I51,G51)</f>
        <v>1.7111083981130824</v>
      </c>
    </row>
    <row r="52" spans="2:15" ht="12.75">
      <c r="B52" s="8" t="s">
        <v>54</v>
      </c>
      <c r="C52" s="8" t="s">
        <v>149</v>
      </c>
      <c r="D52" s="8" t="s">
        <v>28</v>
      </c>
      <c r="E52" s="8" t="s">
        <v>15</v>
      </c>
      <c r="G52" s="5">
        <f t="shared" si="0"/>
        <v>14.5632183908046</v>
      </c>
      <c r="H52" s="8"/>
      <c r="I52" s="5">
        <f t="shared" si="1"/>
        <v>12.786127167630058</v>
      </c>
      <c r="J52"/>
      <c r="K52" s="5">
        <f t="shared" si="2"/>
        <v>12.06896551724138</v>
      </c>
      <c r="L52" s="8"/>
      <c r="M52" s="5">
        <f t="shared" si="3"/>
        <v>13.757225433526012</v>
      </c>
      <c r="N52"/>
      <c r="O52" s="5">
        <f aca="true" t="shared" si="4" ref="O52:O63">AVERAGE(M52,K52,I52,G52)</f>
        <v>13.293884127300512</v>
      </c>
    </row>
    <row r="53" spans="2:15" ht="12.75">
      <c r="B53" s="8" t="s">
        <v>128</v>
      </c>
      <c r="C53" s="8" t="s">
        <v>149</v>
      </c>
      <c r="D53" s="8" t="s">
        <v>28</v>
      </c>
      <c r="E53" s="8" t="s">
        <v>15</v>
      </c>
      <c r="F53"/>
      <c r="G53" s="5">
        <f t="shared" si="0"/>
        <v>1.6896551724137934</v>
      </c>
      <c r="H53"/>
      <c r="I53" s="5">
        <f t="shared" si="1"/>
        <v>1.4242774566473988</v>
      </c>
      <c r="J53"/>
      <c r="K53" s="5">
        <f t="shared" si="2"/>
        <v>1.4482758620689655</v>
      </c>
      <c r="L53"/>
      <c r="M53" s="5">
        <f t="shared" si="3"/>
        <v>1.4485549132947977</v>
      </c>
      <c r="N53"/>
      <c r="O53" s="5">
        <f t="shared" si="4"/>
        <v>1.502690851106239</v>
      </c>
    </row>
    <row r="54" spans="2:15" ht="12.75">
      <c r="B54" s="8" t="s">
        <v>66</v>
      </c>
      <c r="C54" s="8" t="s">
        <v>149</v>
      </c>
      <c r="D54" s="8" t="s">
        <v>28</v>
      </c>
      <c r="E54" s="8" t="s">
        <v>15</v>
      </c>
      <c r="G54" s="49">
        <f t="shared" si="0"/>
        <v>1400.8045977011495</v>
      </c>
      <c r="H54" s="8"/>
      <c r="I54" s="49">
        <f t="shared" si="1"/>
        <v>1488.208092485549</v>
      </c>
      <c r="J54"/>
      <c r="K54" s="49">
        <f t="shared" si="2"/>
        <v>1235.8620689655174</v>
      </c>
      <c r="L54" s="8"/>
      <c r="M54" s="49">
        <f t="shared" si="3"/>
        <v>1254.3352601156068</v>
      </c>
      <c r="N54"/>
      <c r="O54" s="5">
        <f t="shared" si="4"/>
        <v>1344.8025048169557</v>
      </c>
    </row>
    <row r="55" spans="2:15" ht="12.75">
      <c r="B55" s="8" t="s">
        <v>47</v>
      </c>
      <c r="C55" s="8" t="s">
        <v>149</v>
      </c>
      <c r="D55" s="8" t="s">
        <v>28</v>
      </c>
      <c r="E55" s="8" t="s">
        <v>15</v>
      </c>
      <c r="G55" s="5">
        <f t="shared" si="0"/>
        <v>2.381609195402299</v>
      </c>
      <c r="H55"/>
      <c r="I55" s="5">
        <f t="shared" si="1"/>
        <v>2.8161849710982656</v>
      </c>
      <c r="J55"/>
      <c r="K55" s="5">
        <f t="shared" si="2"/>
        <v>3.9344827586206894</v>
      </c>
      <c r="L55"/>
      <c r="M55" s="5">
        <f t="shared" si="3"/>
        <v>1.6265895953757223</v>
      </c>
      <c r="N55"/>
      <c r="O55" s="5">
        <f t="shared" si="4"/>
        <v>2.689716630124244</v>
      </c>
    </row>
    <row r="56" spans="2:15" ht="12.75">
      <c r="B56" s="8" t="s">
        <v>49</v>
      </c>
      <c r="C56" s="8" t="s">
        <v>149</v>
      </c>
      <c r="D56" s="8" t="s">
        <v>28</v>
      </c>
      <c r="E56" s="8" t="s">
        <v>15</v>
      </c>
      <c r="F56" s="8" t="s">
        <v>59</v>
      </c>
      <c r="G56" s="5">
        <f t="shared" si="0"/>
        <v>0.7466666666666668</v>
      </c>
      <c r="H56" s="8" t="s">
        <v>59</v>
      </c>
      <c r="I56" s="5">
        <f t="shared" si="1"/>
        <v>0.9791907514450865</v>
      </c>
      <c r="J56" s="8" t="s">
        <v>59</v>
      </c>
      <c r="K56" s="5">
        <f t="shared" si="2"/>
        <v>0.8367816091954023</v>
      </c>
      <c r="L56" s="8" t="s">
        <v>59</v>
      </c>
      <c r="M56" s="5">
        <f t="shared" si="3"/>
        <v>0.6215028901734104</v>
      </c>
      <c r="N56">
        <v>100</v>
      </c>
      <c r="O56" s="5">
        <f>AVERAGE(M56,K56,I56,G56)/2</f>
        <v>0.3980177396850708</v>
      </c>
    </row>
    <row r="57" spans="2:15" ht="12.75">
      <c r="B57" s="8" t="s">
        <v>67</v>
      </c>
      <c r="C57" s="8" t="s">
        <v>149</v>
      </c>
      <c r="D57" s="8" t="s">
        <v>28</v>
      </c>
      <c r="E57" s="8" t="s">
        <v>15</v>
      </c>
      <c r="G57" s="5">
        <f t="shared" si="0"/>
        <v>9.977011494252874</v>
      </c>
      <c r="H57" s="8"/>
      <c r="I57" s="5">
        <f t="shared" si="1"/>
        <v>10.439306358381502</v>
      </c>
      <c r="J57" s="50"/>
      <c r="K57" s="5">
        <f t="shared" si="2"/>
        <v>15.045977011494255</v>
      </c>
      <c r="L57" s="8"/>
      <c r="M57" s="5">
        <f t="shared" si="3"/>
        <v>11.248554913294797</v>
      </c>
      <c r="N57"/>
      <c r="O57" s="5">
        <f t="shared" si="4"/>
        <v>11.677712444355858</v>
      </c>
    </row>
    <row r="58" spans="2:15" ht="12.75">
      <c r="B58" s="8" t="s">
        <v>69</v>
      </c>
      <c r="C58" s="8" t="s">
        <v>149</v>
      </c>
      <c r="D58" s="8" t="s">
        <v>28</v>
      </c>
      <c r="E58" s="8" t="s">
        <v>15</v>
      </c>
      <c r="F58" s="8" t="s">
        <v>59</v>
      </c>
      <c r="G58" s="5">
        <f t="shared" si="0"/>
        <v>7.064367816091954</v>
      </c>
      <c r="H58" s="8" t="s">
        <v>59</v>
      </c>
      <c r="I58" s="5">
        <f t="shared" si="1"/>
        <v>7.655491329479768</v>
      </c>
      <c r="J58" s="8" t="s">
        <v>59</v>
      </c>
      <c r="K58" s="5">
        <f t="shared" si="2"/>
        <v>7.490804597701151</v>
      </c>
      <c r="L58" s="8" t="s">
        <v>59</v>
      </c>
      <c r="M58" s="5">
        <f t="shared" si="3"/>
        <v>8.173410404624278</v>
      </c>
      <c r="N58"/>
      <c r="O58" s="5">
        <f t="shared" si="4"/>
        <v>7.596018536974288</v>
      </c>
    </row>
    <row r="59" spans="2:15" ht="12.75">
      <c r="B59" s="8" t="s">
        <v>62</v>
      </c>
      <c r="C59" s="8" t="s">
        <v>149</v>
      </c>
      <c r="D59" s="8" t="s">
        <v>28</v>
      </c>
      <c r="E59" s="8" t="s">
        <v>15</v>
      </c>
      <c r="G59" s="5">
        <f t="shared" si="0"/>
        <v>10.701149425287358</v>
      </c>
      <c r="H59" s="8" t="s">
        <v>59</v>
      </c>
      <c r="I59" s="5">
        <f t="shared" si="1"/>
        <v>7.882080924855492</v>
      </c>
      <c r="J59" t="s">
        <v>59</v>
      </c>
      <c r="K59" s="5">
        <f t="shared" si="2"/>
        <v>7.796551724137932</v>
      </c>
      <c r="L59" s="8" t="s">
        <v>59</v>
      </c>
      <c r="M59" s="5">
        <f t="shared" si="3"/>
        <v>8.335260115606937</v>
      </c>
      <c r="N59"/>
      <c r="O59" s="5">
        <f t="shared" si="4"/>
        <v>8.678760547471931</v>
      </c>
    </row>
    <row r="60" spans="2:15" ht="12.75">
      <c r="B60" s="8" t="s">
        <v>70</v>
      </c>
      <c r="C60" s="8" t="s">
        <v>149</v>
      </c>
      <c r="D60" s="8" t="s">
        <v>28</v>
      </c>
      <c r="E60" s="8" t="s">
        <v>15</v>
      </c>
      <c r="F60" s="8" t="s">
        <v>59</v>
      </c>
      <c r="G60" s="5">
        <f t="shared" si="0"/>
        <v>8.013793103448277</v>
      </c>
      <c r="H60" s="8" t="s">
        <v>59</v>
      </c>
      <c r="I60" s="5">
        <f t="shared" si="1"/>
        <v>8.901734104046243</v>
      </c>
      <c r="J60" s="8" t="s">
        <v>59</v>
      </c>
      <c r="K60" s="5">
        <f t="shared" si="2"/>
        <v>8.770114942528735</v>
      </c>
      <c r="L60" s="8" t="s">
        <v>59</v>
      </c>
      <c r="M60" s="5">
        <f t="shared" si="3"/>
        <v>9.468208092485547</v>
      </c>
      <c r="N60"/>
      <c r="O60" s="5">
        <f t="shared" si="4"/>
        <v>8.7884625606272</v>
      </c>
    </row>
    <row r="61" spans="2:15" ht="12.75">
      <c r="B61" s="8"/>
      <c r="C61" s="8"/>
      <c r="G61" s="5"/>
      <c r="H61" s="8"/>
      <c r="I61" s="5"/>
      <c r="J61" s="5"/>
      <c r="K61" s="5"/>
      <c r="L61" s="8"/>
      <c r="M61" s="5"/>
      <c r="N61"/>
      <c r="O61" s="5"/>
    </row>
    <row r="62" spans="2:15" ht="12.75">
      <c r="B62" t="s">
        <v>29</v>
      </c>
      <c r="C62" s="8" t="s">
        <v>149</v>
      </c>
      <c r="D62" s="8" t="s">
        <v>28</v>
      </c>
      <c r="E62" s="8" t="s">
        <v>15</v>
      </c>
      <c r="F62"/>
      <c r="G62" s="5">
        <f>G51+G55</f>
        <v>3.0067816091954023</v>
      </c>
      <c r="H62" s="5"/>
      <c r="I62" s="5">
        <f>I51+I55</f>
        <v>7.534104046242774</v>
      </c>
      <c r="J62" s="49">
        <f>K51/K62*100</f>
        <v>14.510489510489514</v>
      </c>
      <c r="K62" s="5">
        <f>K51+K55</f>
        <v>4.602298850574712</v>
      </c>
      <c r="L62" s="49">
        <f>M51/M62*100</f>
        <v>33.881578947368425</v>
      </c>
      <c r="M62" s="5">
        <f>M51+M55</f>
        <v>2.460115606936416</v>
      </c>
      <c r="N62">
        <f>(J62*K62+L62*M62)/(O62*4)</f>
        <v>8.528753664833006</v>
      </c>
      <c r="O62" s="5">
        <f t="shared" si="4"/>
        <v>4.4008250282373265</v>
      </c>
    </row>
    <row r="63" spans="2:15" ht="12.75">
      <c r="B63" t="s">
        <v>30</v>
      </c>
      <c r="C63" s="8" t="s">
        <v>149</v>
      </c>
      <c r="D63" s="8" t="s">
        <v>28</v>
      </c>
      <c r="E63" s="8" t="s">
        <v>15</v>
      </c>
      <c r="F63">
        <f>G50/G63*100</f>
        <v>0.5039674029594682</v>
      </c>
      <c r="G63" s="5">
        <f>G48+G50+G52</f>
        <v>15.007356321839083</v>
      </c>
      <c r="H63">
        <f>I50/I63*100</f>
        <v>0.6364703701415065</v>
      </c>
      <c r="I63" s="5">
        <f>I48+I50+I52</f>
        <v>13.096069364161849</v>
      </c>
      <c r="J63">
        <f>K50/K63*100</f>
        <v>0.6733346407792377</v>
      </c>
      <c r="K63" s="5">
        <f>K48+K50+K52</f>
        <v>12.30793103448276</v>
      </c>
      <c r="L63">
        <f>M50/M63*100</f>
        <v>0.6359116660885651</v>
      </c>
      <c r="M63" s="5">
        <f>M48+M50+M52</f>
        <v>13.998381502890174</v>
      </c>
      <c r="N63"/>
      <c r="O63" s="5">
        <f t="shared" si="4"/>
        <v>13.602434555843466</v>
      </c>
    </row>
    <row r="64" spans="2:15" ht="12.75">
      <c r="B64" s="8"/>
      <c r="C64" s="8"/>
      <c r="F64"/>
      <c r="G64" s="5"/>
      <c r="H64"/>
      <c r="I64" s="5"/>
      <c r="J64" s="5"/>
      <c r="K64" s="5"/>
      <c r="L64"/>
      <c r="M64" s="5"/>
      <c r="N64"/>
      <c r="O64" s="5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F123"/>
  <sheetViews>
    <sheetView workbookViewId="0" topLeftCell="B15">
      <selection activeCell="C28" sqref="C28"/>
    </sheetView>
  </sheetViews>
  <sheetFormatPr defaultColWidth="9.140625" defaultRowHeight="12.75"/>
  <cols>
    <col min="1" max="1" width="2.28125" style="3" hidden="1" customWidth="1"/>
    <col min="2" max="2" width="25.421875" style="2" customWidth="1"/>
    <col min="3" max="3" width="8.7109375" style="2" customWidth="1"/>
    <col min="4" max="4" width="9.28125" style="2" customWidth="1"/>
    <col min="5" max="5" width="3.8515625" style="2" customWidth="1"/>
    <col min="6" max="6" width="2.8515625" style="3" customWidth="1"/>
    <col min="7" max="7" width="8.8515625" style="3" customWidth="1"/>
    <col min="8" max="8" width="2.28125" style="3" customWidth="1"/>
    <col min="9" max="9" width="8.8515625" style="3" customWidth="1"/>
    <col min="10" max="10" width="2.8515625" style="3" customWidth="1"/>
    <col min="11" max="11" width="8.421875" style="3" customWidth="1"/>
    <col min="12" max="12" width="2.8515625" style="3" customWidth="1"/>
    <col min="13" max="13" width="7.57421875" style="3" customWidth="1"/>
    <col min="14" max="14" width="2.8515625" style="3" customWidth="1"/>
    <col min="15" max="15" width="8.140625" style="3" customWidth="1"/>
    <col min="16" max="16" width="2.28125" style="3" customWidth="1"/>
    <col min="17" max="17" width="7.57421875" style="3" customWidth="1"/>
    <col min="18" max="18" width="2.8515625" style="3" customWidth="1"/>
    <col min="19" max="19" width="8.421875" style="3" customWidth="1"/>
    <col min="20" max="20" width="2.8515625" style="3" customWidth="1"/>
    <col min="21" max="21" width="7.57421875" style="3" customWidth="1"/>
    <col min="22" max="22" width="2.8515625" style="3" customWidth="1"/>
    <col min="23" max="23" width="9.8515625" style="3" customWidth="1"/>
    <col min="24" max="24" width="2.8515625" style="3" customWidth="1"/>
    <col min="25" max="25" width="9.57421875" style="3" customWidth="1"/>
    <col min="26" max="26" width="2.8515625" style="3" customWidth="1"/>
    <col min="27" max="27" width="7.7109375" style="3" customWidth="1"/>
    <col min="28" max="28" width="2.8515625" style="3" customWidth="1"/>
    <col min="29" max="29" width="7.57421875" style="3" customWidth="1"/>
    <col min="30" max="30" width="2.8515625" style="3" customWidth="1"/>
    <col min="31" max="31" width="8.140625" style="3" customWidth="1"/>
    <col min="32" max="32" width="2.28125" style="3" customWidth="1"/>
    <col min="33" max="33" width="7.57421875" style="3" customWidth="1"/>
    <col min="34" max="34" width="2.8515625" style="3" customWidth="1"/>
    <col min="35" max="35" width="8.421875" style="3" customWidth="1"/>
    <col min="36" max="36" width="2.8515625" style="3" customWidth="1"/>
    <col min="37" max="37" width="7.57421875" style="3" customWidth="1"/>
    <col min="38" max="38" width="4.00390625" style="3" bestFit="1" customWidth="1"/>
    <col min="39" max="39" width="8.57421875" style="4" customWidth="1"/>
    <col min="40" max="40" width="4.00390625" style="4" bestFit="1" customWidth="1"/>
    <col min="41" max="41" width="10.7109375" style="3" customWidth="1"/>
    <col min="42" max="42" width="4.00390625" style="3" bestFit="1" customWidth="1"/>
    <col min="43" max="43" width="9.421875" style="3" customWidth="1"/>
    <col min="44" max="44" width="4.00390625" style="3" bestFit="1" customWidth="1"/>
    <col min="45" max="45" width="9.421875" style="3" customWidth="1"/>
    <col min="46" max="46" width="4.57421875" style="3" customWidth="1"/>
    <col min="47" max="47" width="9.421875" style="3" customWidth="1"/>
    <col min="48" max="48" width="1.57421875" style="3" customWidth="1"/>
    <col min="49" max="49" width="6.7109375" style="3" customWidth="1"/>
    <col min="50" max="50" width="1.57421875" style="3" customWidth="1"/>
    <col min="51" max="51" width="9.00390625" style="3" customWidth="1"/>
    <col min="52" max="52" width="1.57421875" style="3" customWidth="1"/>
    <col min="53" max="53" width="9.28125" style="3" customWidth="1"/>
    <col min="54" max="54" width="1.57421875" style="3" customWidth="1"/>
    <col min="55" max="55" width="9.00390625" style="3" customWidth="1"/>
    <col min="56" max="56" width="1.57421875" style="3" customWidth="1"/>
    <col min="57" max="57" width="9.28125" style="3" customWidth="1"/>
    <col min="58" max="58" width="1.57421875" style="3" customWidth="1"/>
    <col min="59" max="16384" width="8.8515625" style="3" customWidth="1"/>
  </cols>
  <sheetData>
    <row r="1" spans="2:58" ht="12.75">
      <c r="B1" s="24" t="s">
        <v>20</v>
      </c>
      <c r="C1" s="24"/>
      <c r="D1" s="9"/>
      <c r="E1" s="9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6"/>
      <c r="AN1" s="26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</row>
    <row r="2" spans="2:58" ht="12.75">
      <c r="B2" s="9"/>
      <c r="C2" s="9"/>
      <c r="D2" s="9"/>
      <c r="E2" s="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6"/>
      <c r="AN2" s="26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3" spans="2:58" ht="12.75">
      <c r="B3" s="9"/>
      <c r="C3" s="9"/>
      <c r="D3" s="9"/>
      <c r="E3" s="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6"/>
      <c r="AN3" s="26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1:58" ht="12.75">
      <c r="A4" s="3" t="s">
        <v>57</v>
      </c>
      <c r="B4" s="24" t="str">
        <f>'emiss 1'!B5</f>
        <v>604C10</v>
      </c>
      <c r="C4" s="24" t="s">
        <v>56</v>
      </c>
      <c r="D4" s="9"/>
      <c r="E4" s="9" t="s">
        <v>83</v>
      </c>
      <c r="F4" s="25"/>
      <c r="G4" s="27" t="s">
        <v>123</v>
      </c>
      <c r="H4" s="27"/>
      <c r="I4" s="27" t="s">
        <v>124</v>
      </c>
      <c r="J4" s="27"/>
      <c r="K4" s="27" t="s">
        <v>125</v>
      </c>
      <c r="L4" s="27"/>
      <c r="M4" s="27" t="s">
        <v>126</v>
      </c>
      <c r="N4" s="25"/>
      <c r="O4" s="27" t="s">
        <v>123</v>
      </c>
      <c r="P4" s="27"/>
      <c r="Q4" s="27" t="s">
        <v>124</v>
      </c>
      <c r="R4" s="27"/>
      <c r="S4" s="27" t="s">
        <v>125</v>
      </c>
      <c r="T4" s="27"/>
      <c r="U4" s="27" t="s">
        <v>126</v>
      </c>
      <c r="V4" s="25"/>
      <c r="W4" s="27" t="s">
        <v>123</v>
      </c>
      <c r="X4" s="27"/>
      <c r="Y4" s="27" t="s">
        <v>124</v>
      </c>
      <c r="Z4" s="27"/>
      <c r="AA4" s="27" t="s">
        <v>125</v>
      </c>
      <c r="AB4" s="27"/>
      <c r="AC4" s="27" t="s">
        <v>126</v>
      </c>
      <c r="AD4" s="25"/>
      <c r="AE4" s="27" t="s">
        <v>123</v>
      </c>
      <c r="AF4" s="27"/>
      <c r="AG4" s="27" t="s">
        <v>124</v>
      </c>
      <c r="AH4" s="27"/>
      <c r="AI4" s="27" t="s">
        <v>125</v>
      </c>
      <c r="AJ4" s="27"/>
      <c r="AK4" s="27" t="s">
        <v>126</v>
      </c>
      <c r="AL4" s="25"/>
      <c r="AM4" s="27" t="s">
        <v>123</v>
      </c>
      <c r="AN4" s="27"/>
      <c r="AO4" s="27" t="s">
        <v>124</v>
      </c>
      <c r="AP4" s="27"/>
      <c r="AQ4" s="27" t="s">
        <v>125</v>
      </c>
      <c r="AR4" s="27"/>
      <c r="AS4" s="27" t="s">
        <v>126</v>
      </c>
      <c r="AT4" s="27"/>
      <c r="AU4" s="27" t="s">
        <v>21</v>
      </c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2:58" ht="12.75">
      <c r="B5" s="9"/>
      <c r="C5" s="9"/>
      <c r="D5" s="9"/>
      <c r="E5" s="9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V5" s="25"/>
      <c r="AW5" s="25"/>
      <c r="AX5" s="25"/>
      <c r="AY5" s="37"/>
      <c r="AZ5" s="25"/>
      <c r="BA5" s="25"/>
      <c r="BB5" s="25"/>
      <c r="BC5" s="37"/>
      <c r="BD5" s="25"/>
      <c r="BE5" s="25"/>
      <c r="BF5" s="25"/>
    </row>
    <row r="6" spans="2:58" ht="12.75">
      <c r="B6" s="9" t="s">
        <v>161</v>
      </c>
      <c r="C6" s="9"/>
      <c r="D6" s="9"/>
      <c r="E6" s="9"/>
      <c r="F6" s="25"/>
      <c r="G6" s="25" t="s">
        <v>163</v>
      </c>
      <c r="H6" s="25"/>
      <c r="I6" s="25" t="s">
        <v>163</v>
      </c>
      <c r="J6" s="25"/>
      <c r="K6" s="25" t="s">
        <v>163</v>
      </c>
      <c r="L6" s="25"/>
      <c r="M6" s="25" t="s">
        <v>163</v>
      </c>
      <c r="N6" s="25"/>
      <c r="O6" s="25" t="s">
        <v>165</v>
      </c>
      <c r="P6" s="25"/>
      <c r="Q6" s="25" t="s">
        <v>165</v>
      </c>
      <c r="R6" s="25"/>
      <c r="S6" s="25" t="s">
        <v>165</v>
      </c>
      <c r="T6" s="25"/>
      <c r="U6" s="25" t="s">
        <v>165</v>
      </c>
      <c r="V6" s="25"/>
      <c r="W6" s="25"/>
      <c r="X6" s="25"/>
      <c r="Y6" s="25"/>
      <c r="Z6" s="25"/>
      <c r="AA6" s="25"/>
      <c r="AB6" s="25"/>
      <c r="AC6" s="25"/>
      <c r="AD6" s="25"/>
      <c r="AE6" s="25" t="s">
        <v>166</v>
      </c>
      <c r="AF6" s="25"/>
      <c r="AG6" s="25" t="s">
        <v>166</v>
      </c>
      <c r="AH6" s="25"/>
      <c r="AI6" s="25" t="s">
        <v>166</v>
      </c>
      <c r="AJ6" s="25"/>
      <c r="AK6" s="25" t="s">
        <v>166</v>
      </c>
      <c r="AL6" s="25"/>
      <c r="AM6" s="4" t="s">
        <v>168</v>
      </c>
      <c r="AO6" s="4" t="s">
        <v>168</v>
      </c>
      <c r="AQ6" s="4" t="s">
        <v>168</v>
      </c>
      <c r="AS6" s="4" t="s">
        <v>168</v>
      </c>
      <c r="AU6" s="4" t="s">
        <v>168</v>
      </c>
      <c r="AV6" s="25"/>
      <c r="AW6" s="25"/>
      <c r="AX6" s="25"/>
      <c r="AY6" s="37"/>
      <c r="AZ6" s="25"/>
      <c r="BA6" s="25"/>
      <c r="BB6" s="25"/>
      <c r="BC6" s="37"/>
      <c r="BD6" s="25"/>
      <c r="BE6" s="25"/>
      <c r="BF6" s="25"/>
    </row>
    <row r="7" spans="2:58" ht="12.75">
      <c r="B7" s="9" t="s">
        <v>162</v>
      </c>
      <c r="C7" s="9"/>
      <c r="D7" s="9"/>
      <c r="E7" s="9"/>
      <c r="F7" s="25"/>
      <c r="G7" s="25" t="s">
        <v>164</v>
      </c>
      <c r="H7" s="25"/>
      <c r="I7" s="25" t="s">
        <v>164</v>
      </c>
      <c r="J7" s="25"/>
      <c r="K7" s="25" t="s">
        <v>164</v>
      </c>
      <c r="L7" s="25"/>
      <c r="M7" s="25" t="s">
        <v>164</v>
      </c>
      <c r="N7" s="25"/>
      <c r="O7" s="25" t="s">
        <v>164</v>
      </c>
      <c r="P7" s="25"/>
      <c r="Q7" s="25" t="s">
        <v>164</v>
      </c>
      <c r="R7" s="25"/>
      <c r="S7" s="25" t="s">
        <v>164</v>
      </c>
      <c r="T7" s="25"/>
      <c r="U7" s="25" t="s">
        <v>164</v>
      </c>
      <c r="V7" s="25"/>
      <c r="W7" s="25"/>
      <c r="X7" s="25"/>
      <c r="Y7" s="25"/>
      <c r="Z7" s="25"/>
      <c r="AA7" s="25"/>
      <c r="AB7" s="25"/>
      <c r="AC7" s="25"/>
      <c r="AD7" s="25"/>
      <c r="AE7" s="25" t="s">
        <v>167</v>
      </c>
      <c r="AF7" s="25"/>
      <c r="AG7" s="25" t="s">
        <v>167</v>
      </c>
      <c r="AH7" s="25"/>
      <c r="AI7" s="25" t="s">
        <v>167</v>
      </c>
      <c r="AJ7" s="25"/>
      <c r="AK7" s="25" t="s">
        <v>167</v>
      </c>
      <c r="AL7" s="25"/>
      <c r="AM7" s="4" t="s">
        <v>137</v>
      </c>
      <c r="AO7" s="4" t="s">
        <v>137</v>
      </c>
      <c r="AQ7" s="4" t="s">
        <v>137</v>
      </c>
      <c r="AS7" s="4" t="s">
        <v>137</v>
      </c>
      <c r="AU7" s="4" t="s">
        <v>137</v>
      </c>
      <c r="AV7" s="25"/>
      <c r="AW7" s="25"/>
      <c r="AX7" s="25"/>
      <c r="AY7" s="37"/>
      <c r="AZ7" s="25"/>
      <c r="BA7" s="25"/>
      <c r="BB7" s="25"/>
      <c r="BC7" s="37"/>
      <c r="BD7" s="25"/>
      <c r="BE7" s="25"/>
      <c r="BF7" s="25"/>
    </row>
    <row r="8" spans="2:58" ht="12.75">
      <c r="B8" s="8" t="s">
        <v>171</v>
      </c>
      <c r="C8" s="9"/>
      <c r="D8" s="9"/>
      <c r="E8" s="9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 t="s">
        <v>33</v>
      </c>
      <c r="X8" s="25"/>
      <c r="Y8" s="25" t="s">
        <v>33</v>
      </c>
      <c r="Z8" s="25"/>
      <c r="AA8" s="25" t="s">
        <v>33</v>
      </c>
      <c r="AB8" s="25"/>
      <c r="AC8" s="25" t="s">
        <v>33</v>
      </c>
      <c r="AD8" s="25"/>
      <c r="AE8" s="25" t="s">
        <v>172</v>
      </c>
      <c r="AF8" s="25"/>
      <c r="AG8" s="25" t="s">
        <v>172</v>
      </c>
      <c r="AH8" s="25"/>
      <c r="AI8" s="25" t="s">
        <v>172</v>
      </c>
      <c r="AJ8" s="25"/>
      <c r="AK8" s="25" t="s">
        <v>172</v>
      </c>
      <c r="AL8" s="25"/>
      <c r="AM8" s="4" t="s">
        <v>137</v>
      </c>
      <c r="AO8" s="4" t="s">
        <v>137</v>
      </c>
      <c r="AQ8" s="4" t="s">
        <v>137</v>
      </c>
      <c r="AS8" s="4" t="s">
        <v>137</v>
      </c>
      <c r="AU8" s="4" t="s">
        <v>137</v>
      </c>
      <c r="AV8" s="25"/>
      <c r="AW8" s="25"/>
      <c r="AX8" s="25"/>
      <c r="AY8" s="37"/>
      <c r="AZ8" s="25"/>
      <c r="BA8" s="25"/>
      <c r="BB8" s="25"/>
      <c r="BC8" s="37"/>
      <c r="BD8" s="25"/>
      <c r="BE8" s="25"/>
      <c r="BF8" s="25"/>
    </row>
    <row r="9" spans="2:57" s="37" customFormat="1" ht="25.5">
      <c r="B9" s="37" t="s">
        <v>22</v>
      </c>
      <c r="G9" s="35" t="s">
        <v>139</v>
      </c>
      <c r="H9" s="35"/>
      <c r="I9" s="35" t="s">
        <v>139</v>
      </c>
      <c r="J9" s="35"/>
      <c r="K9" s="35" t="s">
        <v>139</v>
      </c>
      <c r="L9" s="35"/>
      <c r="M9" s="35" t="s">
        <v>139</v>
      </c>
      <c r="O9" s="35" t="s">
        <v>138</v>
      </c>
      <c r="P9" s="35"/>
      <c r="Q9" s="35" t="s">
        <v>138</v>
      </c>
      <c r="R9" s="35"/>
      <c r="S9" s="35" t="s">
        <v>138</v>
      </c>
      <c r="T9" s="35"/>
      <c r="U9" s="35" t="s">
        <v>138</v>
      </c>
      <c r="AE9" s="35" t="s">
        <v>75</v>
      </c>
      <c r="AF9" s="35"/>
      <c r="AG9" s="35" t="s">
        <v>75</v>
      </c>
      <c r="AH9" s="35"/>
      <c r="AI9" s="35" t="s">
        <v>75</v>
      </c>
      <c r="AJ9" s="35"/>
      <c r="AK9" s="35" t="s">
        <v>75</v>
      </c>
      <c r="AL9" s="35"/>
      <c r="AM9" s="63" t="s">
        <v>137</v>
      </c>
      <c r="AN9" s="44"/>
      <c r="AO9" s="63" t="s">
        <v>137</v>
      </c>
      <c r="AP9" s="44"/>
      <c r="AQ9" s="63" t="s">
        <v>137</v>
      </c>
      <c r="AR9" s="44"/>
      <c r="AS9" s="63" t="s">
        <v>137</v>
      </c>
      <c r="AT9" s="63"/>
      <c r="AU9" s="63" t="s">
        <v>137</v>
      </c>
      <c r="BA9" s="39"/>
      <c r="BE9" s="39"/>
    </row>
    <row r="10" spans="2:57" s="37" customFormat="1" ht="12.75">
      <c r="B10" s="9" t="s">
        <v>142</v>
      </c>
      <c r="C10" s="9"/>
      <c r="D10" s="9" t="s">
        <v>114</v>
      </c>
      <c r="G10" s="55">
        <v>285</v>
      </c>
      <c r="H10" s="55"/>
      <c r="I10" s="55">
        <v>285</v>
      </c>
      <c r="J10" s="55"/>
      <c r="K10" s="55">
        <v>285</v>
      </c>
      <c r="L10" s="55"/>
      <c r="M10" s="55">
        <v>285</v>
      </c>
      <c r="N10" s="64"/>
      <c r="O10" s="55">
        <v>140</v>
      </c>
      <c r="P10" s="55"/>
      <c r="Q10" s="55">
        <v>140</v>
      </c>
      <c r="R10" s="55"/>
      <c r="S10" s="55">
        <v>140</v>
      </c>
      <c r="T10" s="55"/>
      <c r="U10" s="55">
        <v>140</v>
      </c>
      <c r="V10" s="64"/>
      <c r="W10" s="64"/>
      <c r="X10" s="64"/>
      <c r="Y10" s="64"/>
      <c r="Z10" s="64"/>
      <c r="AA10" s="64"/>
      <c r="AB10" s="64"/>
      <c r="AC10" s="64"/>
      <c r="AD10" s="64"/>
      <c r="AE10" s="55">
        <v>15.3</v>
      </c>
      <c r="AF10" s="55"/>
      <c r="AG10" s="55">
        <v>15.2</v>
      </c>
      <c r="AH10" s="55"/>
      <c r="AI10" s="55">
        <v>15.1</v>
      </c>
      <c r="AJ10" s="55"/>
      <c r="AK10" s="55">
        <v>14.9</v>
      </c>
      <c r="AL10" s="65"/>
      <c r="AM10" s="64"/>
      <c r="AN10" s="64"/>
      <c r="AO10" s="64"/>
      <c r="AP10" s="64"/>
      <c r="AQ10" s="64"/>
      <c r="AR10" s="55"/>
      <c r="AS10" s="55"/>
      <c r="AT10" s="44"/>
      <c r="AU10" s="5"/>
      <c r="BA10" s="39"/>
      <c r="BE10" s="39"/>
    </row>
    <row r="11" spans="2:57" s="37" customFormat="1" ht="12.75">
      <c r="B11" s="37" t="s">
        <v>140</v>
      </c>
      <c r="D11" s="37" t="s">
        <v>141</v>
      </c>
      <c r="G11" s="68">
        <v>11200</v>
      </c>
      <c r="H11" s="68"/>
      <c r="I11" s="68">
        <v>11200</v>
      </c>
      <c r="J11" s="68"/>
      <c r="K11" s="68">
        <v>11200</v>
      </c>
      <c r="L11" s="68"/>
      <c r="M11" s="68">
        <v>11200</v>
      </c>
      <c r="N11" s="69"/>
      <c r="O11" s="68">
        <v>15200</v>
      </c>
      <c r="P11" s="68"/>
      <c r="Q11" s="68">
        <v>15200</v>
      </c>
      <c r="R11" s="68"/>
      <c r="S11" s="68">
        <v>15200</v>
      </c>
      <c r="T11" s="68"/>
      <c r="U11" s="68">
        <v>15200</v>
      </c>
      <c r="V11" s="69"/>
      <c r="W11" s="69"/>
      <c r="X11" s="69"/>
      <c r="Y11" s="69"/>
      <c r="Z11" s="69"/>
      <c r="AA11" s="69"/>
      <c r="AB11" s="69"/>
      <c r="AC11" s="69"/>
      <c r="AD11" s="69"/>
      <c r="AE11" s="68">
        <v>20000</v>
      </c>
      <c r="AF11" s="68"/>
      <c r="AG11" s="68">
        <v>20000</v>
      </c>
      <c r="AH11" s="68"/>
      <c r="AI11" s="68">
        <v>20000</v>
      </c>
      <c r="AJ11" s="68"/>
      <c r="AK11" s="68">
        <v>20000</v>
      </c>
      <c r="AL11" s="66"/>
      <c r="AM11" s="55"/>
      <c r="AN11" s="55"/>
      <c r="AO11" s="55"/>
      <c r="AP11" s="55"/>
      <c r="AQ11" s="55"/>
      <c r="AR11" s="55"/>
      <c r="AS11" s="55"/>
      <c r="AT11" s="44"/>
      <c r="AU11" s="5"/>
      <c r="BA11" s="39"/>
      <c r="BE11" s="39"/>
    </row>
    <row r="12" spans="2:58" ht="12.75">
      <c r="B12" s="9" t="s">
        <v>23</v>
      </c>
      <c r="C12" s="9"/>
      <c r="D12" s="9" t="s">
        <v>112</v>
      </c>
      <c r="E12" s="9"/>
      <c r="G12"/>
      <c r="H12"/>
      <c r="I12"/>
      <c r="J12"/>
      <c r="K12"/>
      <c r="L12"/>
      <c r="M12"/>
      <c r="O12"/>
      <c r="P12"/>
      <c r="Q12"/>
      <c r="R12"/>
      <c r="S12"/>
      <c r="T12"/>
      <c r="U12"/>
      <c r="AE12"/>
      <c r="AF12"/>
      <c r="AG12"/>
      <c r="AH12"/>
      <c r="AI12"/>
      <c r="AJ12"/>
      <c r="AK12"/>
      <c r="AL12"/>
      <c r="AM12" s="48">
        <f>(0.0009*285+0.00005*140)*1000</f>
        <v>263.5</v>
      </c>
      <c r="AN12" s="48"/>
      <c r="AO12" s="48">
        <f>(0.0007*285+0.00005*140)*1000</f>
        <v>206.50000000000003</v>
      </c>
      <c r="AP12" s="48"/>
      <c r="AQ12" s="48">
        <f>(0.0011*285+0.00005*140)*1000</f>
        <v>320.5</v>
      </c>
      <c r="AR12" s="48"/>
      <c r="AS12" s="48">
        <f>(0.001*285+0.00005*140)*1000</f>
        <v>292.00000000000006</v>
      </c>
      <c r="AT12" s="48"/>
      <c r="AU12" s="5">
        <f aca="true" t="shared" si="0" ref="AU12:AU52">AVERAGE(AM12,AO12,AQ12,AS12)</f>
        <v>270.625</v>
      </c>
      <c r="AV12" s="25"/>
      <c r="AW12" s="29"/>
      <c r="AX12" s="25"/>
      <c r="AY12" s="48"/>
      <c r="AZ12" s="25"/>
      <c r="BA12" s="25"/>
      <c r="BB12" s="25"/>
      <c r="BC12" s="48"/>
      <c r="BD12" s="25"/>
      <c r="BE12" s="25"/>
      <c r="BF12" s="25"/>
    </row>
    <row r="13" spans="2:58" ht="12.75">
      <c r="B13" s="9" t="s">
        <v>111</v>
      </c>
      <c r="C13" s="9"/>
      <c r="D13" s="9" t="s">
        <v>112</v>
      </c>
      <c r="E13" s="9"/>
      <c r="G13" s="27"/>
      <c r="H13" s="27"/>
      <c r="I13" s="27"/>
      <c r="J13" s="27"/>
      <c r="K13" s="27"/>
      <c r="L13" s="27"/>
      <c r="M13" s="27"/>
      <c r="O13" s="27"/>
      <c r="P13" s="27"/>
      <c r="Q13" s="27"/>
      <c r="R13" s="27"/>
      <c r="S13" s="27"/>
      <c r="T13" s="27"/>
      <c r="U13" s="27"/>
      <c r="AE13" s="27"/>
      <c r="AF13" s="27"/>
      <c r="AG13" s="27"/>
      <c r="AH13" s="27"/>
      <c r="AI13" s="27"/>
      <c r="AJ13" s="27"/>
      <c r="AK13" s="27"/>
      <c r="AL13" s="27" t="s">
        <v>59</v>
      </c>
      <c r="AM13" s="46">
        <v>1.9</v>
      </c>
      <c r="AN13" s="46" t="s">
        <v>59</v>
      </c>
      <c r="AO13" s="46">
        <v>2.1</v>
      </c>
      <c r="AP13" s="46" t="s">
        <v>59</v>
      </c>
      <c r="AQ13" s="47">
        <v>2</v>
      </c>
      <c r="AR13" s="47" t="s">
        <v>59</v>
      </c>
      <c r="AS13" s="47">
        <v>2.1</v>
      </c>
      <c r="AT13" s="47"/>
      <c r="AU13" s="5">
        <f t="shared" si="0"/>
        <v>2.025</v>
      </c>
      <c r="AV13" s="25"/>
      <c r="AW13" s="47"/>
      <c r="AX13" s="25"/>
      <c r="AY13" s="48"/>
      <c r="AZ13" s="25"/>
      <c r="BA13" s="25"/>
      <c r="BB13" s="25"/>
      <c r="BC13" s="48"/>
      <c r="BD13" s="25"/>
      <c r="BE13" s="25"/>
      <c r="BF13" s="25"/>
    </row>
    <row r="14" spans="2:58" ht="12.75">
      <c r="B14" s="8" t="s">
        <v>68</v>
      </c>
      <c r="C14" s="9"/>
      <c r="D14" s="9" t="s">
        <v>112</v>
      </c>
      <c r="E14" s="9"/>
      <c r="G14" s="25"/>
      <c r="H14" s="25"/>
      <c r="I14" s="25"/>
      <c r="J14" s="25"/>
      <c r="K14" s="25"/>
      <c r="L14" s="25"/>
      <c r="M14" s="25"/>
      <c r="O14" s="25"/>
      <c r="P14" s="25"/>
      <c r="Q14" s="25"/>
      <c r="R14" s="25"/>
      <c r="S14" s="25"/>
      <c r="T14" s="25"/>
      <c r="U14" s="25"/>
      <c r="AE14" s="25"/>
      <c r="AF14" s="25"/>
      <c r="AG14" s="25"/>
      <c r="AH14" s="25"/>
      <c r="AI14" s="25"/>
      <c r="AJ14" s="25"/>
      <c r="AK14" s="25"/>
      <c r="AL14" s="25" t="s">
        <v>59</v>
      </c>
      <c r="AM14" s="46">
        <v>2.2</v>
      </c>
      <c r="AN14" s="46"/>
      <c r="AO14" s="47">
        <v>6.43</v>
      </c>
      <c r="AP14" s="47"/>
      <c r="AQ14" s="47">
        <v>10.2</v>
      </c>
      <c r="AR14" s="47"/>
      <c r="AS14" s="47">
        <v>3.68</v>
      </c>
      <c r="AT14" s="47"/>
      <c r="AU14" s="5">
        <f t="shared" si="0"/>
        <v>5.6274999999999995</v>
      </c>
      <c r="AV14" s="25"/>
      <c r="AW14" s="47"/>
      <c r="AX14" s="25"/>
      <c r="AY14" s="48"/>
      <c r="AZ14" s="25"/>
      <c r="BA14" s="25"/>
      <c r="BB14" s="25"/>
      <c r="BC14" s="48"/>
      <c r="BD14" s="25"/>
      <c r="BE14" s="25"/>
      <c r="BF14" s="25"/>
    </row>
    <row r="15" spans="2:58" ht="12.75">
      <c r="B15" s="8" t="s">
        <v>63</v>
      </c>
      <c r="C15" s="9"/>
      <c r="D15" s="9" t="s">
        <v>112</v>
      </c>
      <c r="E15" s="9"/>
      <c r="G15" s="25"/>
      <c r="H15" s="25"/>
      <c r="I15" s="25"/>
      <c r="J15" s="25"/>
      <c r="K15" s="25"/>
      <c r="L15" s="25"/>
      <c r="M15" s="25"/>
      <c r="O15" s="25"/>
      <c r="P15" s="25"/>
      <c r="Q15" s="25"/>
      <c r="R15" s="25"/>
      <c r="S15" s="25"/>
      <c r="T15" s="25"/>
      <c r="U15" s="25"/>
      <c r="AE15" s="25"/>
      <c r="AF15" s="25"/>
      <c r="AG15" s="25"/>
      <c r="AH15" s="25"/>
      <c r="AI15" s="25"/>
      <c r="AJ15" s="25"/>
      <c r="AK15" s="25"/>
      <c r="AL15" s="25" t="s">
        <v>59</v>
      </c>
      <c r="AM15" s="46">
        <v>0.0667</v>
      </c>
      <c r="AN15" s="46" t="s">
        <v>59</v>
      </c>
      <c r="AO15" s="47">
        <v>0.0673</v>
      </c>
      <c r="AP15" s="47"/>
      <c r="AQ15" s="47">
        <v>0.067</v>
      </c>
      <c r="AR15" s="47" t="s">
        <v>59</v>
      </c>
      <c r="AS15" s="47">
        <v>0.0663</v>
      </c>
      <c r="AT15" s="47"/>
      <c r="AU15" s="5">
        <f t="shared" si="0"/>
        <v>0.066825</v>
      </c>
      <c r="AV15" s="25"/>
      <c r="AW15" s="47"/>
      <c r="AX15" s="25"/>
      <c r="AY15" s="48"/>
      <c r="AZ15" s="25"/>
      <c r="BA15" s="25"/>
      <c r="BB15" s="25"/>
      <c r="BC15" s="48"/>
      <c r="BD15" s="25"/>
      <c r="BE15" s="25"/>
      <c r="BF15" s="25"/>
    </row>
    <row r="16" spans="2:58" ht="12.75">
      <c r="B16" s="8" t="s">
        <v>64</v>
      </c>
      <c r="C16" s="9"/>
      <c r="D16" s="9" t="s">
        <v>112</v>
      </c>
      <c r="E16" s="9"/>
      <c r="G16" s="25"/>
      <c r="H16" s="25"/>
      <c r="I16" s="25"/>
      <c r="J16" s="25"/>
      <c r="K16" s="25"/>
      <c r="L16" s="25"/>
      <c r="M16" s="25"/>
      <c r="O16" s="25"/>
      <c r="P16" s="25"/>
      <c r="Q16" s="25"/>
      <c r="R16" s="25"/>
      <c r="S16" s="25"/>
      <c r="T16" s="25"/>
      <c r="U16" s="25"/>
      <c r="AE16" s="25"/>
      <c r="AF16" s="25"/>
      <c r="AG16" s="25"/>
      <c r="AH16" s="25"/>
      <c r="AI16" s="25"/>
      <c r="AJ16" s="25"/>
      <c r="AK16" s="25"/>
      <c r="AL16" s="25"/>
      <c r="AM16" s="46">
        <v>1.19</v>
      </c>
      <c r="AN16" s="46"/>
      <c r="AO16" s="47">
        <v>0.821</v>
      </c>
      <c r="AP16" s="47"/>
      <c r="AQ16" s="47">
        <v>0.748</v>
      </c>
      <c r="AR16" s="47"/>
      <c r="AS16" s="47">
        <v>0.644</v>
      </c>
      <c r="AT16" s="47"/>
      <c r="AU16" s="5">
        <f t="shared" si="0"/>
        <v>0.8507500000000001</v>
      </c>
      <c r="AV16" s="25"/>
      <c r="AW16" s="47"/>
      <c r="AX16" s="25"/>
      <c r="AY16" s="48"/>
      <c r="AZ16" s="25"/>
      <c r="BA16" s="25"/>
      <c r="BB16" s="25"/>
      <c r="BC16" s="48"/>
      <c r="BD16" s="25"/>
      <c r="BE16" s="25"/>
      <c r="BF16" s="25"/>
    </row>
    <row r="17" spans="2:58" ht="12.75">
      <c r="B17" s="8" t="s">
        <v>48</v>
      </c>
      <c r="C17" s="9"/>
      <c r="D17" s="9" t="s">
        <v>112</v>
      </c>
      <c r="E17" s="9"/>
      <c r="G17" s="25"/>
      <c r="H17" s="25"/>
      <c r="I17" s="25"/>
      <c r="J17" s="25"/>
      <c r="K17" s="25"/>
      <c r="L17" s="25"/>
      <c r="M17" s="25"/>
      <c r="O17" s="25"/>
      <c r="P17" s="25"/>
      <c r="Q17" s="25"/>
      <c r="R17" s="25"/>
      <c r="S17" s="25"/>
      <c r="T17" s="25"/>
      <c r="U17" s="25"/>
      <c r="AE17" s="25"/>
      <c r="AF17" s="25"/>
      <c r="AG17" s="25"/>
      <c r="AH17" s="25"/>
      <c r="AI17" s="25"/>
      <c r="AJ17" s="25"/>
      <c r="AK17" s="25"/>
      <c r="AL17" s="25" t="s">
        <v>59</v>
      </c>
      <c r="AM17" s="46">
        <v>0.0337</v>
      </c>
      <c r="AN17" s="46"/>
      <c r="AO17" s="17">
        <v>0.0709</v>
      </c>
      <c r="AP17" s="47"/>
      <c r="AQ17" s="17">
        <v>0.0874</v>
      </c>
      <c r="AR17" s="47" t="s">
        <v>59</v>
      </c>
      <c r="AS17" s="17">
        <v>0.0346</v>
      </c>
      <c r="AT17" s="17"/>
      <c r="AU17" s="5">
        <f t="shared" si="0"/>
        <v>0.05665</v>
      </c>
      <c r="AV17" s="25"/>
      <c r="AW17" s="47"/>
      <c r="AX17" s="25"/>
      <c r="AY17" s="48"/>
      <c r="AZ17" s="25"/>
      <c r="BA17" s="25"/>
      <c r="BB17" s="25"/>
      <c r="BC17" s="48"/>
      <c r="BD17" s="25"/>
      <c r="BE17" s="25"/>
      <c r="BF17" s="25"/>
    </row>
    <row r="18" spans="2:58" ht="12.75">
      <c r="B18" s="8" t="s">
        <v>65</v>
      </c>
      <c r="C18" s="9"/>
      <c r="D18" s="9" t="s">
        <v>112</v>
      </c>
      <c r="E18" s="9"/>
      <c r="G18" s="16"/>
      <c r="H18" s="16"/>
      <c r="I18" s="16"/>
      <c r="J18" s="16"/>
      <c r="K18" s="16"/>
      <c r="L18" s="16"/>
      <c r="M18" s="16"/>
      <c r="O18" s="16"/>
      <c r="P18" s="16"/>
      <c r="Q18" s="16"/>
      <c r="R18" s="16"/>
      <c r="S18" s="16"/>
      <c r="T18" s="16"/>
      <c r="U18" s="16"/>
      <c r="AE18" s="16"/>
      <c r="AF18" s="16"/>
      <c r="AG18" s="16"/>
      <c r="AH18" s="16"/>
      <c r="AI18" s="16"/>
      <c r="AJ18" s="16"/>
      <c r="AK18" s="16"/>
      <c r="AL18" s="16" t="s">
        <v>59</v>
      </c>
      <c r="AM18" s="46">
        <v>0.174</v>
      </c>
      <c r="AN18" s="46"/>
      <c r="AO18" s="17">
        <v>0.386</v>
      </c>
      <c r="AP18" s="47"/>
      <c r="AQ18" s="17">
        <v>0.599</v>
      </c>
      <c r="AR18" s="47"/>
      <c r="AS18" s="17">
        <v>0.214</v>
      </c>
      <c r="AT18" s="17"/>
      <c r="AU18" s="5">
        <f t="shared" si="0"/>
        <v>0.34325</v>
      </c>
      <c r="AV18" s="25"/>
      <c r="AW18" s="47"/>
      <c r="AX18" s="25"/>
      <c r="AY18" s="48"/>
      <c r="AZ18" s="25"/>
      <c r="BA18" s="25"/>
      <c r="BB18" s="25"/>
      <c r="BC18" s="48"/>
      <c r="BD18" s="25"/>
      <c r="BE18" s="25"/>
      <c r="BF18" s="25"/>
    </row>
    <row r="19" spans="2:58" ht="12.75">
      <c r="B19" s="8" t="s">
        <v>54</v>
      </c>
      <c r="C19" s="9"/>
      <c r="D19" s="9" t="s">
        <v>112</v>
      </c>
      <c r="E19" s="9"/>
      <c r="G19" s="25"/>
      <c r="H19" s="25"/>
      <c r="I19" s="25"/>
      <c r="J19" s="25"/>
      <c r="K19" s="25"/>
      <c r="L19" s="25"/>
      <c r="M19" s="25"/>
      <c r="O19" s="25"/>
      <c r="P19" s="25"/>
      <c r="Q19" s="25"/>
      <c r="R19" s="25"/>
      <c r="S19" s="25"/>
      <c r="T19" s="25"/>
      <c r="U19" s="25"/>
      <c r="AE19" s="25"/>
      <c r="AF19" s="25"/>
      <c r="AG19" s="25"/>
      <c r="AH19" s="25"/>
      <c r="AI19" s="25"/>
      <c r="AJ19" s="25"/>
      <c r="AK19" s="25"/>
      <c r="AL19" s="25"/>
      <c r="AM19" s="46">
        <v>0.831</v>
      </c>
      <c r="AN19" s="46"/>
      <c r="AO19" s="17">
        <v>2.01</v>
      </c>
      <c r="AP19" s="47"/>
      <c r="AQ19" s="17">
        <v>3.15</v>
      </c>
      <c r="AR19" s="47"/>
      <c r="AS19" s="17">
        <v>1.26</v>
      </c>
      <c r="AT19" s="17"/>
      <c r="AU19" s="5">
        <f t="shared" si="0"/>
        <v>1.8127499999999999</v>
      </c>
      <c r="AV19" s="25"/>
      <c r="AW19" s="47"/>
      <c r="AX19" s="25"/>
      <c r="AY19" s="48"/>
      <c r="AZ19" s="25"/>
      <c r="BA19" s="25"/>
      <c r="BB19" s="25"/>
      <c r="BC19" s="48"/>
      <c r="BD19" s="25"/>
      <c r="BE19" s="25"/>
      <c r="BF19" s="25"/>
    </row>
    <row r="20" spans="2:58" ht="12.75">
      <c r="B20" s="8" t="s">
        <v>66</v>
      </c>
      <c r="C20" s="9"/>
      <c r="D20" s="9" t="s">
        <v>112</v>
      </c>
      <c r="E20" s="9"/>
      <c r="G20" s="25"/>
      <c r="H20" s="25"/>
      <c r="I20" s="25"/>
      <c r="J20" s="25"/>
      <c r="K20" s="25"/>
      <c r="L20" s="25"/>
      <c r="M20" s="25"/>
      <c r="O20" s="25"/>
      <c r="P20" s="25"/>
      <c r="Q20" s="25"/>
      <c r="R20" s="25"/>
      <c r="S20" s="25"/>
      <c r="T20" s="25"/>
      <c r="U20" s="25"/>
      <c r="AE20" s="25"/>
      <c r="AF20" s="25"/>
      <c r="AG20" s="25"/>
      <c r="AH20" s="25"/>
      <c r="AI20" s="25"/>
      <c r="AJ20" s="25"/>
      <c r="AK20" s="25"/>
      <c r="AL20" s="25"/>
      <c r="AM20" s="25">
        <v>86.6</v>
      </c>
      <c r="AN20" s="46"/>
      <c r="AO20" s="17">
        <v>49</v>
      </c>
      <c r="AP20" s="47"/>
      <c r="AQ20" s="17">
        <v>37.9</v>
      </c>
      <c r="AR20" s="47"/>
      <c r="AS20" s="17">
        <v>41.1</v>
      </c>
      <c r="AT20" s="17"/>
      <c r="AU20" s="5">
        <f t="shared" si="0"/>
        <v>53.65</v>
      </c>
      <c r="AV20" s="25"/>
      <c r="AW20" s="47"/>
      <c r="AX20" s="25"/>
      <c r="AY20" s="48"/>
      <c r="AZ20" s="25"/>
      <c r="BA20" s="25"/>
      <c r="BB20" s="25"/>
      <c r="BC20" s="48"/>
      <c r="BD20" s="25"/>
      <c r="BE20" s="25"/>
      <c r="BF20" s="25"/>
    </row>
    <row r="21" spans="2:58" ht="12.75">
      <c r="B21" s="8" t="s">
        <v>47</v>
      </c>
      <c r="C21" s="9"/>
      <c r="D21" s="9" t="s">
        <v>112</v>
      </c>
      <c r="E21" s="9"/>
      <c r="G21" s="25"/>
      <c r="H21" s="25"/>
      <c r="I21" s="25"/>
      <c r="J21" s="25"/>
      <c r="K21" s="25"/>
      <c r="L21" s="25"/>
      <c r="M21" s="25"/>
      <c r="O21" s="25"/>
      <c r="P21" s="25"/>
      <c r="Q21" s="25"/>
      <c r="R21" s="25"/>
      <c r="S21" s="25"/>
      <c r="T21" s="25"/>
      <c r="U21" s="25"/>
      <c r="AE21" s="25"/>
      <c r="AF21" s="25"/>
      <c r="AG21" s="25"/>
      <c r="AH21" s="25"/>
      <c r="AI21" s="25"/>
      <c r="AJ21" s="25"/>
      <c r="AK21" s="25"/>
      <c r="AL21" s="25"/>
      <c r="AM21" s="25">
        <v>0.0798</v>
      </c>
      <c r="AN21" s="46"/>
      <c r="AO21" s="46">
        <v>0.0659</v>
      </c>
      <c r="AP21" s="47"/>
      <c r="AQ21" s="17">
        <v>0.0853</v>
      </c>
      <c r="AR21" s="47"/>
      <c r="AS21" s="17">
        <v>0.0568</v>
      </c>
      <c r="AT21" s="17"/>
      <c r="AU21" s="5">
        <f t="shared" si="0"/>
        <v>0.07195</v>
      </c>
      <c r="AV21" s="25"/>
      <c r="AW21" s="47"/>
      <c r="AX21" s="25"/>
      <c r="AY21" s="48"/>
      <c r="AZ21" s="25"/>
      <c r="BA21" s="25"/>
      <c r="BB21" s="25"/>
      <c r="BC21" s="48"/>
      <c r="BD21" s="25"/>
      <c r="BE21" s="25"/>
      <c r="BF21" s="25"/>
    </row>
    <row r="22" spans="2:58" ht="12.75">
      <c r="B22" s="8" t="s">
        <v>49</v>
      </c>
      <c r="C22" s="9"/>
      <c r="D22" s="9" t="s">
        <v>112</v>
      </c>
      <c r="E22" s="9"/>
      <c r="G22" s="25"/>
      <c r="H22" s="25"/>
      <c r="I22" s="25"/>
      <c r="J22" s="25"/>
      <c r="K22" s="25"/>
      <c r="L22" s="25"/>
      <c r="M22" s="25"/>
      <c r="O22" s="25"/>
      <c r="P22" s="25"/>
      <c r="Q22" s="25"/>
      <c r="R22" s="25"/>
      <c r="S22" s="25"/>
      <c r="T22" s="25"/>
      <c r="U22" s="25"/>
      <c r="AE22" s="25"/>
      <c r="AF22" s="25"/>
      <c r="AG22" s="25"/>
      <c r="AH22" s="25"/>
      <c r="AI22" s="25"/>
      <c r="AJ22" s="25"/>
      <c r="AK22" s="25"/>
      <c r="AL22" s="25" t="s">
        <v>59</v>
      </c>
      <c r="AM22" s="46">
        <v>0.118</v>
      </c>
      <c r="AN22" s="46" t="s">
        <v>59</v>
      </c>
      <c r="AO22" s="46">
        <v>0.214</v>
      </c>
      <c r="AP22" s="47" t="s">
        <v>59</v>
      </c>
      <c r="AQ22" s="17">
        <v>0.118</v>
      </c>
      <c r="AR22" s="47" t="s">
        <v>59</v>
      </c>
      <c r="AS22" s="17">
        <v>0.117</v>
      </c>
      <c r="AT22" s="17"/>
      <c r="AU22" s="50">
        <f>AVERAGE(AM22,AO22,AQ22,AS22)</f>
        <v>0.14175</v>
      </c>
      <c r="AV22" s="25"/>
      <c r="AW22" s="47"/>
      <c r="AX22" s="25"/>
      <c r="AY22" s="48"/>
      <c r="AZ22" s="25"/>
      <c r="BA22" s="25"/>
      <c r="BB22" s="25"/>
      <c r="BC22" s="48"/>
      <c r="BD22" s="25"/>
      <c r="BE22" s="25"/>
      <c r="BF22" s="25"/>
    </row>
    <row r="23" spans="2:58" ht="12.75">
      <c r="B23" s="8" t="s">
        <v>67</v>
      </c>
      <c r="C23" s="9"/>
      <c r="D23" s="9" t="s">
        <v>112</v>
      </c>
      <c r="E23" s="9"/>
      <c r="G23" s="25"/>
      <c r="H23" s="25"/>
      <c r="I23" s="25"/>
      <c r="J23" s="25"/>
      <c r="K23" s="25"/>
      <c r="L23" s="25"/>
      <c r="M23" s="25"/>
      <c r="O23" s="25"/>
      <c r="P23" s="25"/>
      <c r="Q23" s="25"/>
      <c r="R23" s="25"/>
      <c r="S23" s="25"/>
      <c r="T23" s="25"/>
      <c r="U23" s="25"/>
      <c r="AE23" s="25"/>
      <c r="AF23" s="25"/>
      <c r="AG23" s="25"/>
      <c r="AH23" s="25"/>
      <c r="AI23" s="25"/>
      <c r="AJ23" s="25"/>
      <c r="AK23" s="25"/>
      <c r="AL23" s="25" t="s">
        <v>59</v>
      </c>
      <c r="AM23" s="46">
        <v>0.688</v>
      </c>
      <c r="AN23" s="46"/>
      <c r="AO23" s="46">
        <v>1.47</v>
      </c>
      <c r="AP23" s="47"/>
      <c r="AQ23" s="17">
        <v>2.45</v>
      </c>
      <c r="AR23" s="47"/>
      <c r="AS23" s="17">
        <v>0.845</v>
      </c>
      <c r="AT23" s="17"/>
      <c r="AU23" s="5">
        <f t="shared" si="0"/>
        <v>1.36325</v>
      </c>
      <c r="AV23" s="25"/>
      <c r="AW23" s="47"/>
      <c r="AX23" s="25"/>
      <c r="AY23" s="48"/>
      <c r="AZ23" s="25"/>
      <c r="BA23" s="25"/>
      <c r="BB23" s="25"/>
      <c r="BC23" s="48"/>
      <c r="BD23" s="25"/>
      <c r="BE23" s="25"/>
      <c r="BF23" s="25"/>
    </row>
    <row r="24" spans="2:58" ht="12.75">
      <c r="B24" s="8" t="s">
        <v>69</v>
      </c>
      <c r="C24" s="9"/>
      <c r="D24" s="9" t="s">
        <v>112</v>
      </c>
      <c r="E24" s="9"/>
      <c r="G24" s="25"/>
      <c r="H24" s="25"/>
      <c r="I24" s="25"/>
      <c r="J24" s="25"/>
      <c r="K24" s="25"/>
      <c r="L24" s="25"/>
      <c r="M24" s="25"/>
      <c r="O24" s="25"/>
      <c r="P24" s="25"/>
      <c r="Q24" s="25"/>
      <c r="R24" s="25"/>
      <c r="S24" s="25"/>
      <c r="T24" s="25"/>
      <c r="U24" s="25"/>
      <c r="AE24" s="25"/>
      <c r="AF24" s="25"/>
      <c r="AG24" s="25"/>
      <c r="AH24" s="25"/>
      <c r="AI24" s="25"/>
      <c r="AJ24" s="25"/>
      <c r="AK24" s="25"/>
      <c r="AL24" s="25"/>
      <c r="AM24" s="46">
        <v>4.75</v>
      </c>
      <c r="AN24" s="46"/>
      <c r="AO24" s="46">
        <v>9.53</v>
      </c>
      <c r="AP24" s="47"/>
      <c r="AQ24" s="17">
        <v>14</v>
      </c>
      <c r="AR24" s="47"/>
      <c r="AS24" s="17">
        <v>5.68</v>
      </c>
      <c r="AT24" s="17"/>
      <c r="AU24" s="5">
        <f t="shared" si="0"/>
        <v>8.49</v>
      </c>
      <c r="AV24" s="25"/>
      <c r="AW24" s="47"/>
      <c r="AX24" s="25"/>
      <c r="AY24" s="48"/>
      <c r="AZ24" s="25"/>
      <c r="BA24" s="25"/>
      <c r="BB24" s="25"/>
      <c r="BC24" s="48"/>
      <c r="BD24" s="25"/>
      <c r="BE24" s="25"/>
      <c r="BF24" s="25"/>
    </row>
    <row r="25" spans="2:58" ht="12.75">
      <c r="B25" s="8" t="s">
        <v>62</v>
      </c>
      <c r="C25" s="9"/>
      <c r="D25" s="9" t="s">
        <v>112</v>
      </c>
      <c r="E25" s="9"/>
      <c r="G25" s="25"/>
      <c r="H25" s="25"/>
      <c r="I25" s="25"/>
      <c r="J25" s="25"/>
      <c r="K25" s="25"/>
      <c r="L25" s="25"/>
      <c r="M25" s="25"/>
      <c r="O25" s="25"/>
      <c r="P25" s="25"/>
      <c r="Q25" s="25"/>
      <c r="R25" s="25"/>
      <c r="S25" s="25"/>
      <c r="T25" s="25"/>
      <c r="U25" s="25"/>
      <c r="AE25" s="25"/>
      <c r="AF25" s="25"/>
      <c r="AG25" s="25"/>
      <c r="AH25" s="25"/>
      <c r="AI25" s="25"/>
      <c r="AJ25" s="25"/>
      <c r="AK25" s="25"/>
      <c r="AL25" s="25" t="s">
        <v>59</v>
      </c>
      <c r="AM25" s="46">
        <v>0.557</v>
      </c>
      <c r="AN25" s="46"/>
      <c r="AO25" s="23">
        <v>1.6</v>
      </c>
      <c r="AP25" s="47"/>
      <c r="AQ25" s="17">
        <v>2.72</v>
      </c>
      <c r="AR25" s="47"/>
      <c r="AS25" s="17">
        <v>0.966</v>
      </c>
      <c r="AT25" s="17"/>
      <c r="AU25" s="5">
        <f t="shared" si="0"/>
        <v>1.4607500000000002</v>
      </c>
      <c r="AV25" s="25"/>
      <c r="AW25" s="47"/>
      <c r="AX25" s="25"/>
      <c r="AY25" s="48"/>
      <c r="AZ25" s="25"/>
      <c r="BA25" s="25"/>
      <c r="BB25" s="25"/>
      <c r="BC25" s="48"/>
      <c r="BD25" s="25"/>
      <c r="BE25" s="25"/>
      <c r="BF25" s="25"/>
    </row>
    <row r="26" spans="2:58" ht="12.75">
      <c r="B26" s="8" t="s">
        <v>70</v>
      </c>
      <c r="C26" s="9"/>
      <c r="D26" s="9" t="s">
        <v>112</v>
      </c>
      <c r="E26" s="9"/>
      <c r="G26" s="16"/>
      <c r="H26" s="16"/>
      <c r="I26" s="16"/>
      <c r="J26" s="16"/>
      <c r="K26" s="16"/>
      <c r="L26" s="16"/>
      <c r="M26" s="16"/>
      <c r="O26" s="16"/>
      <c r="P26" s="16"/>
      <c r="Q26" s="16"/>
      <c r="R26" s="16"/>
      <c r="S26" s="16"/>
      <c r="T26" s="16"/>
      <c r="U26" s="16"/>
      <c r="AE26" s="16"/>
      <c r="AF26" s="16"/>
      <c r="AG26" s="16"/>
      <c r="AH26" s="16"/>
      <c r="AI26" s="16"/>
      <c r="AJ26" s="16"/>
      <c r="AK26" s="16"/>
      <c r="AL26" s="16" t="s">
        <v>59</v>
      </c>
      <c r="AM26" s="46">
        <v>3.45</v>
      </c>
      <c r="AN26" s="46"/>
      <c r="AO26" s="23">
        <v>4.93</v>
      </c>
      <c r="AP26" s="47"/>
      <c r="AQ26" s="17">
        <v>7.92</v>
      </c>
      <c r="AR26" s="47"/>
      <c r="AS26" s="17">
        <v>2.77</v>
      </c>
      <c r="AT26" s="17"/>
      <c r="AU26" s="5">
        <f t="shared" si="0"/>
        <v>4.767499999999999</v>
      </c>
      <c r="AV26" s="28"/>
      <c r="AW26" s="47"/>
      <c r="AX26" s="28"/>
      <c r="AY26" s="48"/>
      <c r="AZ26" s="28"/>
      <c r="BA26" s="28"/>
      <c r="BB26" s="28"/>
      <c r="BC26" s="48"/>
      <c r="BD26" s="28"/>
      <c r="BE26" s="28"/>
      <c r="BF26" s="28"/>
    </row>
    <row r="27" spans="40:58" ht="12.75">
      <c r="AN27" s="46"/>
      <c r="AO27" s="47"/>
      <c r="AP27" s="47"/>
      <c r="AQ27" s="47"/>
      <c r="AR27" s="47"/>
      <c r="AS27" s="47"/>
      <c r="AT27" s="47"/>
      <c r="AU27" s="5"/>
      <c r="AV27" s="10"/>
      <c r="AW27" s="47"/>
      <c r="AX27" s="10"/>
      <c r="AY27" s="48"/>
      <c r="AZ27" s="10"/>
      <c r="BA27" s="10"/>
      <c r="BB27" s="10"/>
      <c r="BC27" s="48"/>
      <c r="BD27" s="10"/>
      <c r="BE27" s="10"/>
      <c r="BF27" s="10"/>
    </row>
    <row r="28" spans="2:58" ht="12.75">
      <c r="B28" s="9" t="s">
        <v>80</v>
      </c>
      <c r="D28" s="9" t="s">
        <v>17</v>
      </c>
      <c r="E28" s="3"/>
      <c r="G28" s="25"/>
      <c r="H28" s="25"/>
      <c r="I28" s="25"/>
      <c r="J28" s="25"/>
      <c r="K28" s="25"/>
      <c r="L28" s="25"/>
      <c r="M28" s="25"/>
      <c r="O28" s="25"/>
      <c r="P28" s="25"/>
      <c r="Q28" s="25"/>
      <c r="R28" s="25"/>
      <c r="S28" s="25"/>
      <c r="T28" s="25"/>
      <c r="U28" s="25"/>
      <c r="AE28" s="25"/>
      <c r="AF28" s="25"/>
      <c r="AG28" s="25"/>
      <c r="AH28" s="25"/>
      <c r="AI28" s="25"/>
      <c r="AJ28" s="25"/>
      <c r="AK28" s="25"/>
      <c r="AL28" s="25"/>
      <c r="AM28" s="51">
        <f>'emiss 1'!G42</f>
        <v>4169.611307420495</v>
      </c>
      <c r="AN28" s="46"/>
      <c r="AO28" s="51">
        <f>'emiss 1'!I42</f>
        <v>4169.611307420495</v>
      </c>
      <c r="AP28" s="47"/>
      <c r="AQ28" s="29">
        <f>'emiss 1'!K42</f>
        <v>4134.275618374559</v>
      </c>
      <c r="AR28" s="47"/>
      <c r="AS28" s="29">
        <f>'emiss 1'!M42</f>
        <v>4063.6042402826856</v>
      </c>
      <c r="AT28" s="29"/>
      <c r="AU28" s="49">
        <f t="shared" si="0"/>
        <v>4134.275618374559</v>
      </c>
      <c r="AV28" s="10"/>
      <c r="AW28" s="47"/>
      <c r="AX28" s="10"/>
      <c r="AY28" s="48"/>
      <c r="AZ28" s="10"/>
      <c r="BA28" s="10"/>
      <c r="BB28" s="10"/>
      <c r="BC28" s="48"/>
      <c r="BD28" s="10"/>
      <c r="BE28" s="10"/>
      <c r="BF28" s="10"/>
    </row>
    <row r="29" spans="2:58" ht="12.75">
      <c r="B29" s="9" t="s">
        <v>81</v>
      </c>
      <c r="D29" s="9" t="s">
        <v>18</v>
      </c>
      <c r="E29" s="3"/>
      <c r="G29" s="25"/>
      <c r="H29" s="25"/>
      <c r="I29" s="25"/>
      <c r="J29" s="25"/>
      <c r="K29" s="25"/>
      <c r="L29" s="25"/>
      <c r="M29" s="25"/>
      <c r="O29" s="25"/>
      <c r="P29" s="25"/>
      <c r="Q29" s="25"/>
      <c r="R29" s="25"/>
      <c r="S29" s="25"/>
      <c r="T29" s="25"/>
      <c r="U29" s="25"/>
      <c r="AE29" s="25"/>
      <c r="AF29" s="25"/>
      <c r="AG29" s="25"/>
      <c r="AH29" s="25"/>
      <c r="AI29" s="25"/>
      <c r="AJ29" s="25"/>
      <c r="AK29" s="25"/>
      <c r="AL29" s="25"/>
      <c r="AM29" s="26">
        <f>'emiss 1'!G43</f>
        <v>3.6</v>
      </c>
      <c r="AN29" s="46"/>
      <c r="AO29" s="46">
        <f>'emiss 1'!I43</f>
        <v>3.7</v>
      </c>
      <c r="AP29" s="47"/>
      <c r="AQ29" s="47">
        <f>'emiss 1'!K43</f>
        <v>3.6</v>
      </c>
      <c r="AR29" s="47"/>
      <c r="AS29" s="47">
        <f>'emiss 1'!M43</f>
        <v>3.7</v>
      </c>
      <c r="AT29" s="47"/>
      <c r="AU29" s="5">
        <f t="shared" si="0"/>
        <v>3.6500000000000004</v>
      </c>
      <c r="AV29" s="10"/>
      <c r="AW29" s="47"/>
      <c r="AX29" s="10"/>
      <c r="AY29" s="48"/>
      <c r="AZ29" s="10"/>
      <c r="BA29" s="10"/>
      <c r="BB29" s="10"/>
      <c r="BC29" s="48"/>
      <c r="BD29" s="10"/>
      <c r="BE29" s="10"/>
      <c r="BF29" s="10"/>
    </row>
    <row r="30" spans="2:58" ht="12.75">
      <c r="B30" s="9"/>
      <c r="C30" s="9"/>
      <c r="D30" s="9"/>
      <c r="E30" s="9"/>
      <c r="G30" s="16"/>
      <c r="H30" s="16"/>
      <c r="I30" s="16"/>
      <c r="J30" s="16"/>
      <c r="K30" s="16"/>
      <c r="L30" s="16"/>
      <c r="M30" s="16"/>
      <c r="O30" s="16"/>
      <c r="P30" s="16"/>
      <c r="Q30" s="16"/>
      <c r="R30" s="16"/>
      <c r="S30" s="16"/>
      <c r="T30" s="16"/>
      <c r="U30" s="16"/>
      <c r="AE30" s="16"/>
      <c r="AF30" s="16"/>
      <c r="AG30" s="16"/>
      <c r="AH30" s="16"/>
      <c r="AI30" s="16"/>
      <c r="AJ30" s="16"/>
      <c r="AK30" s="16"/>
      <c r="AL30" s="16"/>
      <c r="AM30" s="46"/>
      <c r="AN30" s="46"/>
      <c r="AO30" s="47"/>
      <c r="AP30" s="47"/>
      <c r="AQ30" s="47"/>
      <c r="AR30" s="47"/>
      <c r="AS30" s="47"/>
      <c r="AT30" s="47"/>
      <c r="AU30" s="5"/>
      <c r="AV30" s="25"/>
      <c r="AW30" s="47"/>
      <c r="AX30" s="25"/>
      <c r="AY30" s="48"/>
      <c r="AZ30" s="25"/>
      <c r="BA30" s="25"/>
      <c r="BB30" s="25"/>
      <c r="BC30" s="48"/>
      <c r="BD30" s="25"/>
      <c r="BE30" s="25"/>
      <c r="BF30" s="25"/>
    </row>
    <row r="31" spans="2:58" ht="12.75">
      <c r="B31" s="9" t="s">
        <v>169</v>
      </c>
      <c r="C31" s="9"/>
      <c r="D31" s="9" t="s">
        <v>170</v>
      </c>
      <c r="E31" s="9"/>
      <c r="G31" s="43">
        <f>G10*2.2*G11/1000000</f>
        <v>7.0224</v>
      </c>
      <c r="H31" s="16"/>
      <c r="I31" s="43">
        <f>I10*2.2*I11/1000000</f>
        <v>7.0224</v>
      </c>
      <c r="J31" s="16"/>
      <c r="K31" s="43">
        <f>K10*2.2*K11/1000000</f>
        <v>7.0224</v>
      </c>
      <c r="L31" s="16"/>
      <c r="M31" s="43">
        <f>M10*2.2*M11/1000000</f>
        <v>7.0224</v>
      </c>
      <c r="O31" s="43">
        <f>O10*2.2*O11/1000000</f>
        <v>4.6816</v>
      </c>
      <c r="P31" s="16"/>
      <c r="Q31" s="43">
        <f>Q10*2.2*Q11/1000000</f>
        <v>4.6816</v>
      </c>
      <c r="R31" s="16"/>
      <c r="S31" s="43">
        <f>S10*2.2*S11/1000000</f>
        <v>4.6816</v>
      </c>
      <c r="T31" s="16"/>
      <c r="U31" s="43">
        <f>U10*2.2*U11/1000000</f>
        <v>4.6816</v>
      </c>
      <c r="AE31" s="42">
        <f>AE10*2.2*AE11/1000000</f>
        <v>0.6732000000000001</v>
      </c>
      <c r="AF31" s="42"/>
      <c r="AG31" s="42">
        <f>AG10*2.2*AG11/1000000</f>
        <v>0.6688</v>
      </c>
      <c r="AH31" s="42"/>
      <c r="AI31" s="42">
        <f>AI10*2.2*AI11/1000000</f>
        <v>0.6644</v>
      </c>
      <c r="AJ31" s="16"/>
      <c r="AK31" s="43">
        <f>AK10*2.2*AK11/1000000</f>
        <v>0.6556</v>
      </c>
      <c r="AL31" s="16"/>
      <c r="AM31" s="43">
        <f>G31+O31+AE31</f>
        <v>12.3772</v>
      </c>
      <c r="AN31" s="46"/>
      <c r="AO31" s="43">
        <f>I31+Q31+AG31</f>
        <v>12.3728</v>
      </c>
      <c r="AP31" s="47"/>
      <c r="AQ31" s="43">
        <f>K31+S31+AI31</f>
        <v>12.368400000000001</v>
      </c>
      <c r="AR31" s="47"/>
      <c r="AS31" s="43">
        <f>M31+U31+AK31</f>
        <v>12.3596</v>
      </c>
      <c r="AT31" s="47"/>
      <c r="AU31" s="5">
        <f t="shared" si="0"/>
        <v>12.3695</v>
      </c>
      <c r="AV31" s="25"/>
      <c r="AW31" s="47"/>
      <c r="AX31" s="25"/>
      <c r="AY31" s="48"/>
      <c r="AZ31" s="25"/>
      <c r="BA31" s="25"/>
      <c r="BB31" s="25"/>
      <c r="BC31" s="48"/>
      <c r="BD31" s="25"/>
      <c r="BE31" s="25"/>
      <c r="BF31" s="25"/>
    </row>
    <row r="32" spans="2:58" ht="12.75">
      <c r="B32" s="8" t="s">
        <v>173</v>
      </c>
      <c r="C32" s="9"/>
      <c r="D32" s="8" t="s">
        <v>170</v>
      </c>
      <c r="E32" s="9"/>
      <c r="G32" s="43"/>
      <c r="H32" s="16"/>
      <c r="I32" s="43"/>
      <c r="J32" s="16"/>
      <c r="K32" s="43"/>
      <c r="L32" s="16"/>
      <c r="M32" s="43"/>
      <c r="O32" s="43"/>
      <c r="P32" s="16"/>
      <c r="Q32" s="43"/>
      <c r="R32" s="16"/>
      <c r="S32" s="43"/>
      <c r="T32" s="16"/>
      <c r="U32" s="43"/>
      <c r="AE32" s="42"/>
      <c r="AF32" s="42"/>
      <c r="AG32" s="42"/>
      <c r="AH32" s="42"/>
      <c r="AI32" s="42"/>
      <c r="AJ32" s="16"/>
      <c r="AK32" s="43"/>
      <c r="AL32" s="16"/>
      <c r="AM32" s="42">
        <f>AM28/9000*60*(21-AM29)/21</f>
        <v>23.032138650513208</v>
      </c>
      <c r="AN32" s="46"/>
      <c r="AO32" s="42">
        <f>AO28/9000*60*(21-AO29)/21</f>
        <v>22.899770037579227</v>
      </c>
      <c r="AP32" s="47"/>
      <c r="AQ32" s="42">
        <f>AQ28/9000*60*(21-AQ29)/21</f>
        <v>22.836951034830896</v>
      </c>
      <c r="AR32" s="47"/>
      <c r="AS32" s="42">
        <f>AS28/9000*60*(21-AS29)/21</f>
        <v>22.31757249425094</v>
      </c>
      <c r="AT32" s="47"/>
      <c r="AU32" s="42">
        <f>AU28/9000*60*(21-AU29)/21</f>
        <v>22.771327612317016</v>
      </c>
      <c r="AV32" s="25"/>
      <c r="AW32" s="47"/>
      <c r="AX32" s="25"/>
      <c r="AY32" s="48"/>
      <c r="AZ32" s="25"/>
      <c r="BA32" s="25"/>
      <c r="BB32" s="25"/>
      <c r="BC32" s="48"/>
      <c r="BD32" s="25"/>
      <c r="BE32" s="25"/>
      <c r="BF32" s="25"/>
    </row>
    <row r="33" spans="2:58" ht="12.75">
      <c r="B33" s="9"/>
      <c r="C33" s="9"/>
      <c r="D33" s="9"/>
      <c r="E33" s="9"/>
      <c r="G33" s="16"/>
      <c r="H33" s="16"/>
      <c r="I33" s="16"/>
      <c r="J33" s="16"/>
      <c r="K33" s="16"/>
      <c r="L33" s="16"/>
      <c r="M33" s="16"/>
      <c r="O33" s="16"/>
      <c r="P33" s="16"/>
      <c r="Q33" s="16"/>
      <c r="R33" s="16"/>
      <c r="S33" s="16"/>
      <c r="T33" s="16"/>
      <c r="U33" s="16"/>
      <c r="AE33" s="16"/>
      <c r="AF33" s="16"/>
      <c r="AG33" s="16"/>
      <c r="AH33" s="16"/>
      <c r="AI33" s="16"/>
      <c r="AJ33" s="16"/>
      <c r="AK33" s="16"/>
      <c r="AL33" s="16"/>
      <c r="AM33" s="46"/>
      <c r="AN33" s="46"/>
      <c r="AO33" s="47"/>
      <c r="AP33" s="47"/>
      <c r="AQ33" s="47"/>
      <c r="AR33" s="47"/>
      <c r="AS33" s="47"/>
      <c r="AT33" s="47"/>
      <c r="AU33" s="5"/>
      <c r="AV33" s="25"/>
      <c r="AW33" s="47"/>
      <c r="AX33" s="25"/>
      <c r="AY33" s="48"/>
      <c r="AZ33" s="25"/>
      <c r="BA33" s="25"/>
      <c r="BB33" s="25"/>
      <c r="BC33" s="48"/>
      <c r="BD33" s="25"/>
      <c r="BE33" s="25"/>
      <c r="BF33" s="25"/>
    </row>
    <row r="34" spans="2:58" ht="12.75">
      <c r="B34" s="33" t="s">
        <v>82</v>
      </c>
      <c r="C34" s="9"/>
      <c r="D34" s="9"/>
      <c r="E34" s="9"/>
      <c r="G34" s="16"/>
      <c r="H34" s="16"/>
      <c r="I34" s="16"/>
      <c r="J34" s="16"/>
      <c r="K34" s="16"/>
      <c r="L34" s="16"/>
      <c r="M34" s="16"/>
      <c r="O34" s="16"/>
      <c r="P34" s="16"/>
      <c r="Q34" s="16"/>
      <c r="R34" s="16"/>
      <c r="S34" s="16"/>
      <c r="T34" s="16"/>
      <c r="U34" s="16"/>
      <c r="AE34" s="16"/>
      <c r="AF34" s="16"/>
      <c r="AG34" s="16"/>
      <c r="AH34" s="16"/>
      <c r="AI34" s="16"/>
      <c r="AJ34" s="16"/>
      <c r="AK34" s="16"/>
      <c r="AL34" s="16"/>
      <c r="AM34" s="46"/>
      <c r="AN34" s="46"/>
      <c r="AO34" s="46"/>
      <c r="AP34" s="46"/>
      <c r="AQ34" s="47"/>
      <c r="AR34" s="47"/>
      <c r="AS34" s="47"/>
      <c r="AT34" s="47"/>
      <c r="AU34" s="5"/>
      <c r="AV34" s="25"/>
      <c r="AW34" s="47"/>
      <c r="AX34" s="25"/>
      <c r="AY34" s="48"/>
      <c r="AZ34" s="25"/>
      <c r="BA34" s="25"/>
      <c r="BB34" s="25"/>
      <c r="BC34" s="48"/>
      <c r="BD34" s="25"/>
      <c r="BE34" s="25"/>
      <c r="BF34" s="25"/>
    </row>
    <row r="35" spans="2:58" ht="12.75">
      <c r="B35" s="9" t="s">
        <v>23</v>
      </c>
      <c r="C35" s="9"/>
      <c r="D35" s="9" t="s">
        <v>31</v>
      </c>
      <c r="E35" s="9" t="s">
        <v>15</v>
      </c>
      <c r="G35" s="16"/>
      <c r="H35" s="16"/>
      <c r="I35" s="16"/>
      <c r="J35" s="16"/>
      <c r="K35" s="16"/>
      <c r="L35" s="16"/>
      <c r="M35" s="16"/>
      <c r="O35" s="16"/>
      <c r="P35" s="16"/>
      <c r="Q35" s="16"/>
      <c r="R35" s="16"/>
      <c r="S35" s="16"/>
      <c r="T35" s="16"/>
      <c r="U35" s="16"/>
      <c r="AE35" s="16"/>
      <c r="AF35" s="16"/>
      <c r="AG35" s="16"/>
      <c r="AH35" s="16"/>
      <c r="AI35" s="16"/>
      <c r="AJ35" s="16"/>
      <c r="AK35" s="16"/>
      <c r="AL35" s="16"/>
      <c r="AM35" s="10">
        <f>((AM12*1000/60)/AM$28/0.0283)*14/(21-AM$29)</f>
        <v>29.945126306903052</v>
      </c>
      <c r="AN35" s="10"/>
      <c r="AO35" s="10">
        <f>((AO12*1000/60)/AO$28/0.0283)*14/(21-AO$29)</f>
        <v>23.603082851637765</v>
      </c>
      <c r="AP35" s="10"/>
      <c r="AQ35" s="10">
        <f>((AQ12*1000/60)/AQ$28/0.0283)*14/(21-AQ$29)</f>
        <v>36.73412581458559</v>
      </c>
      <c r="AR35" s="10"/>
      <c r="AS35" s="10">
        <f>((AS12*1000/60)/AS$28/0.0283)*14/(21-AS$29)</f>
        <v>34.246460584736546</v>
      </c>
      <c r="AT35" s="51">
        <f>(AL35*AM35+AN35*AO35+AP35*AQ35+AR35*AS35)/(AU35*4)</f>
        <v>0</v>
      </c>
      <c r="AU35" s="5">
        <f t="shared" si="0"/>
        <v>31.13219888946574</v>
      </c>
      <c r="AV35" s="25"/>
      <c r="AW35" s="47"/>
      <c r="AX35" s="25"/>
      <c r="AY35" s="47"/>
      <c r="AZ35" s="25"/>
      <c r="BA35" s="47"/>
      <c r="BB35" s="25"/>
      <c r="BC35" s="47"/>
      <c r="BD35" s="25"/>
      <c r="BE35" s="25"/>
      <c r="BF35" s="25"/>
    </row>
    <row r="36" spans="2:58" ht="12.75">
      <c r="B36" s="9" t="s">
        <v>111</v>
      </c>
      <c r="C36" s="9"/>
      <c r="D36" s="9" t="s">
        <v>28</v>
      </c>
      <c r="E36" s="9" t="s">
        <v>15</v>
      </c>
      <c r="G36" s="27"/>
      <c r="H36" s="27"/>
      <c r="I36" s="27"/>
      <c r="J36" s="27"/>
      <c r="K36" s="27"/>
      <c r="L36" s="27"/>
      <c r="M36" s="27"/>
      <c r="O36" s="27"/>
      <c r="P36" s="27"/>
      <c r="Q36" s="27"/>
      <c r="R36" s="27"/>
      <c r="S36" s="27"/>
      <c r="T36" s="27"/>
      <c r="U36" s="27"/>
      <c r="AE36" s="27"/>
      <c r="AF36" s="27"/>
      <c r="AG36" s="27"/>
      <c r="AH36" s="27"/>
      <c r="AI36" s="27"/>
      <c r="AJ36" s="27"/>
      <c r="AK36" s="27"/>
      <c r="AL36" s="27">
        <v>100</v>
      </c>
      <c r="AM36" s="10">
        <f>((AM13*1000000/60)/AM$28/0.0283)*14/(21-AM$29)</f>
        <v>215.92311189038253</v>
      </c>
      <c r="AN36" s="27">
        <v>100</v>
      </c>
      <c r="AO36" s="10">
        <f>((AO13*1000000/60)/AO$28/0.0283)*14/(21-AO$29)</f>
        <v>240.03135103360438</v>
      </c>
      <c r="AP36" s="27">
        <v>100</v>
      </c>
      <c r="AQ36" s="10">
        <f aca="true" t="shared" si="1" ref="AQ36:AQ49">((AQ13*1000000/60)/AQ$28/0.0283)*14/(21-AQ$29)</f>
        <v>229.23011428758554</v>
      </c>
      <c r="AR36" s="27">
        <v>100</v>
      </c>
      <c r="AS36" s="10">
        <f aca="true" t="shared" si="2" ref="AS36:AS49">((AS13*1000000/60)/AS$28/0.0283)*14/(21-AS$29)</f>
        <v>246.2930384518723</v>
      </c>
      <c r="AT36" s="51">
        <f aca="true" t="shared" si="3" ref="AT36:AT49">(AL36*AM36+AN36*AO36+AP36*AQ36+AR36*AS36)/(AU36*4)</f>
        <v>99.99999999999997</v>
      </c>
      <c r="AU36" s="5">
        <f>AVERAGE(AM36,AO36,AQ36,AS36)</f>
        <v>232.8694039158612</v>
      </c>
      <c r="AV36" s="25"/>
      <c r="AW36" s="47"/>
      <c r="AX36" s="25"/>
      <c r="AY36" s="47"/>
      <c r="AZ36" s="25"/>
      <c r="BA36" s="47"/>
      <c r="BB36" s="25"/>
      <c r="BC36" s="47"/>
      <c r="BD36" s="25"/>
      <c r="BE36" s="25"/>
      <c r="BF36" s="25"/>
    </row>
    <row r="37" spans="2:58" ht="12.75">
      <c r="B37" s="8" t="s">
        <v>68</v>
      </c>
      <c r="C37" s="9"/>
      <c r="D37" s="9" t="s">
        <v>28</v>
      </c>
      <c r="E37" s="9" t="s">
        <v>15</v>
      </c>
      <c r="G37" s="25"/>
      <c r="H37" s="25"/>
      <c r="I37" s="25"/>
      <c r="J37" s="25"/>
      <c r="K37" s="25"/>
      <c r="L37" s="25"/>
      <c r="M37" s="25"/>
      <c r="O37" s="25"/>
      <c r="P37" s="25"/>
      <c r="Q37" s="25"/>
      <c r="R37" s="25"/>
      <c r="S37" s="25"/>
      <c r="T37" s="25"/>
      <c r="U37" s="25"/>
      <c r="AE37" s="25"/>
      <c r="AF37" s="25"/>
      <c r="AG37" s="25"/>
      <c r="AH37" s="25"/>
      <c r="AI37" s="25"/>
      <c r="AJ37" s="25"/>
      <c r="AK37" s="25"/>
      <c r="AL37" s="27">
        <v>100</v>
      </c>
      <c r="AM37" s="10">
        <f aca="true" t="shared" si="4" ref="AM37:AO49">((AM14*1000000/60)/AM$28/0.0283)*14/(21-AM$29)</f>
        <v>250.01623482044283</v>
      </c>
      <c r="AN37" s="46"/>
      <c r="AO37" s="10">
        <f t="shared" si="4"/>
        <v>734.9531367362267</v>
      </c>
      <c r="AP37" s="47"/>
      <c r="AQ37" s="10">
        <f t="shared" si="1"/>
        <v>1169.0735828666866</v>
      </c>
      <c r="AR37" s="47"/>
      <c r="AS37" s="10">
        <f t="shared" si="2"/>
        <v>431.59922928709057</v>
      </c>
      <c r="AT37" s="51">
        <f t="shared" si="3"/>
        <v>9.669405782267393</v>
      </c>
      <c r="AU37" s="5">
        <f>AVERAGE(AM37,AO37,AQ37,AS37)</f>
        <v>646.4105459276117</v>
      </c>
      <c r="AV37" s="25"/>
      <c r="AW37" s="47"/>
      <c r="AX37" s="25"/>
      <c r="AY37" s="47"/>
      <c r="AZ37" s="25"/>
      <c r="BA37" s="47"/>
      <c r="BB37" s="25"/>
      <c r="BC37" s="47"/>
      <c r="BD37" s="25"/>
      <c r="BE37" s="25"/>
      <c r="BF37" s="25"/>
    </row>
    <row r="38" spans="2:58" ht="12.75">
      <c r="B38" s="8" t="s">
        <v>63</v>
      </c>
      <c r="C38" s="9"/>
      <c r="D38" s="9" t="s">
        <v>28</v>
      </c>
      <c r="E38" s="9" t="s">
        <v>15</v>
      </c>
      <c r="G38" s="25"/>
      <c r="H38" s="25"/>
      <c r="I38" s="25"/>
      <c r="J38" s="25"/>
      <c r="K38" s="25"/>
      <c r="L38" s="25"/>
      <c r="M38" s="25"/>
      <c r="O38" s="25"/>
      <c r="P38" s="25"/>
      <c r="Q38" s="25"/>
      <c r="R38" s="25"/>
      <c r="S38" s="25"/>
      <c r="T38" s="25"/>
      <c r="U38" s="25"/>
      <c r="AE38" s="25"/>
      <c r="AF38" s="25"/>
      <c r="AG38" s="25"/>
      <c r="AH38" s="25"/>
      <c r="AI38" s="25"/>
      <c r="AJ38" s="25"/>
      <c r="AK38" s="25"/>
      <c r="AL38" s="27">
        <v>100</v>
      </c>
      <c r="AM38" s="10">
        <f t="shared" si="4"/>
        <v>7.580037664783428</v>
      </c>
      <c r="AN38" s="27">
        <v>100</v>
      </c>
      <c r="AO38" s="10">
        <f t="shared" si="4"/>
        <v>7.692433297410273</v>
      </c>
      <c r="AP38" s="47"/>
      <c r="AQ38" s="10">
        <f t="shared" si="1"/>
        <v>7.679208828634118</v>
      </c>
      <c r="AR38" s="27">
        <v>100</v>
      </c>
      <c r="AS38" s="10">
        <f t="shared" si="2"/>
        <v>7.775823071123398</v>
      </c>
      <c r="AT38" s="51">
        <f t="shared" si="3"/>
        <v>75.00867915256786</v>
      </c>
      <c r="AU38" s="5">
        <f>AVERAGE(AM38,AO38,AQ38,AS38)</f>
        <v>7.681875715487804</v>
      </c>
      <c r="AV38" s="25"/>
      <c r="AW38" s="47"/>
      <c r="AX38" s="25"/>
      <c r="AY38" s="47"/>
      <c r="AZ38" s="25"/>
      <c r="BA38" s="47"/>
      <c r="BB38" s="25"/>
      <c r="BC38" s="47"/>
      <c r="BD38" s="25"/>
      <c r="BE38" s="25"/>
      <c r="BF38" s="25"/>
    </row>
    <row r="39" spans="2:58" ht="12.75">
      <c r="B39" s="8" t="s">
        <v>64</v>
      </c>
      <c r="C39" s="9"/>
      <c r="D39" s="9" t="s">
        <v>28</v>
      </c>
      <c r="E39" s="9" t="s">
        <v>15</v>
      </c>
      <c r="G39" s="25"/>
      <c r="H39" s="25"/>
      <c r="I39" s="25"/>
      <c r="J39" s="25"/>
      <c r="K39" s="25"/>
      <c r="L39" s="25"/>
      <c r="M39" s="25"/>
      <c r="O39" s="25"/>
      <c r="P39" s="25"/>
      <c r="Q39" s="25"/>
      <c r="R39" s="25"/>
      <c r="S39" s="25"/>
      <c r="T39" s="25"/>
      <c r="U39" s="25"/>
      <c r="AE39" s="25"/>
      <c r="AF39" s="25"/>
      <c r="AG39" s="25"/>
      <c r="AH39" s="25"/>
      <c r="AI39" s="25"/>
      <c r="AJ39" s="25"/>
      <c r="AK39" s="25"/>
      <c r="AL39" s="25"/>
      <c r="AM39" s="10">
        <f t="shared" si="4"/>
        <v>135.23605428923958</v>
      </c>
      <c r="AN39" s="46"/>
      <c r="AO39" s="10">
        <f t="shared" si="4"/>
        <v>93.84082818980438</v>
      </c>
      <c r="AP39" s="47"/>
      <c r="AQ39" s="10">
        <f t="shared" si="1"/>
        <v>85.732062743557</v>
      </c>
      <c r="AR39" s="47"/>
      <c r="AS39" s="10">
        <f t="shared" si="2"/>
        <v>75.52986512524085</v>
      </c>
      <c r="AT39" s="51">
        <f t="shared" si="3"/>
        <v>0</v>
      </c>
      <c r="AU39" s="5">
        <f t="shared" si="0"/>
        <v>97.58470258696045</v>
      </c>
      <c r="AV39" s="25"/>
      <c r="AW39" s="47"/>
      <c r="AX39" s="25"/>
      <c r="AY39" s="47"/>
      <c r="AZ39" s="25"/>
      <c r="BA39" s="47"/>
      <c r="BB39" s="25"/>
      <c r="BC39" s="47"/>
      <c r="BD39" s="25"/>
      <c r="BE39" s="25"/>
      <c r="BF39" s="25"/>
    </row>
    <row r="40" spans="2:58" ht="12.75">
      <c r="B40" s="8" t="s">
        <v>48</v>
      </c>
      <c r="C40" s="9"/>
      <c r="D40" s="9" t="s">
        <v>28</v>
      </c>
      <c r="E40" s="9" t="s">
        <v>15</v>
      </c>
      <c r="G40" s="25"/>
      <c r="H40" s="25"/>
      <c r="I40" s="25"/>
      <c r="J40" s="25"/>
      <c r="K40" s="25"/>
      <c r="L40" s="25"/>
      <c r="M40" s="25"/>
      <c r="O40" s="25"/>
      <c r="P40" s="25"/>
      <c r="Q40" s="25"/>
      <c r="R40" s="25"/>
      <c r="S40" s="25"/>
      <c r="T40" s="25"/>
      <c r="U40" s="25"/>
      <c r="AE40" s="25"/>
      <c r="AF40" s="25"/>
      <c r="AG40" s="25"/>
      <c r="AH40" s="25"/>
      <c r="AI40" s="25"/>
      <c r="AJ40" s="25"/>
      <c r="AK40" s="25"/>
      <c r="AL40" s="27">
        <v>100</v>
      </c>
      <c r="AM40" s="10">
        <f t="shared" si="4"/>
        <v>3.8297941424767843</v>
      </c>
      <c r="AN40" s="46"/>
      <c r="AO40" s="10">
        <f t="shared" si="4"/>
        <v>8.103915613467882</v>
      </c>
      <c r="AP40" s="47"/>
      <c r="AQ40" s="10">
        <f t="shared" si="1"/>
        <v>10.01735599436749</v>
      </c>
      <c r="AR40" s="27">
        <v>100</v>
      </c>
      <c r="AS40" s="10">
        <f t="shared" si="2"/>
        <v>4.057971014492754</v>
      </c>
      <c r="AT40" s="51">
        <f t="shared" si="3"/>
        <v>30.327017598910697</v>
      </c>
      <c r="AU40" s="5">
        <f>AVERAGE(AM40,AO40,AQ40,AS40)</f>
        <v>6.502259191201227</v>
      </c>
      <c r="AV40" s="25"/>
      <c r="AW40" s="47"/>
      <c r="AX40" s="25"/>
      <c r="AY40" s="47"/>
      <c r="AZ40" s="25"/>
      <c r="BA40" s="47"/>
      <c r="BB40" s="25"/>
      <c r="BC40" s="47"/>
      <c r="BD40" s="25"/>
      <c r="BE40" s="25"/>
      <c r="BF40" s="25"/>
    </row>
    <row r="41" spans="2:58" ht="12.75">
      <c r="B41" s="8" t="s">
        <v>65</v>
      </c>
      <c r="C41" s="9"/>
      <c r="D41" s="9" t="s">
        <v>28</v>
      </c>
      <c r="E41" s="9" t="s">
        <v>15</v>
      </c>
      <c r="G41" s="16"/>
      <c r="H41" s="16"/>
      <c r="I41" s="16"/>
      <c r="J41" s="16"/>
      <c r="K41" s="16"/>
      <c r="L41" s="16"/>
      <c r="M41" s="16"/>
      <c r="O41" s="16"/>
      <c r="P41" s="16"/>
      <c r="Q41" s="16"/>
      <c r="R41" s="16"/>
      <c r="S41" s="16"/>
      <c r="T41" s="16"/>
      <c r="U41" s="16"/>
      <c r="AE41" s="16"/>
      <c r="AF41" s="16"/>
      <c r="AG41" s="16"/>
      <c r="AH41" s="16"/>
      <c r="AI41" s="16"/>
      <c r="AJ41" s="16"/>
      <c r="AK41" s="16"/>
      <c r="AL41" s="27">
        <v>100</v>
      </c>
      <c r="AM41" s="10">
        <f t="shared" si="4"/>
        <v>19.774011299435028</v>
      </c>
      <c r="AN41" s="46"/>
      <c r="AO41" s="10">
        <f t="shared" si="4"/>
        <v>44.12004833284347</v>
      </c>
      <c r="AP41" s="47"/>
      <c r="AQ41" s="10">
        <f t="shared" si="1"/>
        <v>68.65441922913189</v>
      </c>
      <c r="AR41" s="47"/>
      <c r="AS41" s="10">
        <f t="shared" si="2"/>
        <v>25.098433442238417</v>
      </c>
      <c r="AT41" s="51">
        <f t="shared" si="3"/>
        <v>12.543227780667005</v>
      </c>
      <c r="AU41" s="5">
        <f>AVERAGE(AM41,AO41,AQ41,AS41)</f>
        <v>39.4117280759122</v>
      </c>
      <c r="AV41" s="25"/>
      <c r="AW41" s="47"/>
      <c r="AX41" s="25"/>
      <c r="AY41" s="47"/>
      <c r="AZ41" s="25"/>
      <c r="BA41" s="47"/>
      <c r="BB41" s="25"/>
      <c r="BC41" s="47"/>
      <c r="BD41" s="25"/>
      <c r="BE41" s="25"/>
      <c r="BF41" s="25"/>
    </row>
    <row r="42" spans="2:58" ht="12.75">
      <c r="B42" s="8" t="s">
        <v>54</v>
      </c>
      <c r="C42" s="9"/>
      <c r="D42" s="9" t="s">
        <v>28</v>
      </c>
      <c r="E42" s="9" t="s">
        <v>15</v>
      </c>
      <c r="G42" s="25"/>
      <c r="H42" s="25"/>
      <c r="I42" s="25"/>
      <c r="J42" s="25"/>
      <c r="K42" s="25"/>
      <c r="L42" s="25"/>
      <c r="M42" s="25"/>
      <c r="O42" s="25"/>
      <c r="P42" s="25"/>
      <c r="Q42" s="25"/>
      <c r="R42" s="25"/>
      <c r="S42" s="25"/>
      <c r="T42" s="25"/>
      <c r="U42" s="25"/>
      <c r="AE42" s="25"/>
      <c r="AF42" s="25"/>
      <c r="AG42" s="25"/>
      <c r="AH42" s="25"/>
      <c r="AI42" s="25"/>
      <c r="AJ42" s="25"/>
      <c r="AK42" s="25"/>
      <c r="AL42" s="25"/>
      <c r="AM42" s="10">
        <f t="shared" si="4"/>
        <v>94.43795051626728</v>
      </c>
      <c r="AN42" s="46"/>
      <c r="AO42" s="10">
        <f t="shared" si="4"/>
        <v>229.74429313216413</v>
      </c>
      <c r="AP42" s="47"/>
      <c r="AQ42" s="10">
        <f t="shared" si="1"/>
        <v>361.03743000294725</v>
      </c>
      <c r="AR42" s="47"/>
      <c r="AS42" s="10">
        <f t="shared" si="2"/>
        <v>147.7758230711234</v>
      </c>
      <c r="AT42" s="51">
        <f t="shared" si="3"/>
        <v>0</v>
      </c>
      <c r="AU42" s="5">
        <f t="shared" si="0"/>
        <v>208.24887418062548</v>
      </c>
      <c r="AV42" s="25"/>
      <c r="AW42" s="47"/>
      <c r="AX42" s="25"/>
      <c r="AY42" s="47"/>
      <c r="AZ42" s="25"/>
      <c r="BA42" s="47"/>
      <c r="BB42" s="25"/>
      <c r="BC42" s="47"/>
      <c r="BD42" s="25"/>
      <c r="BE42" s="25"/>
      <c r="BF42" s="25"/>
    </row>
    <row r="43" spans="2:58" ht="12.75">
      <c r="B43" s="8" t="s">
        <v>66</v>
      </c>
      <c r="C43" s="9"/>
      <c r="D43" s="9" t="s">
        <v>28</v>
      </c>
      <c r="E43" s="9" t="s">
        <v>15</v>
      </c>
      <c r="G43" s="25"/>
      <c r="H43" s="25"/>
      <c r="I43" s="25"/>
      <c r="J43" s="25"/>
      <c r="K43" s="25"/>
      <c r="L43" s="25"/>
      <c r="M43" s="25"/>
      <c r="O43" s="25"/>
      <c r="P43" s="25"/>
      <c r="Q43" s="25"/>
      <c r="R43" s="25"/>
      <c r="S43" s="25"/>
      <c r="T43" s="25"/>
      <c r="U43" s="25"/>
      <c r="AE43" s="25"/>
      <c r="AF43" s="25"/>
      <c r="AG43" s="25"/>
      <c r="AH43" s="25"/>
      <c r="AI43" s="25"/>
      <c r="AJ43" s="25"/>
      <c r="AK43" s="25"/>
      <c r="AL43" s="25"/>
      <c r="AM43" s="10">
        <f t="shared" si="4"/>
        <v>9841.548152477435</v>
      </c>
      <c r="AN43" s="46"/>
      <c r="AO43" s="10">
        <f t="shared" si="4"/>
        <v>5600.731524117436</v>
      </c>
      <c r="AP43" s="47"/>
      <c r="AQ43" s="10">
        <f t="shared" si="1"/>
        <v>4343.910665749746</v>
      </c>
      <c r="AR43" s="47"/>
      <c r="AS43" s="10">
        <f t="shared" si="2"/>
        <v>4820.3066097009305</v>
      </c>
      <c r="AT43" s="51">
        <f t="shared" si="3"/>
        <v>0</v>
      </c>
      <c r="AU43" s="5">
        <f t="shared" si="0"/>
        <v>6151.624238011387</v>
      </c>
      <c r="AV43" s="25"/>
      <c r="AW43" s="47"/>
      <c r="AX43" s="25"/>
      <c r="AY43" s="47"/>
      <c r="AZ43" s="25"/>
      <c r="BA43" s="47"/>
      <c r="BB43" s="25"/>
      <c r="BC43" s="47"/>
      <c r="BD43" s="25"/>
      <c r="BE43" s="28"/>
      <c r="BF43" s="25"/>
    </row>
    <row r="44" spans="2:58" ht="12.75">
      <c r="B44" s="8" t="s">
        <v>47</v>
      </c>
      <c r="C44" s="9"/>
      <c r="D44" s="9" t="s">
        <v>28</v>
      </c>
      <c r="E44" s="9" t="s">
        <v>15</v>
      </c>
      <c r="G44" s="25"/>
      <c r="H44" s="25"/>
      <c r="I44" s="25"/>
      <c r="J44" s="25"/>
      <c r="K44" s="25"/>
      <c r="L44" s="25"/>
      <c r="M44" s="25"/>
      <c r="O44" s="25"/>
      <c r="P44" s="25"/>
      <c r="Q44" s="25"/>
      <c r="R44" s="25"/>
      <c r="S44" s="25"/>
      <c r="T44" s="25"/>
      <c r="U44" s="25"/>
      <c r="AE44" s="25"/>
      <c r="AF44" s="25"/>
      <c r="AG44" s="25"/>
      <c r="AH44" s="25"/>
      <c r="AI44" s="25"/>
      <c r="AJ44" s="25"/>
      <c r="AK44" s="25"/>
      <c r="AL44" s="25"/>
      <c r="AM44" s="10">
        <f t="shared" si="4"/>
        <v>9.068770699396065</v>
      </c>
      <c r="AN44" s="46"/>
      <c r="AO44" s="10">
        <f t="shared" si="4"/>
        <v>7.532412396721203</v>
      </c>
      <c r="AP44" s="47"/>
      <c r="AQ44" s="10">
        <f t="shared" si="1"/>
        <v>9.776664374365524</v>
      </c>
      <c r="AR44" s="47"/>
      <c r="AS44" s="10">
        <f t="shared" si="2"/>
        <v>6.661640278126831</v>
      </c>
      <c r="AT44" s="51">
        <f t="shared" si="3"/>
        <v>0</v>
      </c>
      <c r="AU44" s="5">
        <f t="shared" si="0"/>
        <v>8.259871937152406</v>
      </c>
      <c r="AV44" s="25"/>
      <c r="AW44" s="47"/>
      <c r="AX44" s="25"/>
      <c r="AY44" s="47"/>
      <c r="AZ44" s="25"/>
      <c r="BA44" s="47"/>
      <c r="BB44" s="25"/>
      <c r="BC44" s="47"/>
      <c r="BD44" s="25"/>
      <c r="BE44" s="28"/>
      <c r="BF44" s="25"/>
    </row>
    <row r="45" spans="2:58" ht="12.75">
      <c r="B45" s="8" t="s">
        <v>49</v>
      </c>
      <c r="C45" s="9"/>
      <c r="D45" s="9" t="s">
        <v>28</v>
      </c>
      <c r="E45" s="9" t="s">
        <v>15</v>
      </c>
      <c r="G45" s="25"/>
      <c r="H45" s="25"/>
      <c r="I45" s="25"/>
      <c r="J45" s="25"/>
      <c r="K45" s="25"/>
      <c r="L45" s="25"/>
      <c r="M45" s="25"/>
      <c r="O45" s="25"/>
      <c r="P45" s="25"/>
      <c r="Q45" s="25"/>
      <c r="R45" s="25"/>
      <c r="S45" s="25"/>
      <c r="T45" s="25"/>
      <c r="U45" s="25"/>
      <c r="AE45" s="25"/>
      <c r="AF45" s="25"/>
      <c r="AG45" s="25"/>
      <c r="AH45" s="25"/>
      <c r="AI45" s="25"/>
      <c r="AJ45" s="25"/>
      <c r="AK45" s="25"/>
      <c r="AL45" s="27">
        <v>100</v>
      </c>
      <c r="AM45" s="10">
        <f t="shared" si="4"/>
        <v>13.409961685823756</v>
      </c>
      <c r="AN45" s="27">
        <v>100</v>
      </c>
      <c r="AO45" s="10">
        <f t="shared" si="4"/>
        <v>24.460337676757778</v>
      </c>
      <c r="AP45" s="27">
        <v>100</v>
      </c>
      <c r="AQ45" s="10">
        <f t="shared" si="1"/>
        <v>13.524576742967549</v>
      </c>
      <c r="AR45" s="27">
        <v>100</v>
      </c>
      <c r="AS45" s="10">
        <f t="shared" si="2"/>
        <v>13.722040713747171</v>
      </c>
      <c r="AT45" s="51">
        <f t="shared" si="3"/>
        <v>100.00000000000001</v>
      </c>
      <c r="AU45" s="5">
        <f>AVERAGE(AM45,AO45,AQ45,AS45)</f>
        <v>16.279229204824063</v>
      </c>
      <c r="AV45" s="25"/>
      <c r="AW45" s="47"/>
      <c r="AX45" s="25"/>
      <c r="AY45" s="47"/>
      <c r="AZ45" s="25"/>
      <c r="BA45" s="47"/>
      <c r="BB45" s="25"/>
      <c r="BC45" s="47"/>
      <c r="BD45" s="25"/>
      <c r="BE45" s="28"/>
      <c r="BF45" s="25"/>
    </row>
    <row r="46" spans="2:58" ht="12.75">
      <c r="B46" s="8" t="s">
        <v>67</v>
      </c>
      <c r="C46" s="9"/>
      <c r="D46" s="9" t="s">
        <v>28</v>
      </c>
      <c r="E46" s="9" t="s">
        <v>15</v>
      </c>
      <c r="G46" s="25"/>
      <c r="H46" s="25"/>
      <c r="I46" s="25"/>
      <c r="J46" s="25"/>
      <c r="K46" s="25"/>
      <c r="L46" s="25"/>
      <c r="M46" s="25"/>
      <c r="O46" s="25"/>
      <c r="P46" s="25"/>
      <c r="Q46" s="25"/>
      <c r="R46" s="25"/>
      <c r="S46" s="25"/>
      <c r="T46" s="25"/>
      <c r="U46" s="25"/>
      <c r="AE46" s="25"/>
      <c r="AF46" s="25"/>
      <c r="AG46" s="25"/>
      <c r="AH46" s="25"/>
      <c r="AI46" s="25"/>
      <c r="AJ46" s="25"/>
      <c r="AK46" s="25"/>
      <c r="AL46" s="27">
        <v>100</v>
      </c>
      <c r="AM46" s="10">
        <f t="shared" si="4"/>
        <v>78.1868952529385</v>
      </c>
      <c r="AN46" s="46"/>
      <c r="AO46" s="10">
        <f t="shared" si="4"/>
        <v>168.02194572352306</v>
      </c>
      <c r="AP46" s="47"/>
      <c r="AQ46" s="10">
        <f t="shared" si="1"/>
        <v>280.8068900022923</v>
      </c>
      <c r="AR46" s="47"/>
      <c r="AS46" s="10">
        <f t="shared" si="2"/>
        <v>99.10362737706292</v>
      </c>
      <c r="AT46" s="51">
        <f t="shared" si="3"/>
        <v>12.487538391762318</v>
      </c>
      <c r="AU46" s="5">
        <f>AVERAGE(AM46,AO46,AQ46,AS46)</f>
        <v>156.5298395889542</v>
      </c>
      <c r="AV46" s="25"/>
      <c r="AW46" s="47"/>
      <c r="AX46" s="25"/>
      <c r="AY46" s="47"/>
      <c r="AZ46" s="25"/>
      <c r="BA46" s="47"/>
      <c r="BB46" s="25"/>
      <c r="BC46" s="47"/>
      <c r="BD46" s="25"/>
      <c r="BE46" s="28"/>
      <c r="BF46" s="25"/>
    </row>
    <row r="47" spans="2:58" ht="12.75">
      <c r="B47" s="8" t="s">
        <v>69</v>
      </c>
      <c r="C47" s="24"/>
      <c r="D47" s="9" t="s">
        <v>28</v>
      </c>
      <c r="E47" s="9" t="s">
        <v>15</v>
      </c>
      <c r="G47" s="25"/>
      <c r="H47" s="25"/>
      <c r="I47" s="25"/>
      <c r="J47" s="25"/>
      <c r="K47" s="25"/>
      <c r="L47" s="25"/>
      <c r="M47" s="25"/>
      <c r="O47" s="25"/>
      <c r="P47" s="25"/>
      <c r="Q47" s="25"/>
      <c r="R47" s="25"/>
      <c r="S47" s="25"/>
      <c r="T47" s="25"/>
      <c r="U47" s="25"/>
      <c r="AE47" s="25"/>
      <c r="AF47" s="25"/>
      <c r="AG47" s="25"/>
      <c r="AH47" s="25"/>
      <c r="AI47" s="25"/>
      <c r="AJ47" s="25"/>
      <c r="AK47" s="25"/>
      <c r="AL47" s="25"/>
      <c r="AM47" s="10">
        <f t="shared" si="4"/>
        <v>539.8077797259563</v>
      </c>
      <c r="AN47" s="46"/>
      <c r="AO47" s="10">
        <f t="shared" si="4"/>
        <v>1089.2851311191664</v>
      </c>
      <c r="AP47" s="47"/>
      <c r="AQ47" s="10">
        <f t="shared" si="1"/>
        <v>1604.610800013099</v>
      </c>
      <c r="AR47" s="47"/>
      <c r="AS47" s="10">
        <f t="shared" si="2"/>
        <v>666.1640278126832</v>
      </c>
      <c r="AT47" s="51">
        <f t="shared" si="3"/>
        <v>0</v>
      </c>
      <c r="AU47" s="5">
        <f t="shared" si="0"/>
        <v>974.9669346677263</v>
      </c>
      <c r="AV47" s="25"/>
      <c r="AW47" s="47"/>
      <c r="AX47" s="25"/>
      <c r="AY47" s="47"/>
      <c r="AZ47" s="25"/>
      <c r="BA47" s="47"/>
      <c r="BB47" s="25"/>
      <c r="BC47" s="47"/>
      <c r="BD47" s="25"/>
      <c r="BE47" s="28"/>
      <c r="BF47" s="25"/>
    </row>
    <row r="48" spans="2:58" ht="12.75">
      <c r="B48" s="8" t="s">
        <v>62</v>
      </c>
      <c r="C48" s="9"/>
      <c r="D48" s="9" t="s">
        <v>28</v>
      </c>
      <c r="E48" s="9" t="s">
        <v>15</v>
      </c>
      <c r="G48" s="25"/>
      <c r="H48" s="25"/>
      <c r="I48" s="25"/>
      <c r="J48" s="25"/>
      <c r="K48" s="25"/>
      <c r="L48" s="25"/>
      <c r="M48" s="25"/>
      <c r="O48" s="25"/>
      <c r="P48" s="25"/>
      <c r="Q48" s="25"/>
      <c r="R48" s="25"/>
      <c r="S48" s="25"/>
      <c r="T48" s="25"/>
      <c r="U48" s="25"/>
      <c r="AE48" s="25"/>
      <c r="AF48" s="25"/>
      <c r="AG48" s="25"/>
      <c r="AH48" s="25"/>
      <c r="AI48" s="25"/>
      <c r="AJ48" s="25"/>
      <c r="AK48" s="25"/>
      <c r="AL48" s="27">
        <v>100</v>
      </c>
      <c r="AM48" s="10">
        <f t="shared" si="4"/>
        <v>63.299564906812144</v>
      </c>
      <c r="AN48" s="46"/>
      <c r="AO48" s="10">
        <f t="shared" si="4"/>
        <v>182.88102935893667</v>
      </c>
      <c r="AP48" s="47"/>
      <c r="AQ48" s="10">
        <f t="shared" si="1"/>
        <v>311.7529554311164</v>
      </c>
      <c r="AR48" s="47"/>
      <c r="AS48" s="10">
        <f t="shared" si="2"/>
        <v>113.29479768786126</v>
      </c>
      <c r="AT48" s="51">
        <f t="shared" si="3"/>
        <v>9.430406977512657</v>
      </c>
      <c r="AU48" s="5">
        <f>AVERAGE(AM48,AO48,AQ48,AS48)</f>
        <v>167.80708684618162</v>
      </c>
      <c r="AV48" s="25"/>
      <c r="AW48" s="47"/>
      <c r="AX48" s="25"/>
      <c r="AY48" s="47"/>
      <c r="AZ48" s="25"/>
      <c r="BA48" s="47"/>
      <c r="BB48" s="25"/>
      <c r="BC48" s="47"/>
      <c r="BD48" s="25"/>
      <c r="BE48" s="28"/>
      <c r="BF48" s="25"/>
    </row>
    <row r="49" spans="2:58" ht="12.75">
      <c r="B49" s="8" t="s">
        <v>70</v>
      </c>
      <c r="C49" s="9"/>
      <c r="D49" s="9" t="s">
        <v>28</v>
      </c>
      <c r="E49" s="9" t="s">
        <v>15</v>
      </c>
      <c r="G49" s="16"/>
      <c r="H49" s="16"/>
      <c r="I49" s="16"/>
      <c r="J49" s="16"/>
      <c r="K49" s="16"/>
      <c r="L49" s="16"/>
      <c r="M49" s="16"/>
      <c r="O49" s="16"/>
      <c r="P49" s="16"/>
      <c r="Q49" s="16"/>
      <c r="R49" s="16"/>
      <c r="S49" s="16"/>
      <c r="T49" s="16"/>
      <c r="U49" s="16"/>
      <c r="AE49" s="16"/>
      <c r="AF49" s="16"/>
      <c r="AG49" s="16"/>
      <c r="AH49" s="16"/>
      <c r="AI49" s="16"/>
      <c r="AJ49" s="16"/>
      <c r="AK49" s="16"/>
      <c r="AL49" s="27">
        <v>100</v>
      </c>
      <c r="AM49" s="10">
        <f t="shared" si="4"/>
        <v>392.0709136956945</v>
      </c>
      <c r="AN49" s="46"/>
      <c r="AO49" s="10">
        <f t="shared" si="4"/>
        <v>563.5021717122236</v>
      </c>
      <c r="AP49" s="47"/>
      <c r="AQ49" s="10">
        <f t="shared" si="1"/>
        <v>907.7512525788388</v>
      </c>
      <c r="AR49" s="47"/>
      <c r="AS49" s="10">
        <f t="shared" si="2"/>
        <v>324.87224595794584</v>
      </c>
      <c r="AT49" s="51">
        <f t="shared" si="3"/>
        <v>17.917536137859287</v>
      </c>
      <c r="AU49" s="5">
        <f>AVERAGE(AM49,AO49,AQ49,AS49)</f>
        <v>547.0491459861757</v>
      </c>
      <c r="AV49" s="25"/>
      <c r="AW49" s="47"/>
      <c r="AX49" s="25"/>
      <c r="AY49" s="47"/>
      <c r="AZ49" s="25"/>
      <c r="BA49" s="47"/>
      <c r="BB49" s="25"/>
      <c r="BC49" s="47"/>
      <c r="BD49" s="25"/>
      <c r="BE49" s="28"/>
      <c r="BF49" s="25"/>
    </row>
    <row r="50" spans="2:58" ht="12.75">
      <c r="B50" s="9"/>
      <c r="C50" s="9"/>
      <c r="D50" s="9"/>
      <c r="E50" s="9"/>
      <c r="G50" s="25"/>
      <c r="H50" s="25"/>
      <c r="I50" s="25"/>
      <c r="J50" s="25"/>
      <c r="K50" s="25"/>
      <c r="L50" s="25"/>
      <c r="M50" s="25"/>
      <c r="O50" s="25"/>
      <c r="P50" s="25"/>
      <c r="Q50" s="25"/>
      <c r="R50" s="25"/>
      <c r="S50" s="25"/>
      <c r="T50" s="25"/>
      <c r="U50" s="25"/>
      <c r="AE50" s="25"/>
      <c r="AF50" s="25"/>
      <c r="AG50" s="25"/>
      <c r="AH50" s="25"/>
      <c r="AI50" s="25"/>
      <c r="AJ50" s="25"/>
      <c r="AK50" s="25"/>
      <c r="AL50" s="25"/>
      <c r="AM50" s="10"/>
      <c r="AN50" s="10"/>
      <c r="AO50" s="25"/>
      <c r="AP50" s="25"/>
      <c r="AQ50" s="25"/>
      <c r="AR50" s="25"/>
      <c r="AS50" s="25"/>
      <c r="AT50" s="25"/>
      <c r="AU50" s="5"/>
      <c r="AV50" s="25"/>
      <c r="AW50" s="25"/>
      <c r="AX50" s="25"/>
      <c r="AY50" s="28"/>
      <c r="AZ50" s="25"/>
      <c r="BA50" s="28"/>
      <c r="BB50" s="25"/>
      <c r="BC50" s="28"/>
      <c r="BD50" s="25"/>
      <c r="BE50" s="28"/>
      <c r="BF50" s="25"/>
    </row>
    <row r="51" spans="2:58" ht="12.75">
      <c r="B51" s="9" t="s">
        <v>29</v>
      </c>
      <c r="C51" s="9"/>
      <c r="D51" s="9" t="s">
        <v>28</v>
      </c>
      <c r="E51" s="9" t="s">
        <v>15</v>
      </c>
      <c r="G51" s="25"/>
      <c r="H51" s="25"/>
      <c r="I51" s="25"/>
      <c r="J51" s="25"/>
      <c r="K51" s="25"/>
      <c r="L51" s="25"/>
      <c r="M51" s="25"/>
      <c r="O51" s="25"/>
      <c r="P51" s="25"/>
      <c r="Q51" s="25"/>
      <c r="R51" s="25"/>
      <c r="S51" s="25"/>
      <c r="T51" s="25"/>
      <c r="U51" s="25"/>
      <c r="AE51" s="25"/>
      <c r="AF51" s="25"/>
      <c r="AG51" s="25"/>
      <c r="AH51" s="25"/>
      <c r="AI51" s="25"/>
      <c r="AJ51" s="25"/>
      <c r="AK51" s="25"/>
      <c r="AL51" s="25">
        <f>(AL41*AM41+AL44*AM44)/AM51</f>
        <v>68.5579196217494</v>
      </c>
      <c r="AM51" s="5">
        <f>AM41+AM44</f>
        <v>28.842781998831093</v>
      </c>
      <c r="AN51" s="25">
        <f>(AN41*AO41+AN44*AO44)/AO51</f>
        <v>0</v>
      </c>
      <c r="AO51" s="5">
        <f>AO41+AO44</f>
        <v>51.65246072956467</v>
      </c>
      <c r="AP51" s="25">
        <f>(AP41*AQ41+AP44*AQ44)/AQ51</f>
        <v>0</v>
      </c>
      <c r="AQ51" s="5">
        <f>AQ41+AQ44</f>
        <v>78.43108360349741</v>
      </c>
      <c r="AR51" s="25">
        <f>(AR41*AS41+AR44*AS44)/AS51</f>
        <v>0</v>
      </c>
      <c r="AS51" s="5">
        <f>AS41+AS44</f>
        <v>31.76007372036525</v>
      </c>
      <c r="AT51" s="25">
        <f>(AT41*AU41+AT44*AU44)/AU51</f>
        <v>10.36991169481194</v>
      </c>
      <c r="AU51" s="5">
        <f t="shared" si="0"/>
        <v>47.671600013064605</v>
      </c>
      <c r="AV51" s="25"/>
      <c r="AW51" s="47"/>
      <c r="AX51" s="25"/>
      <c r="AY51" s="47"/>
      <c r="AZ51" s="25"/>
      <c r="BA51" s="47"/>
      <c r="BB51" s="25"/>
      <c r="BC51" s="47"/>
      <c r="BD51" s="25"/>
      <c r="BE51" s="28"/>
      <c r="BF51" s="25"/>
    </row>
    <row r="52" spans="2:58" ht="12.75">
      <c r="B52" s="9" t="s">
        <v>30</v>
      </c>
      <c r="C52" s="9"/>
      <c r="D52" s="9" t="s">
        <v>28</v>
      </c>
      <c r="E52" s="9" t="s">
        <v>15</v>
      </c>
      <c r="G52" s="25"/>
      <c r="H52" s="25"/>
      <c r="I52" s="25"/>
      <c r="J52" s="25"/>
      <c r="K52" s="25"/>
      <c r="L52" s="25"/>
      <c r="M52" s="25"/>
      <c r="O52" s="25"/>
      <c r="P52" s="25"/>
      <c r="Q52" s="25"/>
      <c r="R52" s="25"/>
      <c r="S52" s="25"/>
      <c r="T52" s="25"/>
      <c r="U52" s="25"/>
      <c r="AE52" s="25"/>
      <c r="AF52" s="25"/>
      <c r="AG52" s="25"/>
      <c r="AH52" s="25"/>
      <c r="AI52" s="25"/>
      <c r="AJ52" s="25"/>
      <c r="AK52" s="25"/>
      <c r="AL52" s="25">
        <f>(AL38*AM38+AL40*AM40+AL42*AM42)/AM52</f>
        <v>10.779471762937515</v>
      </c>
      <c r="AM52" s="5">
        <f>AM38+AM40+AM42</f>
        <v>105.8477823235275</v>
      </c>
      <c r="AN52" s="25">
        <f>(AN38*AO38+AN40*AO40+AN42*AO42)/AO52</f>
        <v>3.132855413834839</v>
      </c>
      <c r="AO52" s="5">
        <f>AO38+AO40+AO42</f>
        <v>245.54064204304228</v>
      </c>
      <c r="AP52" s="25">
        <f>(AP38*AQ38+AP40*AQ40+AP42*AQ42)/AQ52</f>
        <v>0</v>
      </c>
      <c r="AQ52" s="5">
        <f>AQ38+AQ40+AQ42</f>
        <v>378.73399482594886</v>
      </c>
      <c r="AR52" s="25">
        <f>(AR38*AS38+AR40*AS40+AR42*AS42)/AS52</f>
        <v>7.414211183775442</v>
      </c>
      <c r="AS52" s="5">
        <f>AS38+AS40+AS42</f>
        <v>159.60961715673955</v>
      </c>
      <c r="AT52" s="25">
        <f>(AT38*AU38+AT40*AU40+AT42*AU42)/AU52</f>
        <v>3.4770085740897043</v>
      </c>
      <c r="AU52" s="5">
        <f t="shared" si="0"/>
        <v>222.43300908731456</v>
      </c>
      <c r="AV52" s="25"/>
      <c r="AW52" s="47"/>
      <c r="AX52" s="25"/>
      <c r="AY52" s="47"/>
      <c r="AZ52" s="25"/>
      <c r="BA52" s="47"/>
      <c r="BB52" s="25"/>
      <c r="BC52" s="47"/>
      <c r="BD52" s="25"/>
      <c r="BE52" s="28"/>
      <c r="BF52" s="25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spans="2:57" ht="12.75">
      <c r="B114" s="9"/>
      <c r="C114" s="9"/>
      <c r="D114" s="9"/>
      <c r="E114" s="9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8"/>
      <c r="AN114" s="46"/>
      <c r="AO114" s="28"/>
      <c r="AP114" s="47"/>
      <c r="AQ114" s="28"/>
      <c r="AR114" s="28"/>
      <c r="AS114" s="28"/>
      <c r="AT114" s="28"/>
      <c r="AU114" s="29"/>
      <c r="AW114" s="25"/>
      <c r="AY114" s="28"/>
      <c r="BA114" s="28"/>
      <c r="BC114" s="28"/>
      <c r="BE114" s="28"/>
    </row>
    <row r="115" spans="2:57" ht="12.75">
      <c r="B115" s="9"/>
      <c r="C115" s="9"/>
      <c r="D115" s="9"/>
      <c r="E115" s="9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28"/>
      <c r="AN115" s="46"/>
      <c r="AO115" s="28"/>
      <c r="AP115" s="23"/>
      <c r="AQ115" s="28"/>
      <c r="AR115" s="28"/>
      <c r="AS115" s="28"/>
      <c r="AT115" s="28"/>
      <c r="AU115" s="28"/>
      <c r="AW115" s="25"/>
      <c r="AY115" s="28"/>
      <c r="BA115" s="28"/>
      <c r="BC115" s="28"/>
      <c r="BE115" s="28"/>
    </row>
    <row r="116" spans="2:57" ht="12.75">
      <c r="B116" s="9"/>
      <c r="C116" s="9"/>
      <c r="D116" s="9"/>
      <c r="E116" s="9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28"/>
      <c r="AN116" s="46"/>
      <c r="AO116" s="28"/>
      <c r="AP116" s="23"/>
      <c r="AQ116" s="28"/>
      <c r="AR116" s="28"/>
      <c r="AS116" s="28"/>
      <c r="AT116" s="28"/>
      <c r="AU116" s="28"/>
      <c r="AW116" s="25"/>
      <c r="AY116" s="28"/>
      <c r="BA116" s="28"/>
      <c r="BC116" s="28"/>
      <c r="BE116" s="28"/>
    </row>
    <row r="117" spans="2:57" ht="12.75">
      <c r="B117" s="9"/>
      <c r="C117" s="9"/>
      <c r="D117" s="9"/>
      <c r="E117" s="9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28"/>
      <c r="AN117" s="46"/>
      <c r="AO117" s="28"/>
      <c r="AP117" s="23"/>
      <c r="AQ117" s="28"/>
      <c r="AR117" s="28"/>
      <c r="AS117" s="28"/>
      <c r="AT117" s="28"/>
      <c r="AU117" s="28"/>
      <c r="AW117" s="25"/>
      <c r="AY117" s="28"/>
      <c r="BA117" s="28"/>
      <c r="BC117" s="28"/>
      <c r="BE117" s="28"/>
    </row>
    <row r="118" spans="2:57" ht="12.75">
      <c r="B118" s="9"/>
      <c r="C118" s="9"/>
      <c r="D118" s="9"/>
      <c r="E118" s="9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8"/>
      <c r="AN118" s="46"/>
      <c r="AO118" s="28"/>
      <c r="AP118" s="23"/>
      <c r="AQ118" s="28"/>
      <c r="AR118" s="28"/>
      <c r="AS118" s="28"/>
      <c r="AT118" s="28"/>
      <c r="AU118" s="28"/>
      <c r="AW118" s="25"/>
      <c r="AY118" s="28"/>
      <c r="BA118" s="28"/>
      <c r="BC118" s="28"/>
      <c r="BE118" s="28"/>
    </row>
    <row r="119" spans="2:57" ht="12.75">
      <c r="B119" s="9"/>
      <c r="C119" s="9"/>
      <c r="D119" s="9"/>
      <c r="E119" s="9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8"/>
      <c r="AN119" s="46"/>
      <c r="AO119" s="28"/>
      <c r="AP119" s="46"/>
      <c r="AQ119" s="28"/>
      <c r="AR119" s="28"/>
      <c r="AS119" s="28"/>
      <c r="AT119" s="28"/>
      <c r="AU119" s="28"/>
      <c r="AW119" s="25"/>
      <c r="AY119" s="28"/>
      <c r="BA119" s="28"/>
      <c r="BC119" s="28"/>
      <c r="BE119" s="28"/>
    </row>
    <row r="120" spans="2:57" ht="12.75">
      <c r="B120" s="9"/>
      <c r="C120" s="9"/>
      <c r="D120" s="9"/>
      <c r="E120" s="9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8"/>
      <c r="AN120" s="46"/>
      <c r="AO120" s="28"/>
      <c r="AP120" s="47"/>
      <c r="AQ120" s="28"/>
      <c r="AR120" s="28"/>
      <c r="AS120" s="28"/>
      <c r="AT120" s="28"/>
      <c r="AU120" s="29"/>
      <c r="AW120" s="25"/>
      <c r="AY120" s="28"/>
      <c r="BA120" s="28"/>
      <c r="BC120" s="28"/>
      <c r="BE120" s="28"/>
    </row>
    <row r="121" spans="4:5" ht="12.75">
      <c r="D121" s="9"/>
      <c r="E121" s="9"/>
    </row>
    <row r="122" spans="1:57" ht="12.75">
      <c r="A122" s="25"/>
      <c r="B122" s="9"/>
      <c r="C122" s="9"/>
      <c r="D122" s="9"/>
      <c r="E122" s="9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51"/>
      <c r="AN122" s="51"/>
      <c r="AO122" s="51"/>
      <c r="AP122" s="51"/>
      <c r="AQ122" s="51"/>
      <c r="AR122" s="51"/>
      <c r="AS122" s="51"/>
      <c r="AT122" s="51"/>
      <c r="AU122" s="29"/>
      <c r="AW122" s="25"/>
      <c r="AY122" s="25"/>
      <c r="BA122" s="28"/>
      <c r="BC122" s="25"/>
      <c r="BE122" s="28"/>
    </row>
    <row r="123" spans="1:57" ht="12.75">
      <c r="A123" s="25"/>
      <c r="B123" s="9"/>
      <c r="C123" s="9"/>
      <c r="D123" s="9"/>
      <c r="E123" s="9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51"/>
      <c r="AN123" s="51"/>
      <c r="AO123" s="51"/>
      <c r="AP123" s="51"/>
      <c r="AQ123" s="51"/>
      <c r="AR123" s="51"/>
      <c r="AS123" s="51"/>
      <c r="AT123" s="51"/>
      <c r="AU123" s="29"/>
      <c r="AW123" s="25"/>
      <c r="AY123" s="25"/>
      <c r="BA123" s="28"/>
      <c r="BC123" s="25"/>
      <c r="BE123" s="2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B1">
      <selection activeCell="C28" sqref="C28"/>
    </sheetView>
  </sheetViews>
  <sheetFormatPr defaultColWidth="9.140625" defaultRowHeight="12.75"/>
  <cols>
    <col min="1" max="1" width="3.8515625" style="0" hidden="1" customWidth="1"/>
    <col min="2" max="2" width="36.00390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6" t="s">
        <v>36</v>
      </c>
      <c r="C1" s="11"/>
      <c r="D1" s="11"/>
      <c r="E1" s="11"/>
      <c r="F1" s="11"/>
    </row>
    <row r="2" spans="2:6" ht="12.75">
      <c r="B2" s="11"/>
      <c r="C2" s="11"/>
      <c r="D2" s="11"/>
      <c r="E2" s="11"/>
      <c r="F2" s="11"/>
    </row>
    <row r="3" spans="1:6" ht="12.75">
      <c r="A3" t="s">
        <v>57</v>
      </c>
      <c r="B3" s="6" t="s">
        <v>122</v>
      </c>
      <c r="C3" s="11" t="s">
        <v>51</v>
      </c>
      <c r="D3" s="11"/>
      <c r="E3" t="s">
        <v>21</v>
      </c>
      <c r="F3" s="11"/>
    </row>
    <row r="4" spans="2:6" ht="12.75">
      <c r="B4" s="11"/>
      <c r="C4" s="11"/>
      <c r="D4" s="11"/>
      <c r="F4" s="11"/>
    </row>
    <row r="5" spans="2:6" ht="14.25">
      <c r="B5" s="11" t="s">
        <v>105</v>
      </c>
      <c r="C5" s="7" t="s">
        <v>26</v>
      </c>
      <c r="D5" s="7"/>
      <c r="E5" s="49">
        <f>1.8*(982)+32</f>
        <v>1799.6000000000001</v>
      </c>
      <c r="F5" s="11"/>
    </row>
    <row r="6" spans="2:6" ht="14.25">
      <c r="B6" s="11" t="s">
        <v>106</v>
      </c>
      <c r="C6" s="7" t="s">
        <v>26</v>
      </c>
      <c r="D6" s="7"/>
      <c r="E6" s="49">
        <f>1.8*(890)+32</f>
        <v>1634</v>
      </c>
      <c r="F6" s="11"/>
    </row>
    <row r="7" spans="2:5" s="11" customFormat="1" ht="12.75">
      <c r="B7" s="11" t="s">
        <v>72</v>
      </c>
      <c r="C7" s="11" t="s">
        <v>73</v>
      </c>
      <c r="E7">
        <v>-0.25</v>
      </c>
    </row>
    <row r="8" spans="2:5" s="11" customFormat="1" ht="12.75">
      <c r="B8" s="11" t="s">
        <v>108</v>
      </c>
      <c r="C8" s="11" t="s">
        <v>74</v>
      </c>
      <c r="E8" s="49">
        <f>3530*0.00441</f>
        <v>15.5673</v>
      </c>
    </row>
    <row r="9" spans="2:5" s="11" customFormat="1" ht="12.75">
      <c r="B9" s="11" t="s">
        <v>107</v>
      </c>
      <c r="C9" s="11" t="s">
        <v>74</v>
      </c>
      <c r="E9" s="49">
        <f>(12000+6950)*0.00441</f>
        <v>83.56949999999999</v>
      </c>
    </row>
    <row r="10" spans="2:5" ht="12.75">
      <c r="B10" t="s">
        <v>109</v>
      </c>
      <c r="C10" t="s">
        <v>25</v>
      </c>
      <c r="E10">
        <f>5200*2.2</f>
        <v>11440.000000000002</v>
      </c>
    </row>
    <row r="11" spans="2:5" ht="12.75">
      <c r="B11" t="s">
        <v>110</v>
      </c>
      <c r="C11" t="s">
        <v>27</v>
      </c>
      <c r="E11">
        <v>13.8</v>
      </c>
    </row>
    <row r="15" spans="2:5" ht="12.75">
      <c r="B15" s="6"/>
      <c r="C15" s="11"/>
      <c r="D15" s="11"/>
      <c r="E15" s="11"/>
    </row>
    <row r="16" spans="2:4" ht="12.75">
      <c r="B16" s="11"/>
      <c r="C16" s="11"/>
      <c r="D16" s="11"/>
    </row>
    <row r="17" spans="2:4" ht="14.25">
      <c r="B17" s="11"/>
      <c r="C17" s="7"/>
      <c r="D17" s="7"/>
    </row>
    <row r="18" spans="2:4" ht="14.25">
      <c r="B18" s="11"/>
      <c r="C18" s="7"/>
      <c r="D18" s="7"/>
    </row>
    <row r="19" spans="2:4" ht="12.75">
      <c r="B19" s="11"/>
      <c r="C19" s="11"/>
      <c r="D19" s="11"/>
    </row>
    <row r="20" spans="2:4" ht="12.75">
      <c r="B20" s="11"/>
      <c r="C20" s="11"/>
      <c r="D20" s="11"/>
    </row>
    <row r="21" spans="2:4" ht="12.75">
      <c r="B21" s="11"/>
      <c r="C21" s="11"/>
      <c r="D21" s="11"/>
    </row>
    <row r="27" ht="12.75">
      <c r="B27" s="6"/>
    </row>
    <row r="28" spans="2:4" ht="12.75">
      <c r="B28" s="11"/>
      <c r="C28" s="11"/>
      <c r="D28" s="11"/>
    </row>
    <row r="29" spans="2:4" ht="14.25">
      <c r="B29" s="11"/>
      <c r="C29" s="7"/>
      <c r="D29" s="7"/>
    </row>
    <row r="30" spans="2:4" ht="14.25">
      <c r="B30" s="11"/>
      <c r="C30" s="7"/>
      <c r="D30" s="7"/>
    </row>
    <row r="31" spans="2:4" ht="12.75">
      <c r="B31" s="11"/>
      <c r="C31" s="11"/>
      <c r="D31" s="11"/>
    </row>
    <row r="32" spans="2:4" ht="12.75">
      <c r="B32" s="11"/>
      <c r="C32" s="11"/>
      <c r="D32" s="11"/>
    </row>
    <row r="33" spans="2:4" ht="12.75">
      <c r="B33" s="11"/>
      <c r="C33" s="11"/>
      <c r="D33" s="1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K36"/>
  <sheetViews>
    <sheetView workbookViewId="0" topLeftCell="A1">
      <selection activeCell="D4" sqref="D4"/>
    </sheetView>
  </sheetViews>
  <sheetFormatPr defaultColWidth="9.140625" defaultRowHeight="12.75"/>
  <cols>
    <col min="1" max="1" width="8.421875" style="0" customWidth="1"/>
    <col min="2" max="2" width="12.140625" style="0" customWidth="1"/>
    <col min="3" max="3" width="3.7109375" style="0" customWidth="1"/>
    <col min="5" max="5" width="4.57421875" style="0" customWidth="1"/>
    <col min="6" max="6" width="3.7109375" style="0" customWidth="1"/>
    <col min="8" max="8" width="3.421875" style="0" customWidth="1"/>
    <col min="10" max="10" width="3.28125" style="0" customWidth="1"/>
    <col min="12" max="12" width="3.57421875" style="0" customWidth="1"/>
    <col min="13" max="13" width="9.57421875" style="0" bestFit="1" customWidth="1"/>
    <col min="14" max="14" width="2.57421875" style="0" customWidth="1"/>
    <col min="16" max="16" width="9.140625" style="0" hidden="1" customWidth="1"/>
    <col min="17" max="24" width="0" style="0" hidden="1" customWidth="1"/>
  </cols>
  <sheetData>
    <row r="1" ht="12.75">
      <c r="A1" t="s">
        <v>158</v>
      </c>
    </row>
    <row r="6" spans="2:15" ht="12.75">
      <c r="B6" s="6" t="s">
        <v>122</v>
      </c>
      <c r="G6" s="38" t="s">
        <v>123</v>
      </c>
      <c r="H6" s="38"/>
      <c r="I6" s="38" t="s">
        <v>124</v>
      </c>
      <c r="J6" s="38"/>
      <c r="K6" s="38" t="s">
        <v>125</v>
      </c>
      <c r="L6" s="38"/>
      <c r="M6" s="38" t="s">
        <v>126</v>
      </c>
      <c r="N6" s="38"/>
      <c r="O6" s="38" t="s">
        <v>21</v>
      </c>
    </row>
    <row r="8" spans="1:24" s="57" customFormat="1" ht="12.75">
      <c r="A8" s="57" t="s">
        <v>92</v>
      </c>
      <c r="B8" s="57" t="s">
        <v>71</v>
      </c>
      <c r="C8" s="57" t="s">
        <v>149</v>
      </c>
      <c r="D8" s="57" t="s">
        <v>16</v>
      </c>
      <c r="E8" s="57" t="s">
        <v>15</v>
      </c>
      <c r="F8" s="58" t="s">
        <v>127</v>
      </c>
      <c r="G8" s="59">
        <v>1</v>
      </c>
      <c r="H8" s="59" t="s">
        <v>127</v>
      </c>
      <c r="I8" s="59">
        <v>1</v>
      </c>
      <c r="J8" s="59" t="s">
        <v>127</v>
      </c>
      <c r="K8" s="59">
        <v>1</v>
      </c>
      <c r="L8" s="58" t="s">
        <v>127</v>
      </c>
      <c r="M8" s="58">
        <v>3</v>
      </c>
      <c r="N8" s="58" t="s">
        <v>127</v>
      </c>
      <c r="O8" s="58"/>
      <c r="P8" s="58" t="s">
        <v>127</v>
      </c>
      <c r="Q8" s="58"/>
      <c r="R8" s="58" t="s">
        <v>127</v>
      </c>
      <c r="S8" s="58"/>
      <c r="T8" s="58" t="s">
        <v>127</v>
      </c>
      <c r="U8" s="58"/>
      <c r="V8" s="58" t="s">
        <v>127</v>
      </c>
      <c r="W8" s="58"/>
      <c r="X8" s="57">
        <v>1.5</v>
      </c>
    </row>
    <row r="9" spans="1:24" s="57" customFormat="1" ht="12.75">
      <c r="A9" s="57" t="s">
        <v>92</v>
      </c>
      <c r="B9" s="57" t="s">
        <v>160</v>
      </c>
      <c r="C9" s="57" t="s">
        <v>149</v>
      </c>
      <c r="D9" s="57" t="s">
        <v>16</v>
      </c>
      <c r="E9" s="57" t="s">
        <v>15</v>
      </c>
      <c r="F9" s="58" t="s">
        <v>127</v>
      </c>
      <c r="G9" s="59">
        <v>0</v>
      </c>
      <c r="H9" s="59" t="s">
        <v>127</v>
      </c>
      <c r="I9" s="59">
        <v>0</v>
      </c>
      <c r="J9" s="59" t="s">
        <v>127</v>
      </c>
      <c r="K9" s="59">
        <v>0</v>
      </c>
      <c r="L9" s="58" t="s">
        <v>127</v>
      </c>
      <c r="M9" s="58">
        <v>0</v>
      </c>
      <c r="N9" s="58" t="s">
        <v>127</v>
      </c>
      <c r="O9" s="58"/>
      <c r="P9" s="58" t="s">
        <v>127</v>
      </c>
      <c r="Q9" s="58"/>
      <c r="R9" s="58" t="s">
        <v>127</v>
      </c>
      <c r="S9" s="58"/>
      <c r="T9" s="58" t="s">
        <v>127</v>
      </c>
      <c r="U9" s="58"/>
      <c r="V9" s="58" t="s">
        <v>127</v>
      </c>
      <c r="W9" s="58"/>
      <c r="X9" s="57">
        <v>0</v>
      </c>
    </row>
    <row r="10" spans="1:24" s="57" customFormat="1" ht="12.75">
      <c r="A10" s="57" t="s">
        <v>92</v>
      </c>
      <c r="B10" s="57" t="s">
        <v>68</v>
      </c>
      <c r="C10" s="57" t="s">
        <v>149</v>
      </c>
      <c r="D10" s="57" t="s">
        <v>28</v>
      </c>
      <c r="E10" s="57" t="s">
        <v>15</v>
      </c>
      <c r="F10" s="58" t="s">
        <v>59</v>
      </c>
      <c r="G10" s="59">
        <v>9.2528735632184</v>
      </c>
      <c r="H10" s="59" t="s">
        <v>59</v>
      </c>
      <c r="I10" s="59">
        <v>10.196531791907514</v>
      </c>
      <c r="J10" s="59" t="s">
        <v>59</v>
      </c>
      <c r="K10" s="59">
        <v>10.057471264367816</v>
      </c>
      <c r="L10" s="58" t="s">
        <v>59</v>
      </c>
      <c r="M10" s="59">
        <v>11.005780346820808</v>
      </c>
      <c r="N10" s="58" t="s">
        <v>127</v>
      </c>
      <c r="O10" s="58"/>
      <c r="P10" s="58" t="s">
        <v>127</v>
      </c>
      <c r="Q10" s="58"/>
      <c r="R10" s="58" t="s">
        <v>127</v>
      </c>
      <c r="S10" s="58"/>
      <c r="T10" s="58" t="s">
        <v>127</v>
      </c>
      <c r="U10" s="58"/>
      <c r="V10" s="58" t="s">
        <v>127</v>
      </c>
      <c r="W10" s="58"/>
      <c r="X10" s="57">
        <v>10.128164241578634</v>
      </c>
    </row>
    <row r="11" spans="1:24" s="57" customFormat="1" ht="12.75">
      <c r="A11" s="57" t="s">
        <v>92</v>
      </c>
      <c r="B11" s="57" t="s">
        <v>63</v>
      </c>
      <c r="C11" s="57" t="s">
        <v>149</v>
      </c>
      <c r="D11" s="57" t="s">
        <v>28</v>
      </c>
      <c r="E11" s="57" t="s">
        <v>15</v>
      </c>
      <c r="F11" s="58" t="s">
        <v>127</v>
      </c>
      <c r="G11" s="59">
        <v>0.3685057471264368</v>
      </c>
      <c r="H11" s="59" t="s">
        <v>127</v>
      </c>
      <c r="I11" s="59">
        <v>0.22658959537572254</v>
      </c>
      <c r="J11" s="59" t="s">
        <v>127</v>
      </c>
      <c r="K11" s="59">
        <v>0.1560919540229885</v>
      </c>
      <c r="L11" s="58" t="s">
        <v>127</v>
      </c>
      <c r="M11" s="59">
        <v>0.1521387283237</v>
      </c>
      <c r="N11" s="58" t="s">
        <v>127</v>
      </c>
      <c r="O11" s="58"/>
      <c r="P11" s="58" t="s">
        <v>127</v>
      </c>
      <c r="Q11" s="58"/>
      <c r="R11" s="58" t="s">
        <v>127</v>
      </c>
      <c r="S11" s="58"/>
      <c r="T11" s="58" t="s">
        <v>127</v>
      </c>
      <c r="U11" s="58"/>
      <c r="V11" s="58" t="s">
        <v>127</v>
      </c>
      <c r="W11" s="58"/>
      <c r="X11" s="57">
        <v>0.22583150621221196</v>
      </c>
    </row>
    <row r="12" spans="1:24" s="57" customFormat="1" ht="12.75">
      <c r="A12" s="57" t="s">
        <v>92</v>
      </c>
      <c r="B12" s="57" t="s">
        <v>64</v>
      </c>
      <c r="C12" s="57" t="s">
        <v>149</v>
      </c>
      <c r="D12" s="57" t="s">
        <v>28</v>
      </c>
      <c r="E12" s="57" t="s">
        <v>15</v>
      </c>
      <c r="F12" s="58" t="s">
        <v>127</v>
      </c>
      <c r="G12" s="59">
        <v>41.275862068965516</v>
      </c>
      <c r="H12" s="59" t="s">
        <v>127</v>
      </c>
      <c r="I12" s="59">
        <v>46.45086705202311</v>
      </c>
      <c r="J12" s="59" t="s">
        <v>127</v>
      </c>
      <c r="K12" s="59">
        <v>42.40229885057472</v>
      </c>
      <c r="L12" s="58" t="s">
        <v>127</v>
      </c>
      <c r="M12" s="59">
        <v>46.774566473988436</v>
      </c>
      <c r="N12" s="58" t="s">
        <v>127</v>
      </c>
      <c r="O12" s="58"/>
      <c r="P12" s="58" t="s">
        <v>127</v>
      </c>
      <c r="Q12" s="58"/>
      <c r="R12" s="58" t="s">
        <v>127</v>
      </c>
      <c r="S12" s="58"/>
      <c r="T12" s="58" t="s">
        <v>127</v>
      </c>
      <c r="U12" s="58"/>
      <c r="V12" s="58" t="s">
        <v>127</v>
      </c>
      <c r="W12" s="58"/>
      <c r="X12" s="57">
        <v>44.22589861138795</v>
      </c>
    </row>
    <row r="13" spans="1:24" s="57" customFormat="1" ht="12.75">
      <c r="A13" s="57" t="s">
        <v>92</v>
      </c>
      <c r="B13" s="57" t="s">
        <v>48</v>
      </c>
      <c r="C13" s="57" t="s">
        <v>149</v>
      </c>
      <c r="D13" s="57" t="s">
        <v>28</v>
      </c>
      <c r="E13" s="57" t="s">
        <v>15</v>
      </c>
      <c r="F13" s="58" t="s">
        <v>59</v>
      </c>
      <c r="G13" s="59">
        <v>0.075632183908046</v>
      </c>
      <c r="H13" s="59" t="s">
        <v>59</v>
      </c>
      <c r="I13" s="59">
        <v>0.08335260115606935</v>
      </c>
      <c r="J13" s="59" t="s">
        <v>59</v>
      </c>
      <c r="K13" s="59">
        <v>0.0828735632183908</v>
      </c>
      <c r="L13" s="58" t="s">
        <v>59</v>
      </c>
      <c r="M13" s="59">
        <v>0.08901734104046242</v>
      </c>
      <c r="N13" s="58" t="s">
        <v>127</v>
      </c>
      <c r="O13" s="58"/>
      <c r="P13" s="58" t="s">
        <v>127</v>
      </c>
      <c r="Q13" s="58"/>
      <c r="R13" s="58" t="s">
        <v>127</v>
      </c>
      <c r="S13" s="58"/>
      <c r="T13" s="58" t="s">
        <v>127</v>
      </c>
      <c r="U13" s="58"/>
      <c r="V13" s="58" t="s">
        <v>127</v>
      </c>
      <c r="W13" s="58"/>
      <c r="X13" s="57">
        <v>0.08271892233074214</v>
      </c>
    </row>
    <row r="14" spans="1:24" s="57" customFormat="1" ht="12.75">
      <c r="A14" s="57" t="s">
        <v>92</v>
      </c>
      <c r="B14" s="57" t="s">
        <v>65</v>
      </c>
      <c r="C14" s="57" t="s">
        <v>149</v>
      </c>
      <c r="D14" s="57" t="s">
        <v>28</v>
      </c>
      <c r="E14" s="57" t="s">
        <v>15</v>
      </c>
      <c r="F14" s="58" t="s">
        <v>127</v>
      </c>
      <c r="G14" s="59">
        <v>0.6251724137931035</v>
      </c>
      <c r="H14" s="59" t="s">
        <v>127</v>
      </c>
      <c r="I14" s="59">
        <v>4.7179190751445</v>
      </c>
      <c r="J14" s="59" t="s">
        <v>59</v>
      </c>
      <c r="K14" s="59">
        <v>0.6678160919540229</v>
      </c>
      <c r="L14" s="58" t="s">
        <v>59</v>
      </c>
      <c r="M14" s="59">
        <v>0.8335260115606936</v>
      </c>
      <c r="N14" s="58" t="s">
        <v>127</v>
      </c>
      <c r="O14" s="58"/>
      <c r="P14" s="58" t="s">
        <v>127</v>
      </c>
      <c r="Q14" s="58"/>
      <c r="R14" s="58" t="s">
        <v>127</v>
      </c>
      <c r="S14" s="58"/>
      <c r="T14" s="58" t="s">
        <v>127</v>
      </c>
      <c r="U14" s="58"/>
      <c r="V14" s="58" t="s">
        <v>127</v>
      </c>
      <c r="W14" s="58"/>
      <c r="X14" s="57">
        <v>1.7111083981130801</v>
      </c>
    </row>
    <row r="15" spans="1:24" s="57" customFormat="1" ht="12.75">
      <c r="A15" s="57" t="s">
        <v>92</v>
      </c>
      <c r="B15" s="57" t="s">
        <v>54</v>
      </c>
      <c r="C15" s="57" t="s">
        <v>149</v>
      </c>
      <c r="D15" s="57" t="s">
        <v>28</v>
      </c>
      <c r="E15" s="57" t="s">
        <v>15</v>
      </c>
      <c r="F15" s="58" t="s">
        <v>127</v>
      </c>
      <c r="G15" s="59">
        <v>14.563218390804598</v>
      </c>
      <c r="H15" s="59" t="s">
        <v>127</v>
      </c>
      <c r="I15" s="59">
        <v>12.78612716763</v>
      </c>
      <c r="J15" s="59" t="s">
        <v>127</v>
      </c>
      <c r="K15" s="59">
        <v>12.068965517241379</v>
      </c>
      <c r="L15" s="58" t="s">
        <v>127</v>
      </c>
      <c r="M15" s="59">
        <v>13.757225433526</v>
      </c>
      <c r="N15" s="58" t="s">
        <v>127</v>
      </c>
      <c r="O15" s="58"/>
      <c r="P15" s="58" t="s">
        <v>127</v>
      </c>
      <c r="Q15" s="58"/>
      <c r="R15" s="58" t="s">
        <v>127</v>
      </c>
      <c r="S15" s="58"/>
      <c r="T15" s="58" t="s">
        <v>127</v>
      </c>
      <c r="U15" s="58"/>
      <c r="V15" s="58" t="s">
        <v>127</v>
      </c>
      <c r="W15" s="58"/>
      <c r="X15" s="57">
        <v>13.293884127300494</v>
      </c>
    </row>
    <row r="16" spans="1:24" s="57" customFormat="1" ht="12.75">
      <c r="A16" s="57" t="s">
        <v>92</v>
      </c>
      <c r="B16" s="57" t="s">
        <v>128</v>
      </c>
      <c r="C16" s="57" t="s">
        <v>149</v>
      </c>
      <c r="D16" s="57" t="s">
        <v>28</v>
      </c>
      <c r="E16" s="57" t="s">
        <v>15</v>
      </c>
      <c r="F16" s="58" t="s">
        <v>127</v>
      </c>
      <c r="G16" s="59">
        <v>1.6896551724138</v>
      </c>
      <c r="H16" s="59" t="s">
        <v>127</v>
      </c>
      <c r="I16" s="59">
        <v>1.4242774566474</v>
      </c>
      <c r="J16" s="59" t="s">
        <v>127</v>
      </c>
      <c r="K16" s="59">
        <v>1.4482758620689655</v>
      </c>
      <c r="L16" s="58" t="s">
        <v>127</v>
      </c>
      <c r="M16" s="59">
        <v>1.4485549132948</v>
      </c>
      <c r="N16" s="58" t="s">
        <v>127</v>
      </c>
      <c r="O16" s="58"/>
      <c r="P16" s="58" t="s">
        <v>127</v>
      </c>
      <c r="Q16" s="58"/>
      <c r="R16" s="58" t="s">
        <v>127</v>
      </c>
      <c r="S16" s="58"/>
      <c r="T16" s="58" t="s">
        <v>127</v>
      </c>
      <c r="U16" s="58"/>
      <c r="V16" s="58" t="s">
        <v>127</v>
      </c>
      <c r="W16" s="58"/>
      <c r="X16" s="57">
        <v>1.5026908511062413</v>
      </c>
    </row>
    <row r="17" spans="1:24" s="57" customFormat="1" ht="12.75">
      <c r="A17" s="57" t="s">
        <v>92</v>
      </c>
      <c r="B17" s="57" t="s">
        <v>66</v>
      </c>
      <c r="C17" s="57" t="s">
        <v>149</v>
      </c>
      <c r="D17" s="57" t="s">
        <v>28</v>
      </c>
      <c r="E17" s="57" t="s">
        <v>15</v>
      </c>
      <c r="F17" s="58" t="s">
        <v>127</v>
      </c>
      <c r="G17" s="59">
        <v>1400.8045977011495</v>
      </c>
      <c r="H17" s="59" t="s">
        <v>127</v>
      </c>
      <c r="I17" s="59">
        <v>1488.208092485549</v>
      </c>
      <c r="J17" s="59" t="s">
        <v>127</v>
      </c>
      <c r="K17" s="59">
        <v>1235.8620689655172</v>
      </c>
      <c r="L17" s="58" t="s">
        <v>127</v>
      </c>
      <c r="M17" s="59">
        <v>1254.3352601156</v>
      </c>
      <c r="N17" s="58" t="s">
        <v>127</v>
      </c>
      <c r="O17" s="58"/>
      <c r="P17" s="58" t="s">
        <v>127</v>
      </c>
      <c r="Q17" s="58"/>
      <c r="R17" s="58" t="s">
        <v>127</v>
      </c>
      <c r="S17" s="58"/>
      <c r="T17" s="58" t="s">
        <v>127</v>
      </c>
      <c r="U17" s="58"/>
      <c r="V17" s="58" t="s">
        <v>127</v>
      </c>
      <c r="W17" s="58"/>
      <c r="X17" s="57">
        <v>1344.802504816954</v>
      </c>
    </row>
    <row r="18" spans="1:24" s="57" customFormat="1" ht="12.75">
      <c r="A18" s="57" t="s">
        <v>92</v>
      </c>
      <c r="B18" s="57" t="s">
        <v>47</v>
      </c>
      <c r="C18" s="57" t="s">
        <v>149</v>
      </c>
      <c r="D18" s="57" t="s">
        <v>28</v>
      </c>
      <c r="E18" s="57" t="s">
        <v>15</v>
      </c>
      <c r="F18" s="58" t="s">
        <v>127</v>
      </c>
      <c r="G18" s="59">
        <v>2.3977011494252873</v>
      </c>
      <c r="H18" s="59" t="s">
        <v>127</v>
      </c>
      <c r="I18" s="59">
        <v>2.8161849710982656</v>
      </c>
      <c r="J18" s="59" t="s">
        <v>127</v>
      </c>
      <c r="K18" s="59">
        <v>3.9344827586206894</v>
      </c>
      <c r="L18" s="58" t="s">
        <v>127</v>
      </c>
      <c r="M18" s="59">
        <v>1.6265895953757221</v>
      </c>
      <c r="N18" s="58" t="s">
        <v>127</v>
      </c>
      <c r="O18" s="58"/>
      <c r="P18" s="58" t="s">
        <v>127</v>
      </c>
      <c r="Q18" s="58"/>
      <c r="R18" s="58" t="s">
        <v>127</v>
      </c>
      <c r="S18" s="58"/>
      <c r="T18" s="58" t="s">
        <v>127</v>
      </c>
      <c r="U18" s="58"/>
      <c r="V18" s="58" t="s">
        <v>127</v>
      </c>
      <c r="W18" s="58"/>
      <c r="X18" s="57">
        <v>2.6937396186299916</v>
      </c>
    </row>
    <row r="19" spans="1:24" s="57" customFormat="1" ht="12.75">
      <c r="A19" s="57" t="s">
        <v>92</v>
      </c>
      <c r="B19" s="57" t="s">
        <v>49</v>
      </c>
      <c r="C19" s="57" t="s">
        <v>149</v>
      </c>
      <c r="D19" s="57" t="s">
        <v>28</v>
      </c>
      <c r="E19" s="57" t="s">
        <v>15</v>
      </c>
      <c r="F19" s="58" t="s">
        <v>59</v>
      </c>
      <c r="G19" s="59">
        <v>0.7466666666666667</v>
      </c>
      <c r="H19" s="59" t="s">
        <v>59</v>
      </c>
      <c r="I19" s="59">
        <v>0.9791907514450866</v>
      </c>
      <c r="J19" s="59" t="s">
        <v>59</v>
      </c>
      <c r="K19" s="59">
        <v>0.8367816091954023</v>
      </c>
      <c r="L19" s="58" t="s">
        <v>127</v>
      </c>
      <c r="M19" s="59">
        <v>0.62150289017341</v>
      </c>
      <c r="N19" s="58" t="s">
        <v>127</v>
      </c>
      <c r="O19" s="59">
        <f>AVERAGE(G19,I19,K19,M19)</f>
        <v>0.7960354793701414</v>
      </c>
      <c r="P19" s="58" t="s">
        <v>127</v>
      </c>
      <c r="Q19" s="58"/>
      <c r="R19" s="58" t="s">
        <v>127</v>
      </c>
      <c r="S19" s="58"/>
      <c r="T19" s="58" t="s">
        <v>127</v>
      </c>
      <c r="U19" s="58"/>
      <c r="V19" s="58" t="s">
        <v>127</v>
      </c>
      <c r="W19" s="58"/>
      <c r="X19" s="57">
        <v>0.7960354793701414</v>
      </c>
    </row>
    <row r="20" spans="1:24" s="57" customFormat="1" ht="12.75">
      <c r="A20" s="57" t="s">
        <v>92</v>
      </c>
      <c r="B20" s="57" t="s">
        <v>67</v>
      </c>
      <c r="C20" s="57" t="s">
        <v>149</v>
      </c>
      <c r="D20" s="57" t="s">
        <v>28</v>
      </c>
      <c r="E20" s="57" t="s">
        <v>15</v>
      </c>
      <c r="F20" s="58" t="s">
        <v>127</v>
      </c>
      <c r="G20" s="59">
        <v>9.977011494252874</v>
      </c>
      <c r="H20" s="59" t="s">
        <v>127</v>
      </c>
      <c r="I20" s="59">
        <v>10.439306358381502</v>
      </c>
      <c r="J20" s="59" t="s">
        <v>127</v>
      </c>
      <c r="K20" s="59">
        <v>15.045977011494253</v>
      </c>
      <c r="L20" s="58" t="s">
        <v>127</v>
      </c>
      <c r="M20" s="59">
        <v>11.248554913294797</v>
      </c>
      <c r="N20" s="58" t="s">
        <v>127</v>
      </c>
      <c r="O20" s="58"/>
      <c r="P20" s="58" t="s">
        <v>127</v>
      </c>
      <c r="Q20" s="58"/>
      <c r="R20" s="58" t="s">
        <v>127</v>
      </c>
      <c r="S20" s="58"/>
      <c r="T20" s="58" t="s">
        <v>127</v>
      </c>
      <c r="U20" s="58"/>
      <c r="V20" s="58" t="s">
        <v>127</v>
      </c>
      <c r="W20" s="58"/>
      <c r="X20" s="57">
        <v>11.677712444355855</v>
      </c>
    </row>
    <row r="21" spans="1:24" s="57" customFormat="1" ht="12.75">
      <c r="A21" s="57" t="s">
        <v>92</v>
      </c>
      <c r="B21" s="57" t="s">
        <v>69</v>
      </c>
      <c r="C21" s="57" t="s">
        <v>149</v>
      </c>
      <c r="D21" s="57" t="s">
        <v>28</v>
      </c>
      <c r="E21" s="57" t="s">
        <v>15</v>
      </c>
      <c r="F21" s="58" t="s">
        <v>59</v>
      </c>
      <c r="G21" s="59">
        <v>7.064367816091954</v>
      </c>
      <c r="H21" s="59" t="s">
        <v>59</v>
      </c>
      <c r="I21" s="59">
        <v>7.655491329479768</v>
      </c>
      <c r="J21" s="59" t="s">
        <v>59</v>
      </c>
      <c r="K21" s="59">
        <v>7.49080459770115</v>
      </c>
      <c r="L21" s="58" t="s">
        <v>59</v>
      </c>
      <c r="M21" s="59">
        <v>8.173410404624276</v>
      </c>
      <c r="N21" s="58" t="s">
        <v>127</v>
      </c>
      <c r="O21" s="58"/>
      <c r="P21" s="58" t="s">
        <v>127</v>
      </c>
      <c r="Q21" s="58"/>
      <c r="R21" s="58" t="s">
        <v>127</v>
      </c>
      <c r="S21" s="58"/>
      <c r="T21" s="58" t="s">
        <v>127</v>
      </c>
      <c r="U21" s="58"/>
      <c r="V21" s="58" t="s">
        <v>127</v>
      </c>
      <c r="W21" s="58"/>
      <c r="X21" s="57">
        <v>7.596018536974286</v>
      </c>
    </row>
    <row r="22" spans="1:24" s="57" customFormat="1" ht="12.75">
      <c r="A22" s="57" t="s">
        <v>92</v>
      </c>
      <c r="B22" s="57" t="s">
        <v>62</v>
      </c>
      <c r="C22" s="57" t="s">
        <v>149</v>
      </c>
      <c r="D22" s="57" t="s">
        <v>28</v>
      </c>
      <c r="E22" s="57" t="s">
        <v>15</v>
      </c>
      <c r="F22" s="58" t="s">
        <v>127</v>
      </c>
      <c r="G22" s="59">
        <v>10.701149425287356</v>
      </c>
      <c r="H22" s="59" t="s">
        <v>59</v>
      </c>
      <c r="I22" s="59">
        <v>7.8820809248555</v>
      </c>
      <c r="J22" s="59" t="s">
        <v>59</v>
      </c>
      <c r="K22" s="59">
        <v>7.796551724137931</v>
      </c>
      <c r="L22" s="58" t="s">
        <v>59</v>
      </c>
      <c r="M22" s="59">
        <v>8.335260115606935</v>
      </c>
      <c r="N22" s="58" t="s">
        <v>127</v>
      </c>
      <c r="O22" s="58"/>
      <c r="P22" s="58" t="s">
        <v>127</v>
      </c>
      <c r="Q22" s="58"/>
      <c r="R22" s="58" t="s">
        <v>127</v>
      </c>
      <c r="S22" s="58"/>
      <c r="T22" s="58" t="s">
        <v>127</v>
      </c>
      <c r="U22" s="58"/>
      <c r="V22" s="58" t="s">
        <v>127</v>
      </c>
      <c r="W22" s="58"/>
      <c r="X22" s="57">
        <v>8.678760547471931</v>
      </c>
    </row>
    <row r="23" spans="1:24" s="57" customFormat="1" ht="12.75">
      <c r="A23" s="57" t="s">
        <v>92</v>
      </c>
      <c r="B23" s="57" t="s">
        <v>70</v>
      </c>
      <c r="C23" s="57" t="s">
        <v>149</v>
      </c>
      <c r="D23" s="57" t="s">
        <v>28</v>
      </c>
      <c r="E23" s="57" t="s">
        <v>15</v>
      </c>
      <c r="F23" s="58" t="s">
        <v>59</v>
      </c>
      <c r="G23" s="59">
        <v>8.013793103448277</v>
      </c>
      <c r="H23" s="59" t="s">
        <v>59</v>
      </c>
      <c r="I23" s="59">
        <v>8.901734104046241</v>
      </c>
      <c r="J23" s="59" t="s">
        <v>59</v>
      </c>
      <c r="K23" s="59">
        <v>8.770114942528735</v>
      </c>
      <c r="L23" s="58" t="s">
        <v>59</v>
      </c>
      <c r="M23" s="59">
        <v>9.468208092485547</v>
      </c>
      <c r="N23" s="58" t="s">
        <v>127</v>
      </c>
      <c r="O23" s="58"/>
      <c r="P23" s="58" t="s">
        <v>127</v>
      </c>
      <c r="Q23" s="58"/>
      <c r="R23" s="58" t="s">
        <v>127</v>
      </c>
      <c r="S23" s="58"/>
      <c r="T23" s="58" t="s">
        <v>127</v>
      </c>
      <c r="U23" s="58"/>
      <c r="V23" s="58" t="s">
        <v>127</v>
      </c>
      <c r="W23" s="58"/>
      <c r="X23" s="57">
        <v>8.7884625606272</v>
      </c>
    </row>
    <row r="24" spans="2:23" s="57" customFormat="1" ht="12.75">
      <c r="B24" s="57" t="s">
        <v>29</v>
      </c>
      <c r="C24" s="57" t="s">
        <v>149</v>
      </c>
      <c r="D24" s="57" t="s">
        <v>28</v>
      </c>
      <c r="E24" s="57" t="s">
        <v>15</v>
      </c>
      <c r="F24" s="58"/>
      <c r="G24" s="59">
        <f>G14+G18</f>
        <v>3.0228735632183907</v>
      </c>
      <c r="H24" s="59"/>
      <c r="I24" s="59">
        <f>I14+I18</f>
        <v>7.534104046242765</v>
      </c>
      <c r="J24" s="59"/>
      <c r="K24" s="59">
        <f>K14+K18</f>
        <v>4.602298850574712</v>
      </c>
      <c r="L24" s="58"/>
      <c r="M24" s="59">
        <f>M14+M18</f>
        <v>2.460115606936416</v>
      </c>
      <c r="N24" s="58"/>
      <c r="O24" s="59">
        <f>AVERAGE(G24,I24,K24,M24)</f>
        <v>4.404848016743071</v>
      </c>
      <c r="P24" s="58"/>
      <c r="Q24" s="58"/>
      <c r="R24" s="58"/>
      <c r="S24" s="58"/>
      <c r="T24" s="58"/>
      <c r="U24" s="58"/>
      <c r="V24" s="58"/>
      <c r="W24" s="58"/>
    </row>
    <row r="25" spans="2:23" s="57" customFormat="1" ht="12.75">
      <c r="B25" s="57" t="s">
        <v>30</v>
      </c>
      <c r="C25" s="57" t="s">
        <v>149</v>
      </c>
      <c r="D25" s="57" t="s">
        <v>28</v>
      </c>
      <c r="E25" s="57" t="s">
        <v>15</v>
      </c>
      <c r="F25" s="58"/>
      <c r="G25" s="59">
        <f>G11+G13/2+G15</f>
        <v>14.969540229885059</v>
      </c>
      <c r="H25" s="59"/>
      <c r="I25" s="59">
        <f>I11+I13/2+I15</f>
        <v>13.054393063583756</v>
      </c>
      <c r="J25" s="59"/>
      <c r="K25" s="59">
        <f>K11+K13/2+K15</f>
        <v>12.266494252873564</v>
      </c>
      <c r="L25" s="58"/>
      <c r="M25" s="59">
        <f>M11+M13/2+M15</f>
        <v>13.95387283236993</v>
      </c>
      <c r="N25" s="58"/>
      <c r="O25" s="59">
        <f>AVERAGE(G25,I25,K25,M25)</f>
        <v>13.561075094678078</v>
      </c>
      <c r="P25" s="58"/>
      <c r="Q25" s="58"/>
      <c r="R25" s="58"/>
      <c r="S25" s="58"/>
      <c r="T25" s="58"/>
      <c r="U25" s="58"/>
      <c r="V25" s="58"/>
      <c r="W25" s="58"/>
    </row>
    <row r="27" spans="2:4" ht="12.75">
      <c r="B27" t="s">
        <v>55</v>
      </c>
      <c r="C27" s="57" t="s">
        <v>129</v>
      </c>
      <c r="D27" s="57" t="s">
        <v>149</v>
      </c>
    </row>
    <row r="28" spans="2:63" s="57" customFormat="1" ht="12.75">
      <c r="B28" s="8" t="s">
        <v>46</v>
      </c>
      <c r="C28" s="8"/>
      <c r="D28" s="8" t="s">
        <v>17</v>
      </c>
      <c r="G28" s="59">
        <v>39.66666666666667</v>
      </c>
      <c r="H28" s="59"/>
      <c r="I28" s="59">
        <v>39.66666666666667</v>
      </c>
      <c r="J28" s="59"/>
      <c r="K28" s="59">
        <v>39.313559322034</v>
      </c>
      <c r="L28" s="59"/>
      <c r="M28" s="59">
        <v>38.2542372881356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</row>
    <row r="29" spans="2:63" s="57" customFormat="1" ht="12.75">
      <c r="B29" s="8" t="s">
        <v>52</v>
      </c>
      <c r="C29" s="8"/>
      <c r="D29" s="8" t="s">
        <v>18</v>
      </c>
      <c r="G29" s="59">
        <v>3.6</v>
      </c>
      <c r="H29" s="59"/>
      <c r="I29" s="59">
        <v>3.7</v>
      </c>
      <c r="J29" s="59"/>
      <c r="K29" s="59">
        <v>3.6</v>
      </c>
      <c r="L29" s="59"/>
      <c r="M29" s="59">
        <v>3.7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</row>
    <row r="30" spans="1:63" s="57" customFormat="1" ht="12.75">
      <c r="A30" s="57" t="s">
        <v>92</v>
      </c>
      <c r="B30" s="8" t="s">
        <v>53</v>
      </c>
      <c r="C30" s="8"/>
      <c r="D30" s="8" t="s">
        <v>18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</row>
    <row r="31" spans="2:63" s="57" customFormat="1" ht="12.75">
      <c r="B31" s="8" t="s">
        <v>45</v>
      </c>
      <c r="C31" s="8"/>
      <c r="D31" s="8" t="s">
        <v>19</v>
      </c>
      <c r="G31" s="59">
        <v>150</v>
      </c>
      <c r="H31" s="59"/>
      <c r="I31" s="59">
        <v>150</v>
      </c>
      <c r="J31" s="59"/>
      <c r="K31" s="59">
        <v>150</v>
      </c>
      <c r="L31" s="59"/>
      <c r="M31" s="59">
        <v>150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</row>
    <row r="33" spans="1:57" s="60" customFormat="1" ht="12.75">
      <c r="A33" s="60" t="s">
        <v>92</v>
      </c>
      <c r="B33" s="60" t="s">
        <v>99</v>
      </c>
      <c r="C33" s="57" t="s">
        <v>149</v>
      </c>
      <c r="D33" s="60" t="s">
        <v>18</v>
      </c>
      <c r="G33" s="61">
        <v>99.99929</v>
      </c>
      <c r="H33" s="61"/>
      <c r="I33" s="61">
        <v>99.99899</v>
      </c>
      <c r="J33" s="61"/>
      <c r="K33" s="61">
        <v>99.99904</v>
      </c>
      <c r="L33" s="61"/>
      <c r="M33" s="61">
        <v>99.99877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</row>
    <row r="34" spans="1:57" s="60" customFormat="1" ht="12.75">
      <c r="A34" s="60" t="s">
        <v>92</v>
      </c>
      <c r="B34" s="60" t="s">
        <v>130</v>
      </c>
      <c r="C34" s="57" t="s">
        <v>149</v>
      </c>
      <c r="D34" s="60" t="s">
        <v>18</v>
      </c>
      <c r="G34" s="61">
        <v>99.999966</v>
      </c>
      <c r="H34" s="61"/>
      <c r="I34" s="61">
        <v>99.999963</v>
      </c>
      <c r="J34" s="61"/>
      <c r="K34" s="61">
        <v>99.999964</v>
      </c>
      <c r="L34" s="61"/>
      <c r="M34" s="61">
        <v>99.999964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</row>
    <row r="36" ht="12.75">
      <c r="B36" s="62" t="s">
        <v>136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 </cp:lastModifiedBy>
  <cp:lastPrinted>2004-02-25T22:00:00Z</cp:lastPrinted>
  <dcterms:created xsi:type="dcterms:W3CDTF">2000-01-10T00:44:42Z</dcterms:created>
  <dcterms:modified xsi:type="dcterms:W3CDTF">2005-09-13T00:35:01Z</dcterms:modified>
  <cp:category/>
  <cp:version/>
  <cp:contentType/>
  <cp:contentStatus/>
</cp:coreProperties>
</file>