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356" yWindow="65476" windowWidth="12120" windowHeight="699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<sst xmlns="http://schemas.openxmlformats.org/spreadsheetml/2006/main" count="1094" uniqueCount="204">
  <si>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</si>
  <si>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</si>
  <si>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</si>
  <si>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</si>
  <si>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</si>
  <si>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</si>
  <si>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</si>
  <si>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</si>
  <si>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</si>
  <si>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</si>
  <si>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</si>
  <si>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</si>
  <si>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</si>
  <si>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</si>
  <si>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</si>
  <si>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</si>
  <si>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</si>
  <si>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</si>
  <si>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LAD040776809</t>
  </si>
  <si>
    <t>Facility Name</t>
  </si>
  <si>
    <t>BASF</t>
  </si>
  <si>
    <t>Facility Location</t>
  </si>
  <si>
    <t>Geismar</t>
  </si>
  <si>
    <t>LA</t>
  </si>
  <si>
    <t>Unit ID Name/No.</t>
  </si>
  <si>
    <t>No. 6 Boiler</t>
  </si>
  <si>
    <t>Other Sister Facilities</t>
  </si>
  <si>
    <t>Combustor Characteristics</t>
  </si>
  <si>
    <t>None</t>
  </si>
  <si>
    <t>APCS Characteristics</t>
  </si>
  <si>
    <t>NA</t>
  </si>
  <si>
    <t>Ignitable (D001), methanol, mixed alcohols, from production of THF and PTHF, butanediol light ends, TDA</t>
  </si>
  <si>
    <t>Natural gas</t>
  </si>
  <si>
    <t>Stack Characteristics</t>
  </si>
  <si>
    <t xml:space="preserve">     Report Name/Date</t>
  </si>
  <si>
    <t>BASF Corp. DRE Trial Burn Report, March 1998, Rev. 2</t>
  </si>
  <si>
    <t xml:space="preserve">     Report Prepar</t>
  </si>
  <si>
    <t>??**??</t>
  </si>
  <si>
    <t xml:space="preserve">     Testing Firm</t>
  </si>
  <si>
    <t>METCO</t>
  </si>
  <si>
    <t xml:space="preserve">     Testing Dates</t>
  </si>
  <si>
    <t>February 12-13, 1997</t>
  </si>
  <si>
    <t>Trial Burn</t>
  </si>
  <si>
    <t xml:space="preserve">     Content</t>
  </si>
  <si>
    <t>DRE, PM, HCl/Cl2, CO; metals, chlorine, ash feeds</t>
  </si>
  <si>
    <t>February 13-14, 1997</t>
  </si>
  <si>
    <t>November 10-11, 1997</t>
  </si>
  <si>
    <t>Risk Burn Report Amines Boiler, Number 6 Utility Boiler, March 1998</t>
  </si>
  <si>
    <t>ICF Kaiser/BASF</t>
  </si>
  <si>
    <t>February 18-20, 1997</t>
  </si>
  <si>
    <t>PM, chlorine, D/F, organics (metals in feedstream only)</t>
  </si>
  <si>
    <t>Units</t>
  </si>
  <si>
    <t>Run</t>
  </si>
  <si>
    <t>Cond Avg</t>
  </si>
  <si>
    <t>836C10</t>
  </si>
  <si>
    <t>y</t>
  </si>
  <si>
    <t>n</t>
  </si>
  <si>
    <t>nd</t>
  </si>
  <si>
    <t xml:space="preserve">   Stack Gas Flowrate</t>
  </si>
  <si>
    <t xml:space="preserve">   Temperature</t>
  </si>
  <si>
    <t>POHC DRE</t>
  </si>
  <si>
    <t>lb/hr</t>
  </si>
  <si>
    <t>836C11</t>
  </si>
  <si>
    <t>836C12</t>
  </si>
  <si>
    <t>Haz waste</t>
  </si>
  <si>
    <t>g/hr</t>
  </si>
  <si>
    <t>Density</t>
  </si>
  <si>
    <t>g/ml</t>
  </si>
  <si>
    <t>Heat Content</t>
  </si>
  <si>
    <t>Btu/lb</t>
  </si>
  <si>
    <t>Chlorine</t>
  </si>
  <si>
    <t>Stack Gas Flowrate</t>
  </si>
  <si>
    <t>Process Information</t>
  </si>
  <si>
    <t>Avg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</si>
  <si>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</si>
  <si>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</si>
  <si>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</si>
  <si>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</si>
  <si>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</si>
  <si>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</si>
  <si>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</si>
  <si>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</si>
  <si>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</si>
  <si>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</si>
  <si>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</si>
  <si>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</si>
  <si>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</si>
  <si>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</si>
  <si>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</si>
  <si>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</si>
  <si>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</si>
  <si>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</si>
  <si>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</si>
  <si>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</si>
  <si>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</si>
  <si>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</si>
  <si>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</si>
  <si>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</si>
  <si>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</si>
  <si>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</si>
  <si>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</si>
  <si>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</si>
  <si>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</si>
  <si>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</si>
  <si>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</si>
  <si>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</si>
  <si>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</si>
  <si>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</si>
  <si>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</si>
  <si>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</si>
  <si>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</si>
  <si>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</si>
  <si>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Permitting Status</t>
  </si>
  <si>
    <t>Risk burn; worst case (max temp., feedrates, production rates)</t>
  </si>
  <si>
    <t>Liq</t>
  </si>
  <si>
    <t>836C13</t>
  </si>
  <si>
    <t>PCDD/PCDF</t>
  </si>
  <si>
    <t>1/2 ND</t>
  </si>
  <si>
    <t>TEQ Cond Avg</t>
  </si>
  <si>
    <t>Total Cond Avg</t>
  </si>
  <si>
    <t>7% O2</t>
  </si>
  <si>
    <t>Feedstreams</t>
  </si>
  <si>
    <t>Hazardous Wastes</t>
  </si>
  <si>
    <t>Haz Waste Description</t>
  </si>
  <si>
    <t>Supplemental Fuel</t>
  </si>
  <si>
    <t>Capacity (MMBtu/hr)</t>
  </si>
  <si>
    <t>Feedrate MTEC Calculations</t>
  </si>
  <si>
    <t>Phase II ID No.</t>
  </si>
  <si>
    <t>Steam Production</t>
  </si>
  <si>
    <t>Source Description</t>
  </si>
  <si>
    <t xml:space="preserve">     Cond Description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</si>
  <si>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</si>
  <si>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</si>
  <si>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</si>
  <si>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</si>
  <si>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</si>
  <si>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</si>
  <si>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</si>
  <si>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</si>
  <si>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PM, HCl/Cl2</t>
  </si>
  <si>
    <t>risk burn worst case</t>
  </si>
  <si>
    <t xml:space="preserve">   O2</t>
  </si>
  <si>
    <t xml:space="preserve">   Moisture</t>
  </si>
  <si>
    <t>Toluene</t>
  </si>
  <si>
    <t>Emissions Rate</t>
  </si>
  <si>
    <t>Feedrate</t>
  </si>
  <si>
    <t>Total Chlorine</t>
  </si>
  <si>
    <t>CO (RA)</t>
  </si>
  <si>
    <t>Sampling Train</t>
  </si>
  <si>
    <t>Arsenic</t>
  </si>
  <si>
    <t>Beryllium</t>
  </si>
  <si>
    <t>Barium</t>
  </si>
  <si>
    <t>Thallium</t>
  </si>
  <si>
    <t>Antimony</t>
  </si>
  <si>
    <t>Lead</t>
  </si>
  <si>
    <t>Nickel</t>
  </si>
  <si>
    <t>Cadmium</t>
  </si>
  <si>
    <t>Silver</t>
  </si>
  <si>
    <t>Chromium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</si>
  <si>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</si>
  <si>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</si>
  <si>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</si>
  <si>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</si>
  <si>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</si>
  <si>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</si>
  <si>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R1</t>
  </si>
  <si>
    <t>R2</t>
  </si>
  <si>
    <t>R3</t>
  </si>
  <si>
    <t>Selenium</t>
  </si>
  <si>
    <t>TIER I BIF LIMITS</t>
  </si>
  <si>
    <t xml:space="preserve">     Cond Dates</t>
  </si>
  <si>
    <t>Watertube boiler. Babcock and Wilcox, D shaped, gas fired watertube field erected boiler with superheater and economizer, 250000 lb/hr steam @ 650 psig and 750°F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</si>
  <si>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</si>
  <si>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</si>
  <si>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</si>
  <si>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</si>
  <si>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</si>
  <si>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</si>
  <si>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>Liquid-Fired</t>
  </si>
  <si>
    <t>E1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</si>
  <si>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</si>
  <si>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</si>
  <si>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</si>
  <si>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</si>
  <si>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</si>
  <si>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</si>
  <si>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</si>
  <si>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</si>
  <si>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</si>
  <si>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</si>
  <si>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</si>
  <si>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MMBtu/hr</t>
  </si>
  <si>
    <t>Feed Class 2</t>
  </si>
  <si>
    <t xml:space="preserve">HW </t>
  </si>
  <si>
    <t>Estimated Firing Rate</t>
  </si>
  <si>
    <t>df c13</t>
  </si>
  <si>
    <t>Full ND</t>
  </si>
  <si>
    <t xml:space="preserve">Facility Name and ID:  </t>
  </si>
  <si>
    <t>BASF, Geismar, LA, No. 6 Utilities boiler</t>
  </si>
  <si>
    <t xml:space="preserve">Condition ID: </t>
  </si>
  <si>
    <t xml:space="preserve">Condition/Test Date: </t>
  </si>
  <si>
    <t>Risk burn, worst case February 18-20, 1997</t>
  </si>
  <si>
    <t>N</t>
  </si>
  <si>
    <t>Heating Value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</si>
</sst>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mmmm\-yy"/>
    <numFmt numFmtId="172" formatCode="0.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5" sqref="D25"/>
    </sheetView>
  </sheetViews>
  <sheetFormatPr defaultColWidth="9.140625" defaultRowHeight="12.75"/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4" ht="12.75">
      <c r="A4" t="s">
        <v>184</v>
      </c>
    </row>
    <row r="5" ht="12.75">
      <c r="A5" t="s">
        <v>185</v>
      </c>
    </row>
    <row r="6" ht="12.75">
      <c r="A6" t="s">
        <v>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6.28125" style="2" customWidth="1"/>
    <col min="3" max="3" width="58.8515625" style="2" customWidth="1"/>
    <col min="4" max="4" width="9.00390625" style="2" customWidth="1"/>
    <col min="5" max="16384" width="11.421875" style="2" customWidth="1"/>
  </cols>
  <sheetData>
    <row r="1" ht="12.75">
      <c r="B1" s="1" t="s">
        <v>129</v>
      </c>
    </row>
    <row r="3" spans="2:3" ht="12.75">
      <c r="B3" s="2" t="s">
        <v>127</v>
      </c>
      <c r="C3" s="3">
        <v>836</v>
      </c>
    </row>
    <row r="4" spans="2:3" ht="12.75">
      <c r="B4" s="2" t="s">
        <v>17</v>
      </c>
      <c r="C4" s="2" t="s">
        <v>18</v>
      </c>
    </row>
    <row r="5" spans="2:3" ht="12.75">
      <c r="B5" s="2" t="s">
        <v>19</v>
      </c>
      <c r="C5" s="2" t="s">
        <v>20</v>
      </c>
    </row>
    <row r="6" ht="12.75">
      <c r="B6" s="2" t="s">
        <v>21</v>
      </c>
    </row>
    <row r="7" spans="2:3" ht="12.75">
      <c r="B7" s="2" t="s">
        <v>131</v>
      </c>
      <c r="C7" s="2" t="s">
        <v>22</v>
      </c>
    </row>
    <row r="8" spans="2:3" ht="12.75">
      <c r="B8" s="2" t="s">
        <v>132</v>
      </c>
      <c r="C8" s="2" t="s">
        <v>23</v>
      </c>
    </row>
    <row r="9" spans="2:3" ht="12.75">
      <c r="B9" s="2" t="s">
        <v>24</v>
      </c>
      <c r="C9" s="2" t="s">
        <v>25</v>
      </c>
    </row>
    <row r="10" spans="2:3" ht="12.75">
      <c r="B10" s="2" t="s">
        <v>26</v>
      </c>
      <c r="C10" s="2" t="s">
        <v>28</v>
      </c>
    </row>
    <row r="11" spans="2:3" ht="12.75">
      <c r="B11" s="2" t="s">
        <v>174</v>
      </c>
      <c r="C11" s="3">
        <v>0</v>
      </c>
    </row>
    <row r="12" spans="2:3" s="29" customFormat="1" ht="12.75">
      <c r="B12" s="29" t="s">
        <v>177</v>
      </c>
      <c r="C12" s="29" t="s">
        <v>172</v>
      </c>
    </row>
    <row r="13" spans="2:3" s="29" customFormat="1" ht="12.75">
      <c r="B13" s="29" t="s">
        <v>180</v>
      </c>
      <c r="C13" s="29" t="s">
        <v>178</v>
      </c>
    </row>
    <row r="14" spans="2:3" ht="38.25">
      <c r="B14" s="30" t="s">
        <v>27</v>
      </c>
      <c r="C14" s="29" t="s">
        <v>171</v>
      </c>
    </row>
    <row r="15" spans="2:3" ht="12.75">
      <c r="B15" s="30" t="s">
        <v>125</v>
      </c>
      <c r="C15" s="32">
        <v>300</v>
      </c>
    </row>
    <row r="16" ht="12.75">
      <c r="B16" s="2" t="s">
        <v>133</v>
      </c>
    </row>
    <row r="17" spans="2:3" ht="12.75">
      <c r="B17" s="2" t="s">
        <v>175</v>
      </c>
      <c r="C17" s="2" t="s">
        <v>28</v>
      </c>
    </row>
    <row r="18" ht="12.75">
      <c r="B18" s="2" t="s">
        <v>176</v>
      </c>
    </row>
    <row r="19" spans="2:3" ht="12.75">
      <c r="B19" s="2" t="s">
        <v>29</v>
      </c>
      <c r="C19" s="2" t="s">
        <v>30</v>
      </c>
    </row>
    <row r="20" spans="2:3" ht="12.75">
      <c r="B20" s="2" t="s">
        <v>122</v>
      </c>
      <c r="C20" s="2" t="s">
        <v>114</v>
      </c>
    </row>
    <row r="21" spans="2:3" s="29" customFormat="1" ht="25.5">
      <c r="B21" s="29" t="s">
        <v>123</v>
      </c>
      <c r="C21" s="29" t="s">
        <v>31</v>
      </c>
    </row>
    <row r="22" spans="2:3" ht="12.75">
      <c r="B22" s="2" t="s">
        <v>124</v>
      </c>
      <c r="C22" s="2" t="s">
        <v>32</v>
      </c>
    </row>
    <row r="24" ht="12.75">
      <c r="B24" s="2" t="s">
        <v>33</v>
      </c>
    </row>
    <row r="25" spans="2:3" ht="12.75">
      <c r="B25" s="2" t="s">
        <v>134</v>
      </c>
      <c r="C25" s="4">
        <f>95.375/12</f>
        <v>7.947916666666667</v>
      </c>
    </row>
    <row r="26" spans="2:3" ht="12.75">
      <c r="B26" s="2" t="s">
        <v>135</v>
      </c>
      <c r="C26" s="5">
        <v>60</v>
      </c>
    </row>
    <row r="27" spans="2:3" ht="12.75">
      <c r="B27" s="2" t="s">
        <v>136</v>
      </c>
      <c r="C27" s="6">
        <f>12/0.3048</f>
        <v>39.37007874015748</v>
      </c>
    </row>
    <row r="28" spans="2:3" ht="12.75">
      <c r="B28" s="2" t="s">
        <v>137</v>
      </c>
      <c r="C28" s="3">
        <v>400</v>
      </c>
    </row>
    <row r="29" ht="12.75">
      <c r="C29" s="6"/>
    </row>
    <row r="30" ht="12.75">
      <c r="B30" s="2" t="s">
        <v>112</v>
      </c>
    </row>
    <row r="31" s="34" customFormat="1" ht="25.5">
      <c r="B31" s="34" t="s">
        <v>164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1.28125" style="2" customWidth="1"/>
    <col min="3" max="3" width="61.140625" style="2" customWidth="1"/>
    <col min="4" max="16384" width="9.140625" style="2" customWidth="1"/>
  </cols>
  <sheetData>
    <row r="1" ht="12.75">
      <c r="B1" s="1" t="s">
        <v>173</v>
      </c>
    </row>
    <row r="3" ht="12.75">
      <c r="B3" s="33" t="s">
        <v>54</v>
      </c>
    </row>
    <row r="4" ht="12.75">
      <c r="B4" s="33"/>
    </row>
    <row r="5" spans="2:3" ht="12.75">
      <c r="B5" s="2" t="s">
        <v>34</v>
      </c>
      <c r="C5" s="2" t="s">
        <v>35</v>
      </c>
    </row>
    <row r="6" spans="2:3" ht="12.75">
      <c r="B6" s="2" t="s">
        <v>36</v>
      </c>
      <c r="C6" s="2" t="s">
        <v>37</v>
      </c>
    </row>
    <row r="7" spans="2:3" ht="12.75">
      <c r="B7" s="2" t="s">
        <v>38</v>
      </c>
      <c r="C7" s="2" t="s">
        <v>39</v>
      </c>
    </row>
    <row r="8" spans="2:3" ht="12.75">
      <c r="B8" s="2" t="s">
        <v>40</v>
      </c>
      <c r="C8" s="7" t="s">
        <v>41</v>
      </c>
    </row>
    <row r="9" spans="2:3" ht="12.75">
      <c r="B9" s="2" t="s">
        <v>170</v>
      </c>
      <c r="C9" s="40">
        <v>34000</v>
      </c>
    </row>
    <row r="10" spans="2:3" ht="12.75">
      <c r="B10" s="2" t="s">
        <v>130</v>
      </c>
      <c r="C10" s="2" t="s">
        <v>42</v>
      </c>
    </row>
    <row r="11" spans="2:3" ht="12.75">
      <c r="B11" s="2" t="s">
        <v>43</v>
      </c>
      <c r="C11" s="2" t="s">
        <v>44</v>
      </c>
    </row>
    <row r="13" ht="12.75">
      <c r="B13" s="33" t="s">
        <v>62</v>
      </c>
    </row>
    <row r="14" ht="12.75">
      <c r="B14" s="33"/>
    </row>
    <row r="15" spans="2:3" ht="12.75">
      <c r="B15" s="2" t="s">
        <v>34</v>
      </c>
      <c r="C15" s="2" t="s">
        <v>35</v>
      </c>
    </row>
    <row r="16" spans="2:3" ht="12.75">
      <c r="B16" s="2" t="s">
        <v>36</v>
      </c>
      <c r="C16" s="2" t="s">
        <v>37</v>
      </c>
    </row>
    <row r="17" spans="2:3" ht="12.75">
      <c r="B17" s="2" t="s">
        <v>38</v>
      </c>
      <c r="C17" s="2" t="s">
        <v>39</v>
      </c>
    </row>
    <row r="18" spans="2:3" ht="12.75">
      <c r="B18" s="2" t="s">
        <v>40</v>
      </c>
      <c r="C18" s="7" t="s">
        <v>45</v>
      </c>
    </row>
    <row r="19" spans="2:3" ht="12.75">
      <c r="B19" s="2" t="s">
        <v>170</v>
      </c>
      <c r="C19" s="40">
        <v>34000</v>
      </c>
    </row>
    <row r="20" spans="2:3" ht="12.75">
      <c r="B20" s="2" t="s">
        <v>130</v>
      </c>
      <c r="C20" s="2" t="s">
        <v>42</v>
      </c>
    </row>
    <row r="21" spans="2:3" ht="12.75">
      <c r="B21" s="2" t="s">
        <v>43</v>
      </c>
      <c r="C21" s="2" t="s">
        <v>44</v>
      </c>
    </row>
    <row r="23" ht="12.75">
      <c r="B23" s="33" t="s">
        <v>63</v>
      </c>
    </row>
    <row r="24" ht="12.75">
      <c r="B24" s="33"/>
    </row>
    <row r="25" spans="2:3" ht="12.75">
      <c r="B25" s="2" t="s">
        <v>34</v>
      </c>
      <c r="C25" s="2" t="s">
        <v>35</v>
      </c>
    </row>
    <row r="26" spans="2:3" ht="12.75">
      <c r="B26" s="2" t="s">
        <v>36</v>
      </c>
      <c r="C26" s="2" t="s">
        <v>37</v>
      </c>
    </row>
    <row r="27" spans="2:3" ht="12.75">
      <c r="B27" s="2" t="s">
        <v>38</v>
      </c>
      <c r="C27" s="2" t="s">
        <v>39</v>
      </c>
    </row>
    <row r="28" spans="2:3" ht="12.75">
      <c r="B28" s="2" t="s">
        <v>40</v>
      </c>
      <c r="C28" s="7" t="s">
        <v>46</v>
      </c>
    </row>
    <row r="29" spans="2:3" ht="12.75">
      <c r="B29" s="2" t="s">
        <v>170</v>
      </c>
      <c r="C29" s="40">
        <v>34273</v>
      </c>
    </row>
    <row r="30" spans="2:3" ht="12.75">
      <c r="B30" s="2" t="s">
        <v>130</v>
      </c>
      <c r="C30" s="2" t="s">
        <v>42</v>
      </c>
    </row>
    <row r="31" spans="2:3" ht="12.75">
      <c r="B31" s="2" t="s">
        <v>43</v>
      </c>
      <c r="C31" s="2" t="s">
        <v>44</v>
      </c>
    </row>
    <row r="33" ht="12.75">
      <c r="B33" s="33" t="s">
        <v>115</v>
      </c>
    </row>
    <row r="35" spans="2:3" ht="12.75">
      <c r="B35" s="2" t="s">
        <v>34</v>
      </c>
      <c r="C35" s="2" t="s">
        <v>47</v>
      </c>
    </row>
    <row r="36" spans="2:3" ht="12.75">
      <c r="B36" s="2" t="s">
        <v>36</v>
      </c>
      <c r="C36" s="8" t="s">
        <v>48</v>
      </c>
    </row>
    <row r="37" spans="2:3" ht="12.75">
      <c r="B37" s="2" t="s">
        <v>38</v>
      </c>
      <c r="C37" s="2" t="s">
        <v>39</v>
      </c>
    </row>
    <row r="38" spans="2:3" ht="12.75">
      <c r="B38" s="2" t="s">
        <v>40</v>
      </c>
      <c r="C38" s="2" t="s">
        <v>49</v>
      </c>
    </row>
    <row r="39" spans="2:3" ht="12.75">
      <c r="B39" s="2" t="s">
        <v>170</v>
      </c>
      <c r="C39" s="40">
        <v>34000</v>
      </c>
    </row>
    <row r="40" spans="2:3" ht="12.75">
      <c r="B40" s="2" t="s">
        <v>130</v>
      </c>
      <c r="C40" s="7" t="s">
        <v>113</v>
      </c>
    </row>
    <row r="41" spans="2:3" ht="12.75">
      <c r="B41" s="2" t="s">
        <v>43</v>
      </c>
      <c r="C41" s="2" t="s">
        <v>50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="75" zoomScaleNormal="75" workbookViewId="0" topLeftCell="A51">
      <selection activeCell="B2" sqref="B2"/>
    </sheetView>
  </sheetViews>
  <sheetFormatPr defaultColWidth="9.140625" defaultRowHeight="12.75"/>
  <cols>
    <col min="1" max="1" width="0.13671875" style="2" customWidth="1"/>
    <col min="2" max="2" width="18.421875" style="2" customWidth="1"/>
    <col min="3" max="3" width="11.421875" style="2" customWidth="1"/>
    <col min="4" max="4" width="9.140625" style="2" customWidth="1"/>
    <col min="5" max="5" width="6.00390625" style="2" customWidth="1"/>
    <col min="6" max="6" width="2.421875" style="2" customWidth="1"/>
    <col min="7" max="7" width="9.8515625" style="2" customWidth="1"/>
    <col min="8" max="8" width="2.28125" style="2" customWidth="1"/>
    <col min="9" max="9" width="9.421875" style="2" customWidth="1"/>
    <col min="10" max="10" width="2.7109375" style="2" customWidth="1"/>
    <col min="11" max="11" width="9.28125" style="2" customWidth="1"/>
    <col min="12" max="12" width="2.42187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3" spans="3:15" ht="12.75">
      <c r="C3" s="2" t="s">
        <v>138</v>
      </c>
      <c r="D3" s="2" t="s">
        <v>51</v>
      </c>
      <c r="E3" s="2" t="s">
        <v>120</v>
      </c>
      <c r="G3" s="9"/>
      <c r="H3" s="9"/>
      <c r="I3" s="9"/>
      <c r="J3" s="9"/>
      <c r="K3" s="9"/>
      <c r="L3" s="10"/>
      <c r="M3" s="9"/>
      <c r="O3" s="9"/>
    </row>
    <row r="4" spans="7:12" ht="12.75">
      <c r="G4" s="9"/>
      <c r="H4" s="9"/>
      <c r="I4" s="9"/>
      <c r="J4" s="9"/>
      <c r="K4" s="9"/>
      <c r="L4" s="9"/>
    </row>
    <row r="5" spans="7:12" ht="12.75">
      <c r="G5" s="9"/>
      <c r="H5" s="9"/>
      <c r="I5" s="9"/>
      <c r="J5" s="9"/>
      <c r="K5" s="9"/>
      <c r="L5" s="9"/>
    </row>
    <row r="6" spans="1:13" ht="12.75">
      <c r="A6" s="2">
        <v>10</v>
      </c>
      <c r="B6" s="1" t="s">
        <v>54</v>
      </c>
      <c r="C6" s="1"/>
      <c r="G6" s="9" t="s">
        <v>165</v>
      </c>
      <c r="H6" s="9"/>
      <c r="I6" s="9" t="s">
        <v>166</v>
      </c>
      <c r="J6" s="9"/>
      <c r="K6" s="9" t="s">
        <v>167</v>
      </c>
      <c r="L6" s="9"/>
      <c r="M6" s="9" t="s">
        <v>53</v>
      </c>
    </row>
    <row r="7" spans="2:12" ht="12.75" customHeight="1">
      <c r="B7" s="1"/>
      <c r="C7" s="1"/>
      <c r="G7" s="9"/>
      <c r="H7" s="9"/>
      <c r="I7" s="9"/>
      <c r="J7" s="9"/>
      <c r="K7" s="9"/>
      <c r="L7" s="9"/>
    </row>
    <row r="8" spans="2:13" ht="12.75">
      <c r="B8" s="2" t="s">
        <v>2</v>
      </c>
      <c r="C8" s="2" t="s">
        <v>179</v>
      </c>
      <c r="D8" s="2" t="s">
        <v>10</v>
      </c>
      <c r="E8" s="2" t="s">
        <v>55</v>
      </c>
      <c r="G8" s="2">
        <v>0.0004</v>
      </c>
      <c r="I8" s="2">
        <v>0.0004</v>
      </c>
      <c r="K8" s="2">
        <v>0.0004</v>
      </c>
      <c r="M8" s="2">
        <f>AVERAGE(G8,I8,K8)</f>
        <v>0.0004</v>
      </c>
    </row>
    <row r="9" spans="2:13" ht="12.75">
      <c r="B9" s="2" t="s">
        <v>147</v>
      </c>
      <c r="C9" s="2" t="s">
        <v>179</v>
      </c>
      <c r="D9" s="2" t="s">
        <v>11</v>
      </c>
      <c r="E9" s="2" t="s">
        <v>55</v>
      </c>
      <c r="G9" s="2">
        <v>2.7</v>
      </c>
      <c r="I9" s="2">
        <v>2.4</v>
      </c>
      <c r="K9" s="2">
        <v>2.4</v>
      </c>
      <c r="M9" s="2">
        <f>AVERAGE(G9,I9,K9)</f>
        <v>2.5</v>
      </c>
    </row>
    <row r="10" spans="2:11" ht="12.75">
      <c r="B10" s="2" t="s">
        <v>3</v>
      </c>
      <c r="D10" s="2" t="s">
        <v>11</v>
      </c>
      <c r="E10" s="2" t="s">
        <v>56</v>
      </c>
      <c r="G10" s="2">
        <v>0.01</v>
      </c>
      <c r="I10" s="2">
        <v>0.01</v>
      </c>
      <c r="K10" s="2">
        <v>0.01</v>
      </c>
    </row>
    <row r="11" spans="2:11" ht="12.75">
      <c r="B11" s="2" t="s">
        <v>4</v>
      </c>
      <c r="D11" s="2" t="s">
        <v>11</v>
      </c>
      <c r="E11" s="2" t="s">
        <v>56</v>
      </c>
      <c r="G11" s="11" t="s">
        <v>57</v>
      </c>
      <c r="I11" s="11" t="s">
        <v>57</v>
      </c>
      <c r="K11" s="11" t="s">
        <v>57</v>
      </c>
    </row>
    <row r="12" ht="12.75" customHeight="1"/>
    <row r="13" spans="2:4" ht="12" customHeight="1">
      <c r="B13" s="2" t="s">
        <v>148</v>
      </c>
      <c r="C13" s="2" t="s">
        <v>139</v>
      </c>
      <c r="D13" s="2" t="s">
        <v>179</v>
      </c>
    </row>
    <row r="14" spans="2:13" ht="12.75">
      <c r="B14" s="2" t="s">
        <v>58</v>
      </c>
      <c r="D14" s="2" t="s">
        <v>14</v>
      </c>
      <c r="G14" s="2">
        <v>64133</v>
      </c>
      <c r="I14" s="2">
        <v>60632</v>
      </c>
      <c r="K14" s="2">
        <v>63046</v>
      </c>
      <c r="M14" s="12">
        <f>AVERAGE(G14,I14,K14)</f>
        <v>62603.666666666664</v>
      </c>
    </row>
    <row r="15" spans="2:13" ht="12.75">
      <c r="B15" s="2" t="s">
        <v>141</v>
      </c>
      <c r="D15" s="2" t="s">
        <v>15</v>
      </c>
      <c r="G15" s="2">
        <v>8.6</v>
      </c>
      <c r="I15" s="2">
        <v>8.6</v>
      </c>
      <c r="K15" s="2">
        <v>8.6</v>
      </c>
      <c r="M15" s="2">
        <f>AVERAGE(G15,I15,K15)</f>
        <v>8.6</v>
      </c>
    </row>
    <row r="16" spans="2:13" ht="12.75">
      <c r="B16" s="2" t="s">
        <v>142</v>
      </c>
      <c r="D16" s="2" t="s">
        <v>15</v>
      </c>
      <c r="G16" s="2">
        <v>12.5</v>
      </c>
      <c r="I16" s="2">
        <v>12.8</v>
      </c>
      <c r="K16" s="2">
        <v>12.7</v>
      </c>
      <c r="M16" s="12">
        <f>AVERAGE(G16,I16,K16)</f>
        <v>12.666666666666666</v>
      </c>
    </row>
    <row r="17" spans="2:13" ht="12.75">
      <c r="B17" s="2" t="s">
        <v>59</v>
      </c>
      <c r="D17" s="2" t="s">
        <v>16</v>
      </c>
      <c r="G17" s="2">
        <f>(482-273)*1.8+32</f>
        <v>408.2</v>
      </c>
      <c r="I17" s="2">
        <f>(482-273)*1.8+32</f>
        <v>408.2</v>
      </c>
      <c r="K17" s="2">
        <f>(482-273)*1.8+32</f>
        <v>408.2</v>
      </c>
      <c r="M17" s="2">
        <f>AVERAGE(G17,I17,K17)</f>
        <v>408.2</v>
      </c>
    </row>
    <row r="19" spans="2:13" ht="12.75">
      <c r="B19" s="2" t="s">
        <v>3</v>
      </c>
      <c r="C19" s="2" t="s">
        <v>179</v>
      </c>
      <c r="D19" s="2" t="s">
        <v>11</v>
      </c>
      <c r="E19" s="2" t="s">
        <v>55</v>
      </c>
      <c r="G19" s="13">
        <f>G10*(21-7)/(21-G15)</f>
        <v>0.011290322580645162</v>
      </c>
      <c r="I19" s="13">
        <f>I10*(21-7)/(21-I15)</f>
        <v>0.011290322580645162</v>
      </c>
      <c r="K19" s="13">
        <f>K10*(21-7)/(21-K15)</f>
        <v>0.011290322580645162</v>
      </c>
      <c r="M19" s="13">
        <f>AVERAGE(G19,I19,K19)</f>
        <v>0.011290322580645162</v>
      </c>
    </row>
    <row r="20" spans="2:13" ht="12.75">
      <c r="B20" s="2" t="s">
        <v>4</v>
      </c>
      <c r="C20" s="2" t="s">
        <v>179</v>
      </c>
      <c r="D20" s="2" t="s">
        <v>11</v>
      </c>
      <c r="E20" s="2" t="s">
        <v>55</v>
      </c>
      <c r="G20" s="13">
        <v>0</v>
      </c>
      <c r="I20" s="13">
        <v>0</v>
      </c>
      <c r="K20" s="13">
        <v>0</v>
      </c>
      <c r="M20" s="13">
        <f>AVERAGE(G20,I20,K20)</f>
        <v>0</v>
      </c>
    </row>
    <row r="21" spans="2:13" ht="12.75">
      <c r="B21" s="2" t="s">
        <v>146</v>
      </c>
      <c r="C21" s="2" t="s">
        <v>179</v>
      </c>
      <c r="D21" s="2" t="s">
        <v>11</v>
      </c>
      <c r="E21" s="2" t="s">
        <v>55</v>
      </c>
      <c r="G21" s="13">
        <f>G19</f>
        <v>0.011290322580645162</v>
      </c>
      <c r="I21" s="13">
        <f>I19</f>
        <v>0.011290322580645162</v>
      </c>
      <c r="K21" s="13">
        <f>K19</f>
        <v>0.011290322580645162</v>
      </c>
      <c r="M21" s="13">
        <f>AVERAGE(G21,I21,K21)</f>
        <v>0.011290322580645162</v>
      </c>
    </row>
    <row r="23" spans="2:3" ht="12.75">
      <c r="B23" s="2" t="s">
        <v>60</v>
      </c>
      <c r="C23" s="2" t="s">
        <v>143</v>
      </c>
    </row>
    <row r="24" spans="2:11" ht="12.75">
      <c r="B24" s="2" t="s">
        <v>145</v>
      </c>
      <c r="D24" s="2" t="s">
        <v>61</v>
      </c>
      <c r="G24" s="2">
        <v>659</v>
      </c>
      <c r="I24" s="2">
        <v>645</v>
      </c>
      <c r="K24" s="2">
        <v>678</v>
      </c>
    </row>
    <row r="25" spans="2:11" ht="12.75">
      <c r="B25" s="2" t="s">
        <v>144</v>
      </c>
      <c r="G25" s="2">
        <f>(100-G26)/100*G24</f>
        <v>0.0026359999999938564</v>
      </c>
      <c r="I25" s="2">
        <f>(100-I26)/100*I24</f>
        <v>0.0032250000000153987</v>
      </c>
      <c r="K25" s="2">
        <f>(100-K26)/100*K24</f>
        <v>0.004068000000038694</v>
      </c>
    </row>
    <row r="26" spans="2:11" ht="12.75">
      <c r="B26" s="2" t="s">
        <v>7</v>
      </c>
      <c r="C26" s="2" t="s">
        <v>179</v>
      </c>
      <c r="D26" s="2" t="s">
        <v>15</v>
      </c>
      <c r="G26" s="2">
        <v>99.9996</v>
      </c>
      <c r="I26" s="2">
        <v>99.9995</v>
      </c>
      <c r="K26" s="2">
        <v>99.9994</v>
      </c>
    </row>
    <row r="29" spans="1:13" ht="12.75">
      <c r="A29" s="2">
        <v>11</v>
      </c>
      <c r="B29" s="1" t="s">
        <v>62</v>
      </c>
      <c r="C29" s="1"/>
      <c r="G29" s="9" t="s">
        <v>165</v>
      </c>
      <c r="H29" s="9"/>
      <c r="I29" s="9" t="s">
        <v>166</v>
      </c>
      <c r="J29" s="9"/>
      <c r="K29" s="9" t="s">
        <v>167</v>
      </c>
      <c r="L29" s="9"/>
      <c r="M29" s="2" t="s">
        <v>53</v>
      </c>
    </row>
    <row r="30" spans="2:12" ht="12.75" customHeight="1">
      <c r="B30" s="1"/>
      <c r="C30" s="1"/>
      <c r="G30" s="9"/>
      <c r="H30" s="9"/>
      <c r="I30" s="9"/>
      <c r="J30" s="9"/>
      <c r="K30" s="9"/>
      <c r="L30" s="9"/>
    </row>
    <row r="31" spans="2:13" ht="12.75">
      <c r="B31" s="2" t="s">
        <v>2</v>
      </c>
      <c r="C31" s="2" t="s">
        <v>179</v>
      </c>
      <c r="D31" s="2" t="s">
        <v>10</v>
      </c>
      <c r="E31" s="2" t="s">
        <v>55</v>
      </c>
      <c r="G31" s="2">
        <v>0.0008</v>
      </c>
      <c r="I31" s="2">
        <v>0.0007</v>
      </c>
      <c r="K31" s="2">
        <v>0.001</v>
      </c>
      <c r="M31" s="14">
        <f>AVERAGE(G31,I31,K31)</f>
        <v>0.0008333333333333334</v>
      </c>
    </row>
    <row r="32" spans="2:13" ht="12.75">
      <c r="B32" s="2" t="s">
        <v>147</v>
      </c>
      <c r="C32" s="2" t="s">
        <v>179</v>
      </c>
      <c r="D32" s="2" t="s">
        <v>11</v>
      </c>
      <c r="E32" s="2" t="s">
        <v>55</v>
      </c>
      <c r="G32" s="2">
        <v>9.7</v>
      </c>
      <c r="I32" s="2">
        <v>9.1</v>
      </c>
      <c r="K32" s="2">
        <v>8.6</v>
      </c>
      <c r="M32" s="12">
        <f>AVERAGE(G32,I32,K32)</f>
        <v>9.133333333333333</v>
      </c>
    </row>
    <row r="33" spans="2:11" ht="12.75">
      <c r="B33" s="2" t="s">
        <v>3</v>
      </c>
      <c r="D33" s="2" t="s">
        <v>11</v>
      </c>
      <c r="E33" s="2" t="s">
        <v>56</v>
      </c>
      <c r="G33" s="2">
        <v>0.01</v>
      </c>
      <c r="I33" s="2">
        <v>0.02</v>
      </c>
      <c r="K33" s="2">
        <v>0.01</v>
      </c>
    </row>
    <row r="34" spans="2:11" ht="12.75">
      <c r="B34" s="2" t="s">
        <v>4</v>
      </c>
      <c r="D34" s="2" t="s">
        <v>11</v>
      </c>
      <c r="E34" s="2" t="s">
        <v>56</v>
      </c>
      <c r="G34" s="11" t="s">
        <v>57</v>
      </c>
      <c r="H34" s="11"/>
      <c r="I34" s="11" t="s">
        <v>57</v>
      </c>
      <c r="J34" s="11"/>
      <c r="K34" s="11" t="s">
        <v>57</v>
      </c>
    </row>
    <row r="35" ht="12.75" customHeight="1"/>
    <row r="36" spans="2:4" ht="12" customHeight="1">
      <c r="B36" s="2" t="s">
        <v>148</v>
      </c>
      <c r="C36" s="2" t="s">
        <v>139</v>
      </c>
      <c r="D36" s="2" t="s">
        <v>179</v>
      </c>
    </row>
    <row r="37" spans="2:13" ht="12.75">
      <c r="B37" s="2" t="s">
        <v>58</v>
      </c>
      <c r="D37" s="2" t="s">
        <v>14</v>
      </c>
      <c r="G37" s="2">
        <v>62491</v>
      </c>
      <c r="I37" s="2">
        <v>64242</v>
      </c>
      <c r="K37" s="2">
        <v>64152</v>
      </c>
      <c r="M37" s="12">
        <f>AVERAGE(G37,I37,K37)</f>
        <v>63628.333333333336</v>
      </c>
    </row>
    <row r="38" spans="2:13" ht="12.75">
      <c r="B38" s="2" t="s">
        <v>141</v>
      </c>
      <c r="D38" s="2" t="s">
        <v>15</v>
      </c>
      <c r="G38" s="2">
        <v>6.8</v>
      </c>
      <c r="I38" s="2">
        <v>6.9</v>
      </c>
      <c r="K38" s="2">
        <v>6.7</v>
      </c>
      <c r="M38" s="2">
        <f>AVERAGE(G38,I38,K38)</f>
        <v>6.8</v>
      </c>
    </row>
    <row r="39" spans="2:13" ht="12.75">
      <c r="B39" s="2" t="s">
        <v>142</v>
      </c>
      <c r="D39" s="2" t="s">
        <v>15</v>
      </c>
      <c r="G39" s="2">
        <v>13.75</v>
      </c>
      <c r="I39" s="2">
        <v>13.96</v>
      </c>
      <c r="K39" s="2">
        <v>14.02</v>
      </c>
      <c r="M39" s="12">
        <f>AVERAGE(G39,I39,K39)</f>
        <v>13.910000000000002</v>
      </c>
    </row>
    <row r="40" spans="2:13" ht="12.75">
      <c r="B40" s="2" t="s">
        <v>59</v>
      </c>
      <c r="D40" s="2" t="s">
        <v>16</v>
      </c>
      <c r="G40" s="2">
        <f>(486-273)*1.8+32</f>
        <v>415.40000000000003</v>
      </c>
      <c r="I40" s="2">
        <f>(485-273)*1.8+32</f>
        <v>413.6</v>
      </c>
      <c r="K40" s="2">
        <f>(484-273)*1.8+32</f>
        <v>411.8</v>
      </c>
      <c r="M40" s="2">
        <f>AVERAGE(G40,I40,K40)</f>
        <v>413.59999999999997</v>
      </c>
    </row>
    <row r="42" spans="2:13" ht="12.75">
      <c r="B42" s="2" t="s">
        <v>3</v>
      </c>
      <c r="C42" s="2" t="s">
        <v>179</v>
      </c>
      <c r="D42" s="2" t="s">
        <v>11</v>
      </c>
      <c r="E42" s="2" t="s">
        <v>55</v>
      </c>
      <c r="G42" s="13">
        <f>G33*(21-7)/(21-G38)</f>
        <v>0.009859154929577466</v>
      </c>
      <c r="I42" s="13">
        <f>I33*(21-7)/(21-I38)</f>
        <v>0.019858156028368795</v>
      </c>
      <c r="K42" s="13">
        <f>K33*(21-7)/(21-K38)</f>
        <v>0.009790209790209791</v>
      </c>
      <c r="M42" s="13">
        <f>AVERAGE(G42,I42,K42)</f>
        <v>0.013169173582718685</v>
      </c>
    </row>
    <row r="43" spans="2:13" ht="12.75">
      <c r="B43" s="2" t="s">
        <v>4</v>
      </c>
      <c r="C43" s="2" t="s">
        <v>179</v>
      </c>
      <c r="D43" s="2" t="s">
        <v>11</v>
      </c>
      <c r="E43" s="2" t="s">
        <v>55</v>
      </c>
      <c r="G43" s="13">
        <v>0</v>
      </c>
      <c r="I43" s="13">
        <v>0</v>
      </c>
      <c r="K43" s="13">
        <v>0</v>
      </c>
      <c r="M43" s="13">
        <f>AVERAGE(G43,I43,K43)</f>
        <v>0</v>
      </c>
    </row>
    <row r="44" spans="2:13" ht="12.75">
      <c r="B44" s="2" t="s">
        <v>146</v>
      </c>
      <c r="C44" s="2" t="s">
        <v>179</v>
      </c>
      <c r="D44" s="2" t="s">
        <v>11</v>
      </c>
      <c r="E44" s="2" t="s">
        <v>55</v>
      </c>
      <c r="G44" s="13">
        <f>G42</f>
        <v>0.009859154929577466</v>
      </c>
      <c r="I44" s="13">
        <f>I42</f>
        <v>0.019858156028368795</v>
      </c>
      <c r="K44" s="13">
        <f>K42</f>
        <v>0.009790209790209791</v>
      </c>
      <c r="M44" s="13">
        <f>AVERAGE(G44,I44,K44)</f>
        <v>0.013169173582718685</v>
      </c>
    </row>
    <row r="46" spans="2:3" ht="12.75">
      <c r="B46" s="2" t="s">
        <v>60</v>
      </c>
      <c r="C46" s="2" t="s">
        <v>143</v>
      </c>
    </row>
    <row r="47" spans="2:11" ht="12.75">
      <c r="B47" s="2" t="s">
        <v>145</v>
      </c>
      <c r="D47" s="2" t="s">
        <v>61</v>
      </c>
      <c r="G47" s="2">
        <v>665</v>
      </c>
      <c r="I47" s="2">
        <v>659</v>
      </c>
      <c r="K47" s="2">
        <v>676</v>
      </c>
    </row>
    <row r="48" spans="2:11" ht="12.75">
      <c r="B48" s="2" t="s">
        <v>144</v>
      </c>
      <c r="D48" s="2" t="s">
        <v>61</v>
      </c>
      <c r="G48" s="2">
        <f>(100-G49)/100*G47</f>
        <v>0.0010639999999597196</v>
      </c>
      <c r="I48" s="2">
        <f>(100-I49)/100*I47</f>
        <v>0.0006590000000218766</v>
      </c>
      <c r="K48" s="2">
        <f>(100-K49)/100*K47</f>
        <v>0.000743600000043898</v>
      </c>
    </row>
    <row r="49" spans="2:11" ht="12.75">
      <c r="B49" s="2" t="s">
        <v>7</v>
      </c>
      <c r="C49" s="2" t="s">
        <v>179</v>
      </c>
      <c r="D49" s="2" t="s">
        <v>15</v>
      </c>
      <c r="G49" s="2">
        <v>99.99984</v>
      </c>
      <c r="I49" s="2">
        <v>99.9999</v>
      </c>
      <c r="K49" s="2">
        <v>99.99989</v>
      </c>
    </row>
    <row r="52" spans="1:13" ht="12.75">
      <c r="A52" s="2">
        <v>12</v>
      </c>
      <c r="B52" s="1" t="s">
        <v>63</v>
      </c>
      <c r="C52" s="1"/>
      <c r="G52" s="9" t="s">
        <v>165</v>
      </c>
      <c r="H52" s="9"/>
      <c r="I52" s="9" t="s">
        <v>166</v>
      </c>
      <c r="J52" s="9"/>
      <c r="K52" s="9" t="s">
        <v>167</v>
      </c>
      <c r="L52" s="9"/>
      <c r="M52" s="9" t="s">
        <v>53</v>
      </c>
    </row>
    <row r="53" spans="2:12" ht="12.75" customHeight="1">
      <c r="B53" s="1"/>
      <c r="C53" s="1"/>
      <c r="L53" s="9"/>
    </row>
    <row r="54" spans="2:13" ht="12.75">
      <c r="B54" s="2" t="s">
        <v>2</v>
      </c>
      <c r="C54" s="2" t="s">
        <v>179</v>
      </c>
      <c r="D54" s="2" t="s">
        <v>10</v>
      </c>
      <c r="E54" s="2" t="s">
        <v>55</v>
      </c>
      <c r="G54" s="2">
        <v>0.0003</v>
      </c>
      <c r="I54" s="2">
        <v>0.0003</v>
      </c>
      <c r="K54" s="2">
        <v>0.0004</v>
      </c>
      <c r="M54" s="14">
        <f>AVERAGE(G54,I54,K54)</f>
        <v>0.0003333333333333333</v>
      </c>
    </row>
    <row r="55" spans="2:13" ht="12.75">
      <c r="B55" s="2" t="s">
        <v>147</v>
      </c>
      <c r="C55" s="2" t="s">
        <v>179</v>
      </c>
      <c r="D55" s="2" t="s">
        <v>11</v>
      </c>
      <c r="E55" s="2" t="s">
        <v>55</v>
      </c>
      <c r="G55" s="2">
        <v>0.1</v>
      </c>
      <c r="I55" s="2">
        <v>0</v>
      </c>
      <c r="K55" s="2">
        <v>0</v>
      </c>
      <c r="M55" s="15">
        <f>AVERAGE(G55,I55,K55)</f>
        <v>0.03333333333333333</v>
      </c>
    </row>
    <row r="56" spans="2:11" ht="12.75">
      <c r="B56" s="2" t="s">
        <v>3</v>
      </c>
      <c r="D56" s="2" t="s">
        <v>11</v>
      </c>
      <c r="E56" s="2" t="s">
        <v>56</v>
      </c>
      <c r="F56" s="2" t="s">
        <v>57</v>
      </c>
      <c r="G56" s="2">
        <v>0.01</v>
      </c>
      <c r="I56" s="2">
        <v>0.02</v>
      </c>
      <c r="K56" s="2">
        <v>0.01</v>
      </c>
    </row>
    <row r="57" spans="2:11" ht="12.75">
      <c r="B57" s="2" t="s">
        <v>4</v>
      </c>
      <c r="D57" s="2" t="s">
        <v>11</v>
      </c>
      <c r="E57" s="2" t="s">
        <v>56</v>
      </c>
      <c r="G57" s="11" t="s">
        <v>57</v>
      </c>
      <c r="H57" s="11"/>
      <c r="I57" s="11" t="s">
        <v>57</v>
      </c>
      <c r="J57" s="11"/>
      <c r="K57" s="11" t="s">
        <v>57</v>
      </c>
    </row>
    <row r="58" ht="12.75" customHeight="1"/>
    <row r="59" ht="12.75" customHeight="1"/>
    <row r="60" spans="2:4" ht="12" customHeight="1">
      <c r="B60" s="2" t="s">
        <v>148</v>
      </c>
      <c r="C60" s="2" t="s">
        <v>139</v>
      </c>
      <c r="D60" s="2" t="s">
        <v>179</v>
      </c>
    </row>
    <row r="61" spans="2:13" ht="12.75">
      <c r="B61" s="2" t="s">
        <v>58</v>
      </c>
      <c r="D61" s="2" t="s">
        <v>14</v>
      </c>
      <c r="G61" s="2">
        <v>32398</v>
      </c>
      <c r="I61" s="2">
        <v>31990</v>
      </c>
      <c r="K61" s="2">
        <v>32130</v>
      </c>
      <c r="M61" s="12">
        <f>AVERAGE(G61,I61,K61)</f>
        <v>32172.666666666668</v>
      </c>
    </row>
    <row r="62" spans="2:13" ht="12.75">
      <c r="B62" s="2" t="s">
        <v>141</v>
      </c>
      <c r="D62" s="2" t="s">
        <v>15</v>
      </c>
      <c r="G62" s="2">
        <v>7.9</v>
      </c>
      <c r="I62" s="2">
        <v>7.9</v>
      </c>
      <c r="K62" s="2">
        <v>7.9</v>
      </c>
      <c r="M62" s="12">
        <f>AVERAGE(G62,I62,K62)</f>
        <v>7.900000000000001</v>
      </c>
    </row>
    <row r="63" spans="2:13" ht="12.75">
      <c r="B63" s="2" t="s">
        <v>142</v>
      </c>
      <c r="D63" s="2" t="s">
        <v>15</v>
      </c>
      <c r="G63" s="2">
        <v>14.03</v>
      </c>
      <c r="I63" s="2">
        <v>13.88</v>
      </c>
      <c r="K63" s="2">
        <v>13.06</v>
      </c>
      <c r="M63" s="12">
        <f>AVERAGE(G63,I63,K63)</f>
        <v>13.656666666666666</v>
      </c>
    </row>
    <row r="64" spans="2:13" ht="12.75">
      <c r="B64" s="2" t="s">
        <v>59</v>
      </c>
      <c r="D64" s="2" t="s">
        <v>16</v>
      </c>
      <c r="G64" s="2">
        <f>(437-273)*1.8+32</f>
        <v>327.2</v>
      </c>
      <c r="I64" s="2">
        <f>(437-273)*1.8+32</f>
        <v>327.2</v>
      </c>
      <c r="K64" s="2">
        <f>(435-273)*1.8+32</f>
        <v>323.6</v>
      </c>
      <c r="M64" s="12">
        <f>AVERAGE(G64,I64,K64)</f>
        <v>326</v>
      </c>
    </row>
    <row r="66" spans="2:13" ht="12.75">
      <c r="B66" s="2" t="s">
        <v>3</v>
      </c>
      <c r="C66" s="2" t="s">
        <v>179</v>
      </c>
      <c r="D66" s="2" t="s">
        <v>11</v>
      </c>
      <c r="E66" s="2" t="s">
        <v>55</v>
      </c>
      <c r="G66" s="13">
        <f>G56*(21-7)/(21-G62)</f>
        <v>0.01068702290076336</v>
      </c>
      <c r="I66" s="13">
        <f>I56*(21-7)/(21-I62)</f>
        <v>0.02137404580152672</v>
      </c>
      <c r="K66" s="13">
        <f>K56*(21-7)/(21-K62)</f>
        <v>0.01068702290076336</v>
      </c>
      <c r="M66" s="13">
        <f>AVERAGE(G66,I66,K66)</f>
        <v>0.01424936386768448</v>
      </c>
    </row>
    <row r="67" spans="2:13" ht="12.75">
      <c r="B67" s="2" t="s">
        <v>146</v>
      </c>
      <c r="C67" s="2" t="s">
        <v>179</v>
      </c>
      <c r="D67" s="2" t="s">
        <v>11</v>
      </c>
      <c r="E67" s="2" t="s">
        <v>55</v>
      </c>
      <c r="G67" s="13">
        <f>G66</f>
        <v>0.01068702290076336</v>
      </c>
      <c r="I67" s="13">
        <f>I66</f>
        <v>0.02137404580152672</v>
      </c>
      <c r="K67" s="13">
        <f>K66</f>
        <v>0.01068702290076336</v>
      </c>
      <c r="M67" s="13">
        <f>AVERAGE(G67,I67,K67)</f>
        <v>0.01424936386768448</v>
      </c>
    </row>
    <row r="68" ht="12.75">
      <c r="C68" s="1"/>
    </row>
    <row r="69" spans="2:3" ht="12.75">
      <c r="B69" s="2" t="s">
        <v>60</v>
      </c>
      <c r="C69" s="2" t="s">
        <v>143</v>
      </c>
    </row>
    <row r="70" spans="2:11" ht="12.75">
      <c r="B70" s="2" t="s">
        <v>145</v>
      </c>
      <c r="D70" s="2" t="s">
        <v>61</v>
      </c>
      <c r="G70" s="2">
        <v>665.7</v>
      </c>
      <c r="I70" s="2">
        <v>678.5</v>
      </c>
      <c r="K70" s="2">
        <v>667.8</v>
      </c>
    </row>
    <row r="71" ht="12.75">
      <c r="B71" s="2" t="s">
        <v>144</v>
      </c>
    </row>
    <row r="72" spans="2:11" ht="12.75">
      <c r="B72" s="2" t="s">
        <v>7</v>
      </c>
      <c r="C72" s="2" t="s">
        <v>179</v>
      </c>
      <c r="D72" s="2" t="s">
        <v>15</v>
      </c>
      <c r="G72" s="2">
        <v>99.9993</v>
      </c>
      <c r="I72" s="2">
        <v>99.99916</v>
      </c>
      <c r="K72" s="2">
        <v>99.99929</v>
      </c>
    </row>
    <row r="74" spans="2:13" ht="12.75">
      <c r="B74" s="1" t="s">
        <v>115</v>
      </c>
      <c r="C74" s="1" t="s">
        <v>140</v>
      </c>
      <c r="G74" s="9" t="s">
        <v>165</v>
      </c>
      <c r="H74" s="9"/>
      <c r="I74" s="9" t="s">
        <v>166</v>
      </c>
      <c r="J74" s="9"/>
      <c r="K74" s="9" t="s">
        <v>167</v>
      </c>
      <c r="L74" s="9"/>
      <c r="M74" s="9" t="s">
        <v>53</v>
      </c>
    </row>
    <row r="75" spans="2:12" ht="12.75" customHeight="1">
      <c r="B75" s="1"/>
      <c r="C75" s="1"/>
      <c r="L75" s="9"/>
    </row>
    <row r="76" spans="2:13" ht="12.75">
      <c r="B76" s="2" t="s">
        <v>2</v>
      </c>
      <c r="C76" s="2" t="s">
        <v>179</v>
      </c>
      <c r="D76" s="2" t="s">
        <v>10</v>
      </c>
      <c r="E76" s="2" t="s">
        <v>55</v>
      </c>
      <c r="G76" s="2">
        <v>0.0007</v>
      </c>
      <c r="I76" s="2">
        <v>0.0002</v>
      </c>
      <c r="K76" s="2">
        <v>0.0002</v>
      </c>
      <c r="M76" s="14">
        <f>AVERAGE(G76,I76,K76)</f>
        <v>0.00036666666666666667</v>
      </c>
    </row>
    <row r="77" spans="2:13" ht="12.75">
      <c r="B77" s="2" t="s">
        <v>147</v>
      </c>
      <c r="C77" s="2" t="s">
        <v>179</v>
      </c>
      <c r="D77" s="2" t="s">
        <v>11</v>
      </c>
      <c r="E77" s="2" t="s">
        <v>55</v>
      </c>
      <c r="G77" s="2">
        <v>0</v>
      </c>
      <c r="I77" s="2">
        <v>0</v>
      </c>
      <c r="K77" s="2">
        <v>0</v>
      </c>
      <c r="M77" s="2">
        <f>AVERAGE(G77,I77,K77)</f>
        <v>0</v>
      </c>
    </row>
    <row r="78" spans="2:11" ht="12.75">
      <c r="B78" s="2" t="s">
        <v>3</v>
      </c>
      <c r="D78" s="2" t="s">
        <v>11</v>
      </c>
      <c r="E78" s="2" t="s">
        <v>56</v>
      </c>
      <c r="G78" s="2">
        <v>0.01</v>
      </c>
      <c r="I78" s="2">
        <v>0.02</v>
      </c>
      <c r="K78" s="2">
        <v>0.02</v>
      </c>
    </row>
    <row r="79" spans="2:11" ht="12.75">
      <c r="B79" s="2" t="s">
        <v>4</v>
      </c>
      <c r="D79" s="2" t="s">
        <v>11</v>
      </c>
      <c r="E79" s="2" t="s">
        <v>56</v>
      </c>
      <c r="G79" s="11" t="s">
        <v>57</v>
      </c>
      <c r="H79" s="11"/>
      <c r="I79" s="11" t="s">
        <v>57</v>
      </c>
      <c r="J79" s="11"/>
      <c r="K79" s="11" t="s">
        <v>57</v>
      </c>
    </row>
    <row r="80" ht="12.75" customHeight="1"/>
    <row r="81" spans="2:4" ht="12" customHeight="1">
      <c r="B81" s="2" t="s">
        <v>148</v>
      </c>
      <c r="C81" s="2" t="s">
        <v>139</v>
      </c>
      <c r="D81" s="2" t="s">
        <v>179</v>
      </c>
    </row>
    <row r="82" spans="2:13" ht="12.75">
      <c r="B82" s="2" t="s">
        <v>58</v>
      </c>
      <c r="D82" s="2" t="s">
        <v>14</v>
      </c>
      <c r="G82" s="2">
        <v>64444</v>
      </c>
      <c r="I82" s="2">
        <v>62203</v>
      </c>
      <c r="K82" s="2">
        <v>63371</v>
      </c>
      <c r="M82" s="12">
        <f>AVERAGE(G82,I82,K82)</f>
        <v>63339.333333333336</v>
      </c>
    </row>
    <row r="83" spans="2:13" ht="12.75">
      <c r="B83" s="2" t="s">
        <v>141</v>
      </c>
      <c r="D83" s="2" t="s">
        <v>15</v>
      </c>
      <c r="G83" s="2">
        <v>8.4</v>
      </c>
      <c r="I83" s="2">
        <v>8.6</v>
      </c>
      <c r="K83" s="2">
        <v>8.7</v>
      </c>
      <c r="M83" s="12">
        <f>AVERAGE(G83,I83,K83)</f>
        <v>8.566666666666666</v>
      </c>
    </row>
    <row r="84" spans="2:13" ht="12.75">
      <c r="B84" s="2" t="s">
        <v>142</v>
      </c>
      <c r="D84" s="2" t="s">
        <v>15</v>
      </c>
      <c r="G84" s="2">
        <v>12.7</v>
      </c>
      <c r="I84" s="2">
        <v>13.3</v>
      </c>
      <c r="K84" s="2">
        <v>13.4</v>
      </c>
      <c r="M84" s="12">
        <f>AVERAGE(G84,I84,K84)</f>
        <v>13.133333333333333</v>
      </c>
    </row>
    <row r="85" spans="2:13" ht="12.75">
      <c r="B85" s="2" t="s">
        <v>59</v>
      </c>
      <c r="D85" s="2" t="s">
        <v>16</v>
      </c>
      <c r="G85" s="2">
        <f>(482-273)*1.8+32</f>
        <v>408.2</v>
      </c>
      <c r="I85" s="2">
        <f>(482-273)*1.8+32</f>
        <v>408.2</v>
      </c>
      <c r="K85" s="2">
        <f>(482-273)*1.8+32</f>
        <v>408.2</v>
      </c>
      <c r="M85" s="12">
        <f>AVERAGE(G85,I85,K85)</f>
        <v>408.2</v>
      </c>
    </row>
    <row r="87" spans="2:13" ht="12.75">
      <c r="B87" s="2" t="s">
        <v>3</v>
      </c>
      <c r="C87" s="2" t="s">
        <v>179</v>
      </c>
      <c r="D87" s="2" t="s">
        <v>11</v>
      </c>
      <c r="E87" s="2" t="s">
        <v>55</v>
      </c>
      <c r="G87" s="13">
        <f>G78*(21-7)/(21-G83)</f>
        <v>0.011111111111111113</v>
      </c>
      <c r="I87" s="13">
        <f>I78*(21-7)/(21-I83)</f>
        <v>0.022580645161290325</v>
      </c>
      <c r="K87" s="13">
        <f>K78*(21-7)/(21-K83)</f>
        <v>0.022764227642276424</v>
      </c>
      <c r="M87" s="13">
        <f>AVERAGE(G87,I87,K87)</f>
        <v>0.018818661304892622</v>
      </c>
    </row>
    <row r="88" spans="2:13" ht="12.75">
      <c r="B88" s="2" t="s">
        <v>4</v>
      </c>
      <c r="C88" s="2" t="s">
        <v>179</v>
      </c>
      <c r="D88" s="2" t="s">
        <v>11</v>
      </c>
      <c r="E88" s="2" t="s">
        <v>55</v>
      </c>
      <c r="G88" s="13">
        <v>0</v>
      </c>
      <c r="I88" s="13">
        <v>0</v>
      </c>
      <c r="K88" s="13">
        <v>0</v>
      </c>
      <c r="M88" s="13">
        <f>AVERAGE(G88,I88,K88)</f>
        <v>0</v>
      </c>
    </row>
    <row r="89" spans="2:13" ht="12.75">
      <c r="B89" s="2" t="s">
        <v>146</v>
      </c>
      <c r="C89" s="2" t="s">
        <v>179</v>
      </c>
      <c r="D89" s="2" t="s">
        <v>11</v>
      </c>
      <c r="E89" s="2" t="s">
        <v>55</v>
      </c>
      <c r="G89" s="13">
        <f>G87</f>
        <v>0.011111111111111113</v>
      </c>
      <c r="I89" s="13">
        <f>I87</f>
        <v>0.022580645161290325</v>
      </c>
      <c r="K89" s="13">
        <f>K87</f>
        <v>0.022764227642276424</v>
      </c>
      <c r="M89" s="13">
        <f>AVERAGE(G89,I89,K89)</f>
        <v>0.018818661304892622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23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16" hidden="1" customWidth="1"/>
    <col min="2" max="2" width="25.00390625" style="16" customWidth="1"/>
    <col min="3" max="3" width="2.421875" style="16" customWidth="1"/>
    <col min="4" max="4" width="10.7109375" style="16" customWidth="1"/>
    <col min="5" max="5" width="4.421875" style="16" customWidth="1"/>
    <col min="6" max="6" width="9.140625" style="16" customWidth="1"/>
    <col min="7" max="7" width="4.00390625" style="16" customWidth="1"/>
    <col min="8" max="8" width="9.140625" style="16" customWidth="1"/>
    <col min="9" max="9" width="4.140625" style="16" customWidth="1"/>
    <col min="10" max="10" width="9.140625" style="16" customWidth="1"/>
    <col min="11" max="11" width="4.7109375" style="20" customWidth="1"/>
    <col min="12" max="12" width="11.8515625" style="16" customWidth="1"/>
    <col min="13" max="13" width="4.28125" style="16" customWidth="1"/>
    <col min="14" max="14" width="12.140625" style="16" customWidth="1"/>
    <col min="15" max="15" width="5.00390625" style="16" customWidth="1"/>
    <col min="16" max="16" width="13.7109375" style="16" customWidth="1"/>
    <col min="17" max="17" width="5.00390625" style="16" customWidth="1"/>
    <col min="18" max="18" width="12.57421875" style="16" customWidth="1"/>
    <col min="19" max="19" width="5.00390625" style="16" customWidth="1"/>
    <col min="20" max="20" width="12.140625" style="16" customWidth="1"/>
    <col min="21" max="16384" width="11.421875" style="16" customWidth="1"/>
  </cols>
  <sheetData>
    <row r="1" spans="2:3" ht="12.75">
      <c r="B1" s="31" t="s">
        <v>121</v>
      </c>
      <c r="C1" s="31"/>
    </row>
    <row r="2" ht="12.75">
      <c r="O2" s="20"/>
    </row>
    <row r="3" spans="1:20" ht="12" customHeight="1">
      <c r="A3" s="16" t="s">
        <v>159</v>
      </c>
      <c r="B3" s="31" t="s">
        <v>54</v>
      </c>
      <c r="C3" s="31"/>
      <c r="F3" s="16" t="s">
        <v>165</v>
      </c>
      <c r="H3" s="16" t="s">
        <v>166</v>
      </c>
      <c r="J3" s="16" t="s">
        <v>167</v>
      </c>
      <c r="L3" s="16" t="s">
        <v>53</v>
      </c>
      <c r="N3" s="16" t="s">
        <v>165</v>
      </c>
      <c r="P3" s="16" t="s">
        <v>166</v>
      </c>
      <c r="R3" s="16" t="s">
        <v>167</v>
      </c>
      <c r="S3" s="20"/>
      <c r="T3" s="16" t="s">
        <v>53</v>
      </c>
    </row>
    <row r="4" spans="2:3" ht="12" customHeight="1">
      <c r="B4" s="31"/>
      <c r="C4" s="31"/>
    </row>
    <row r="5" spans="2:20" ht="12" customHeight="1">
      <c r="B5" s="16" t="s">
        <v>186</v>
      </c>
      <c r="C5" s="31"/>
      <c r="F5" s="16" t="s">
        <v>188</v>
      </c>
      <c r="H5" s="16" t="s">
        <v>188</v>
      </c>
      <c r="J5" s="16" t="s">
        <v>188</v>
      </c>
      <c r="L5" s="16" t="s">
        <v>188</v>
      </c>
      <c r="N5" s="16" t="s">
        <v>190</v>
      </c>
      <c r="P5" s="16" t="s">
        <v>190</v>
      </c>
      <c r="R5" s="16" t="s">
        <v>190</v>
      </c>
      <c r="T5" s="16" t="s">
        <v>190</v>
      </c>
    </row>
    <row r="6" spans="2:20" ht="12" customHeight="1">
      <c r="B6" s="16" t="s">
        <v>187</v>
      </c>
      <c r="C6" s="31"/>
      <c r="F6" s="16" t="s">
        <v>189</v>
      </c>
      <c r="H6" s="16" t="s">
        <v>189</v>
      </c>
      <c r="J6" s="16" t="s">
        <v>189</v>
      </c>
      <c r="L6" s="16" t="s">
        <v>189</v>
      </c>
      <c r="N6" s="16" t="s">
        <v>79</v>
      </c>
      <c r="P6" s="16" t="s">
        <v>79</v>
      </c>
      <c r="R6" s="16" t="s">
        <v>79</v>
      </c>
      <c r="T6" s="16" t="s">
        <v>79</v>
      </c>
    </row>
    <row r="7" spans="2:20" ht="12" customHeight="1">
      <c r="B7" s="16" t="s">
        <v>192</v>
      </c>
      <c r="C7" s="31"/>
      <c r="F7" s="16" t="s">
        <v>1</v>
      </c>
      <c r="H7" s="16" t="s">
        <v>1</v>
      </c>
      <c r="J7" s="16" t="s">
        <v>1</v>
      </c>
      <c r="L7" s="16" t="s">
        <v>1</v>
      </c>
      <c r="N7" s="16" t="s">
        <v>79</v>
      </c>
      <c r="P7" s="16" t="s">
        <v>79</v>
      </c>
      <c r="R7" s="16" t="s">
        <v>79</v>
      </c>
      <c r="T7" s="16" t="s">
        <v>79</v>
      </c>
    </row>
    <row r="8" spans="2:20" ht="12.75">
      <c r="B8" s="16" t="s">
        <v>163</v>
      </c>
      <c r="F8" s="16" t="s">
        <v>64</v>
      </c>
      <c r="H8" s="16" t="s">
        <v>64</v>
      </c>
      <c r="J8" s="16" t="s">
        <v>64</v>
      </c>
      <c r="L8" s="16" t="s">
        <v>64</v>
      </c>
      <c r="N8" s="16" t="s">
        <v>79</v>
      </c>
      <c r="P8" s="16" t="s">
        <v>79</v>
      </c>
      <c r="R8" s="16" t="s">
        <v>79</v>
      </c>
      <c r="T8" s="16" t="s">
        <v>79</v>
      </c>
    </row>
    <row r="9" spans="2:12" ht="12.75">
      <c r="B9" s="16" t="s">
        <v>162</v>
      </c>
      <c r="D9" s="16" t="s">
        <v>65</v>
      </c>
      <c r="F9" s="16">
        <v>1981438</v>
      </c>
      <c r="H9" s="16">
        <v>2024972</v>
      </c>
      <c r="J9" s="16">
        <v>1866789</v>
      </c>
      <c r="L9" s="16">
        <f>AVERAGE(F9,H9,J9)</f>
        <v>1957733</v>
      </c>
    </row>
    <row r="10" spans="2:12" ht="12.75">
      <c r="B10" s="16" t="s">
        <v>66</v>
      </c>
      <c r="D10" s="16" t="s">
        <v>67</v>
      </c>
      <c r="F10" s="16">
        <v>0.9</v>
      </c>
      <c r="H10" s="16">
        <v>0.9</v>
      </c>
      <c r="J10" s="16">
        <v>0.9</v>
      </c>
      <c r="L10" s="16">
        <v>0.9</v>
      </c>
    </row>
    <row r="11" spans="2:12" ht="12.75">
      <c r="B11" s="16" t="s">
        <v>203</v>
      </c>
      <c r="D11" s="16" t="s">
        <v>69</v>
      </c>
      <c r="F11" s="16">
        <v>8411</v>
      </c>
      <c r="H11" s="16">
        <v>8411</v>
      </c>
      <c r="J11" s="16">
        <v>8411</v>
      </c>
      <c r="L11" s="16">
        <v>8411</v>
      </c>
    </row>
    <row r="12" spans="2:10" ht="12.75">
      <c r="B12" s="16" t="s">
        <v>8</v>
      </c>
      <c r="D12" s="16" t="s">
        <v>65</v>
      </c>
      <c r="F12" s="16">
        <v>61.425</v>
      </c>
      <c r="H12" s="16">
        <v>32.4</v>
      </c>
      <c r="J12" s="16">
        <v>35.469</v>
      </c>
    </row>
    <row r="13" spans="2:10" ht="12.75">
      <c r="B13" s="16" t="s">
        <v>70</v>
      </c>
      <c r="D13" s="16" t="s">
        <v>65</v>
      </c>
      <c r="F13" s="16">
        <v>15.495</v>
      </c>
      <c r="H13" s="16">
        <v>20.25</v>
      </c>
      <c r="I13" s="16" t="s">
        <v>57</v>
      </c>
      <c r="J13" s="16">
        <v>0.933</v>
      </c>
    </row>
    <row r="14" spans="2:10" ht="12.75">
      <c r="B14" s="16" t="s">
        <v>153</v>
      </c>
      <c r="D14" s="16" t="s">
        <v>65</v>
      </c>
      <c r="E14" s="16" t="s">
        <v>57</v>
      </c>
      <c r="F14" s="16">
        <v>0.081</v>
      </c>
      <c r="G14" s="16" t="s">
        <v>57</v>
      </c>
      <c r="H14" s="16">
        <v>0.083</v>
      </c>
      <c r="I14" s="16" t="s">
        <v>57</v>
      </c>
      <c r="J14" s="16">
        <v>0.077</v>
      </c>
    </row>
    <row r="15" spans="2:10" ht="12.75">
      <c r="B15" s="16" t="s">
        <v>149</v>
      </c>
      <c r="D15" s="16" t="s">
        <v>65</v>
      </c>
      <c r="E15" s="16" t="s">
        <v>57</v>
      </c>
      <c r="F15" s="16">
        <v>0.059</v>
      </c>
      <c r="G15" s="16" t="s">
        <v>57</v>
      </c>
      <c r="H15" s="16">
        <v>0.061</v>
      </c>
      <c r="I15" s="16" t="s">
        <v>57</v>
      </c>
      <c r="J15" s="16">
        <v>0.056</v>
      </c>
    </row>
    <row r="16" spans="2:10" ht="12.75">
      <c r="B16" s="16" t="s">
        <v>151</v>
      </c>
      <c r="D16" s="16" t="s">
        <v>65</v>
      </c>
      <c r="E16" s="16" t="s">
        <v>57</v>
      </c>
      <c r="F16" s="16">
        <v>0.299</v>
      </c>
      <c r="G16" s="16" t="s">
        <v>57</v>
      </c>
      <c r="H16" s="16">
        <v>0.306</v>
      </c>
      <c r="I16" s="16" t="s">
        <v>57</v>
      </c>
      <c r="J16" s="16">
        <v>0.282</v>
      </c>
    </row>
    <row r="17" spans="2:10" ht="12.75">
      <c r="B17" s="16" t="s">
        <v>150</v>
      </c>
      <c r="D17" s="16" t="s">
        <v>65</v>
      </c>
      <c r="E17" s="16" t="s">
        <v>57</v>
      </c>
      <c r="F17" s="16">
        <v>0.004</v>
      </c>
      <c r="G17" s="16" t="s">
        <v>57</v>
      </c>
      <c r="H17" s="16">
        <v>0.004</v>
      </c>
      <c r="I17" s="16" t="s">
        <v>57</v>
      </c>
      <c r="J17" s="16">
        <v>0.004</v>
      </c>
    </row>
    <row r="18" spans="2:10" ht="12.75">
      <c r="B18" s="16" t="s">
        <v>156</v>
      </c>
      <c r="D18" s="16" t="s">
        <v>65</v>
      </c>
      <c r="E18" s="16" t="s">
        <v>57</v>
      </c>
      <c r="F18" s="16">
        <v>0.004</v>
      </c>
      <c r="G18" s="16" t="s">
        <v>57</v>
      </c>
      <c r="H18" s="16">
        <v>0.004</v>
      </c>
      <c r="I18" s="16" t="s">
        <v>57</v>
      </c>
      <c r="J18" s="16">
        <v>0.004</v>
      </c>
    </row>
    <row r="19" spans="2:10" ht="12.75">
      <c r="B19" s="16" t="s">
        <v>158</v>
      </c>
      <c r="D19" s="16" t="s">
        <v>65</v>
      </c>
      <c r="E19" s="16" t="s">
        <v>57</v>
      </c>
      <c r="F19" s="16">
        <v>0.121</v>
      </c>
      <c r="G19" s="16" t="s">
        <v>57</v>
      </c>
      <c r="H19" s="16">
        <v>0.124</v>
      </c>
      <c r="I19" s="16" t="s">
        <v>57</v>
      </c>
      <c r="J19" s="16">
        <v>0.114</v>
      </c>
    </row>
    <row r="20" spans="2:10" ht="12.75">
      <c r="B20" s="16" t="s">
        <v>154</v>
      </c>
      <c r="D20" s="16" t="s">
        <v>65</v>
      </c>
      <c r="E20" s="16" t="s">
        <v>57</v>
      </c>
      <c r="F20" s="16">
        <v>0.04</v>
      </c>
      <c r="G20" s="16" t="s">
        <v>57</v>
      </c>
      <c r="H20" s="16">
        <v>0.04</v>
      </c>
      <c r="I20" s="16" t="s">
        <v>57</v>
      </c>
      <c r="J20" s="16">
        <v>0.037</v>
      </c>
    </row>
    <row r="21" spans="2:10" ht="12.75">
      <c r="B21" s="16" t="s">
        <v>161</v>
      </c>
      <c r="D21" s="16" t="s">
        <v>65</v>
      </c>
      <c r="E21" s="16" t="s">
        <v>57</v>
      </c>
      <c r="F21" s="16">
        <v>0.067</v>
      </c>
      <c r="G21" s="16" t="s">
        <v>57</v>
      </c>
      <c r="H21" s="16">
        <v>0.069</v>
      </c>
      <c r="I21" s="16" t="s">
        <v>57</v>
      </c>
      <c r="J21" s="16">
        <v>0.063</v>
      </c>
    </row>
    <row r="22" spans="2:10" ht="12.75">
      <c r="B22" s="16" t="s">
        <v>155</v>
      </c>
      <c r="D22" s="16" t="s">
        <v>65</v>
      </c>
      <c r="E22" s="16" t="s">
        <v>57</v>
      </c>
      <c r="F22" s="16">
        <v>0.059</v>
      </c>
      <c r="G22" s="16" t="s">
        <v>57</v>
      </c>
      <c r="H22" s="16">
        <v>0.061</v>
      </c>
      <c r="I22" s="16" t="s">
        <v>57</v>
      </c>
      <c r="J22" s="16">
        <v>0.056</v>
      </c>
    </row>
    <row r="23" spans="2:10" ht="12.75">
      <c r="B23" s="16" t="s">
        <v>168</v>
      </c>
      <c r="D23" s="16" t="s">
        <v>65</v>
      </c>
      <c r="E23" s="16" t="s">
        <v>57</v>
      </c>
      <c r="F23" s="16">
        <v>0.101</v>
      </c>
      <c r="G23" s="16" t="s">
        <v>57</v>
      </c>
      <c r="H23" s="16">
        <v>0.103</v>
      </c>
      <c r="I23" s="16" t="s">
        <v>57</v>
      </c>
      <c r="J23" s="16">
        <v>0.095</v>
      </c>
    </row>
    <row r="24" spans="2:10" ht="12.75">
      <c r="B24" s="16" t="s">
        <v>157</v>
      </c>
      <c r="D24" s="16" t="s">
        <v>65</v>
      </c>
      <c r="E24" s="16" t="s">
        <v>57</v>
      </c>
      <c r="F24" s="16">
        <v>0.02</v>
      </c>
      <c r="G24" s="16" t="s">
        <v>57</v>
      </c>
      <c r="H24" s="16">
        <v>0.02</v>
      </c>
      <c r="I24" s="16" t="s">
        <v>57</v>
      </c>
      <c r="J24" s="16">
        <v>0.019</v>
      </c>
    </row>
    <row r="25" spans="2:10" ht="12.75">
      <c r="B25" s="16" t="s">
        <v>152</v>
      </c>
      <c r="D25" s="16" t="s">
        <v>65</v>
      </c>
      <c r="E25" s="16" t="s">
        <v>57</v>
      </c>
      <c r="F25" s="16">
        <v>0.059</v>
      </c>
      <c r="G25" s="16" t="s">
        <v>57</v>
      </c>
      <c r="H25" s="16">
        <v>0.061</v>
      </c>
      <c r="I25" s="16" t="s">
        <v>57</v>
      </c>
      <c r="J25" s="16">
        <v>0.056</v>
      </c>
    </row>
    <row r="27" ht="12.75" customHeight="1"/>
    <row r="28" spans="2:13" ht="12.75">
      <c r="B28" s="16" t="s">
        <v>71</v>
      </c>
      <c r="D28" s="16" t="s">
        <v>14</v>
      </c>
      <c r="F28" s="16">
        <f>emiss!G14</f>
        <v>64133</v>
      </c>
      <c r="H28" s="16">
        <f>emiss!I14</f>
        <v>60632</v>
      </c>
      <c r="J28" s="16">
        <f>emiss!K14</f>
        <v>63046</v>
      </c>
      <c r="L28" s="37">
        <f>AVERAGE(F28,H28,J28)</f>
        <v>62603.666666666664</v>
      </c>
      <c r="M28" s="37"/>
    </row>
    <row r="29" spans="2:12" ht="12.75">
      <c r="B29" s="16" t="s">
        <v>9</v>
      </c>
      <c r="D29" s="16" t="s">
        <v>15</v>
      </c>
      <c r="F29" s="16">
        <f>emiss!G15</f>
        <v>8.6</v>
      </c>
      <c r="H29" s="16">
        <f>emiss!I15</f>
        <v>8.6</v>
      </c>
      <c r="J29" s="16">
        <f>emiss!K15</f>
        <v>8.6</v>
      </c>
      <c r="L29" s="16">
        <f>AVERAGE(F29,H29,J29)</f>
        <v>8.6</v>
      </c>
    </row>
    <row r="30" ht="12.75" customHeight="1"/>
    <row r="31" spans="2:20" ht="12.75">
      <c r="B31" s="16" t="s">
        <v>160</v>
      </c>
      <c r="D31" s="16" t="s">
        <v>191</v>
      </c>
      <c r="F31" s="35">
        <f>F11*F9/454/1000000</f>
        <v>36.70897581057268</v>
      </c>
      <c r="H31" s="35">
        <f>H11*H9/454/1000000</f>
        <v>37.51550548898678</v>
      </c>
      <c r="J31" s="35">
        <f>J11*J9/454/1000000</f>
        <v>34.58493894052863</v>
      </c>
      <c r="L31" s="35">
        <f>L11*L9/454/1000000</f>
        <v>36.269806746696034</v>
      </c>
      <c r="M31" s="35"/>
      <c r="N31" s="35">
        <f>F31</f>
        <v>36.70897581057268</v>
      </c>
      <c r="P31" s="35">
        <f>H31</f>
        <v>37.51550548898678</v>
      </c>
      <c r="R31" s="35">
        <f>J31</f>
        <v>34.58493894052863</v>
      </c>
      <c r="T31" s="35">
        <f>L31</f>
        <v>36.269806746696034</v>
      </c>
    </row>
    <row r="32" spans="2:20" ht="12.75">
      <c r="B32" s="16" t="s">
        <v>194</v>
      </c>
      <c r="D32" s="16" t="s">
        <v>191</v>
      </c>
      <c r="M32" s="37"/>
      <c r="T32" s="37">
        <f>L28/150*(21-L29)/21</f>
        <v>246.4398306878307</v>
      </c>
    </row>
    <row r="33" spans="12:13" ht="12.75">
      <c r="L33" s="35"/>
      <c r="M33" s="35"/>
    </row>
    <row r="34" spans="2:13" ht="12.75">
      <c r="B34" s="36" t="s">
        <v>126</v>
      </c>
      <c r="C34" s="36"/>
      <c r="L34" s="35"/>
      <c r="M34" s="35"/>
    </row>
    <row r="35" spans="2:20" ht="12.75">
      <c r="B35" s="16" t="s">
        <v>8</v>
      </c>
      <c r="D35" s="16" t="s">
        <v>13</v>
      </c>
      <c r="F35" s="35">
        <f>F12/60*1000*1/(0.0283*F28)*(21-7)/(21-F29)</f>
        <v>0.6368428453004207</v>
      </c>
      <c r="G35" s="35"/>
      <c r="H35" s="35">
        <f>H12/60*1000*1/(0.0283*H28)*(21-7)/(21-H29)</f>
        <v>0.35531355898950295</v>
      </c>
      <c r="I35" s="35"/>
      <c r="J35" s="35">
        <f>J12/60*1000*1/(0.0283*J28)*(21-7)/(21-J29)</f>
        <v>0.3740761943827424</v>
      </c>
      <c r="K35" s="39"/>
      <c r="L35" s="35">
        <f>AVERAGE(F35,H35,J35)</f>
        <v>0.455410866224222</v>
      </c>
      <c r="M35" s="37">
        <f aca="true" t="shared" si="0" ref="M35:T35">E35</f>
        <v>0</v>
      </c>
      <c r="N35" s="35">
        <f t="shared" si="0"/>
        <v>0.6368428453004207</v>
      </c>
      <c r="O35" s="37">
        <f t="shared" si="0"/>
        <v>0</v>
      </c>
      <c r="P35" s="35">
        <f t="shared" si="0"/>
        <v>0.35531355898950295</v>
      </c>
      <c r="Q35" s="37">
        <f t="shared" si="0"/>
        <v>0</v>
      </c>
      <c r="R35" s="35">
        <f t="shared" si="0"/>
        <v>0.3740761943827424</v>
      </c>
      <c r="S35" s="37">
        <f t="shared" si="0"/>
        <v>0</v>
      </c>
      <c r="T35" s="35">
        <f t="shared" si="0"/>
        <v>0.455410866224222</v>
      </c>
    </row>
    <row r="36" spans="2:20" ht="12.75">
      <c r="B36" s="16" t="s">
        <v>70</v>
      </c>
      <c r="D36" s="16" t="s">
        <v>12</v>
      </c>
      <c r="F36" s="35">
        <f>F13/60*1000000*1/(0.0283*F$28)*(21-7)/(21-F$29)</f>
        <v>160.64924522474595</v>
      </c>
      <c r="G36" s="35"/>
      <c r="H36" s="35">
        <f>H13/60*1000000*1/(0.0283*H$28)*(21-7)/(21-H$29)</f>
        <v>222.07097436843938</v>
      </c>
      <c r="I36" s="16">
        <v>100</v>
      </c>
      <c r="J36" s="35">
        <f aca="true" t="shared" si="1" ref="J36:J48">J13/60*1000000*1/(0.0283*J$28)*(21-7)/(21-J$29)</f>
        <v>9.839947259835311</v>
      </c>
      <c r="K36" s="24">
        <f>(E36*F36+G36*H36+I36*J36)/3/L36</f>
        <v>2.506608691023791</v>
      </c>
      <c r="L36" s="35">
        <f aca="true" t="shared" si="2" ref="L36:L48">AVERAGE(F36,H36,J36)</f>
        <v>130.85338895100688</v>
      </c>
      <c r="M36" s="37">
        <f aca="true" t="shared" si="3" ref="M36:S51">E36</f>
        <v>0</v>
      </c>
      <c r="N36" s="35">
        <f aca="true" t="shared" si="4" ref="N36:R48">F36</f>
        <v>160.64924522474595</v>
      </c>
      <c r="O36" s="37">
        <f t="shared" si="3"/>
        <v>0</v>
      </c>
      <c r="P36" s="35">
        <f t="shared" si="4"/>
        <v>222.07097436843938</v>
      </c>
      <c r="Q36" s="37">
        <f t="shared" si="3"/>
        <v>100</v>
      </c>
      <c r="R36" s="35">
        <f t="shared" si="4"/>
        <v>9.839947259835311</v>
      </c>
      <c r="S36" s="37">
        <f t="shared" si="3"/>
        <v>2.506608691023791</v>
      </c>
      <c r="T36" s="35">
        <f>L36</f>
        <v>130.85338895100688</v>
      </c>
    </row>
    <row r="37" spans="2:20" ht="12.75">
      <c r="B37" s="16" t="s">
        <v>153</v>
      </c>
      <c r="D37" s="16" t="s">
        <v>12</v>
      </c>
      <c r="E37" s="16">
        <v>100</v>
      </c>
      <c r="F37" s="35">
        <f aca="true" t="shared" si="5" ref="F37:H48">F14/60*1000000*1/(0.0283*F$28)*(21-7)/(21-F$29)</f>
        <v>0.8397927630335219</v>
      </c>
      <c r="G37" s="16">
        <v>100</v>
      </c>
      <c r="H37" s="35">
        <f t="shared" si="5"/>
        <v>0.9102168332138504</v>
      </c>
      <c r="I37" s="16">
        <v>100</v>
      </c>
      <c r="J37" s="35">
        <f t="shared" si="1"/>
        <v>0.8120856795362474</v>
      </c>
      <c r="K37" s="24">
        <v>100</v>
      </c>
      <c r="L37" s="35">
        <f t="shared" si="2"/>
        <v>0.85403175859454</v>
      </c>
      <c r="M37" s="37">
        <f t="shared" si="3"/>
        <v>100</v>
      </c>
      <c r="N37" s="35">
        <f t="shared" si="4"/>
        <v>0.8397927630335219</v>
      </c>
      <c r="O37" s="37">
        <f t="shared" si="3"/>
        <v>100</v>
      </c>
      <c r="P37" s="35">
        <f t="shared" si="4"/>
        <v>0.9102168332138504</v>
      </c>
      <c r="Q37" s="37">
        <f t="shared" si="3"/>
        <v>100</v>
      </c>
      <c r="R37" s="35">
        <f t="shared" si="4"/>
        <v>0.8120856795362474</v>
      </c>
      <c r="S37" s="37">
        <f t="shared" si="3"/>
        <v>100</v>
      </c>
      <c r="T37" s="35">
        <f aca="true" t="shared" si="6" ref="T37:T43">L37</f>
        <v>0.85403175859454</v>
      </c>
    </row>
    <row r="38" spans="2:20" ht="12.75">
      <c r="B38" s="16" t="s">
        <v>149</v>
      </c>
      <c r="D38" s="16" t="s">
        <v>12</v>
      </c>
      <c r="E38" s="16">
        <v>100</v>
      </c>
      <c r="F38" s="35">
        <f t="shared" si="5"/>
        <v>0.6117009014688616</v>
      </c>
      <c r="G38" s="16">
        <v>100</v>
      </c>
      <c r="H38" s="35">
        <f t="shared" si="5"/>
        <v>0.6689545400728297</v>
      </c>
      <c r="I38" s="16">
        <v>100</v>
      </c>
      <c r="J38" s="35">
        <f t="shared" si="1"/>
        <v>0.5906077669354527</v>
      </c>
      <c r="K38" s="24">
        <v>100</v>
      </c>
      <c r="L38" s="35">
        <f t="shared" si="2"/>
        <v>0.6237544028257146</v>
      </c>
      <c r="M38" s="37">
        <f t="shared" si="3"/>
        <v>100</v>
      </c>
      <c r="N38" s="35">
        <f t="shared" si="4"/>
        <v>0.6117009014688616</v>
      </c>
      <c r="O38" s="37">
        <f t="shared" si="3"/>
        <v>100</v>
      </c>
      <c r="P38" s="35">
        <f t="shared" si="4"/>
        <v>0.6689545400728297</v>
      </c>
      <c r="Q38" s="37">
        <f t="shared" si="3"/>
        <v>100</v>
      </c>
      <c r="R38" s="35">
        <f t="shared" si="4"/>
        <v>0.5906077669354527</v>
      </c>
      <c r="S38" s="37">
        <f>K38</f>
        <v>100</v>
      </c>
      <c r="T38" s="35">
        <f t="shared" si="6"/>
        <v>0.6237544028257146</v>
      </c>
    </row>
    <row r="39" spans="2:20" ht="12.75">
      <c r="B39" s="16" t="s">
        <v>151</v>
      </c>
      <c r="D39" s="16" t="s">
        <v>12</v>
      </c>
      <c r="E39" s="16">
        <v>100</v>
      </c>
      <c r="F39" s="35">
        <f t="shared" si="5"/>
        <v>3.099975754901519</v>
      </c>
      <c r="G39" s="16">
        <v>100</v>
      </c>
      <c r="H39" s="35">
        <f t="shared" si="5"/>
        <v>3.3557391682341944</v>
      </c>
      <c r="I39" s="16">
        <v>100</v>
      </c>
      <c r="J39" s="35">
        <f t="shared" si="1"/>
        <v>2.9741319692106716</v>
      </c>
      <c r="K39" s="24">
        <v>100</v>
      </c>
      <c r="L39" s="35">
        <f t="shared" si="2"/>
        <v>3.1432822974487955</v>
      </c>
      <c r="M39" s="37">
        <f t="shared" si="3"/>
        <v>100</v>
      </c>
      <c r="N39" s="35">
        <f t="shared" si="4"/>
        <v>3.099975754901519</v>
      </c>
      <c r="O39" s="37">
        <f t="shared" si="3"/>
        <v>100</v>
      </c>
      <c r="P39" s="35">
        <f t="shared" si="4"/>
        <v>3.3557391682341944</v>
      </c>
      <c r="Q39" s="37">
        <f t="shared" si="3"/>
        <v>100</v>
      </c>
      <c r="R39" s="35">
        <f t="shared" si="4"/>
        <v>2.9741319692106716</v>
      </c>
      <c r="S39" s="37">
        <f t="shared" si="3"/>
        <v>100</v>
      </c>
      <c r="T39" s="35">
        <f t="shared" si="6"/>
        <v>3.1432822974487955</v>
      </c>
    </row>
    <row r="40" spans="2:20" ht="12.75">
      <c r="B40" s="16" t="s">
        <v>150</v>
      </c>
      <c r="D40" s="16" t="s">
        <v>12</v>
      </c>
      <c r="E40" s="16">
        <v>100</v>
      </c>
      <c r="F40" s="35">
        <f t="shared" si="5"/>
        <v>0.04147124755721096</v>
      </c>
      <c r="G40" s="16">
        <v>100</v>
      </c>
      <c r="H40" s="35">
        <f t="shared" si="5"/>
        <v>0.04386587148018555</v>
      </c>
      <c r="I40" s="16">
        <v>100</v>
      </c>
      <c r="J40" s="35">
        <f t="shared" si="1"/>
        <v>0.04218626906681805</v>
      </c>
      <c r="K40" s="24">
        <v>100</v>
      </c>
      <c r="L40" s="35">
        <f t="shared" si="2"/>
        <v>0.04250779603473819</v>
      </c>
      <c r="M40" s="37">
        <f t="shared" si="3"/>
        <v>100</v>
      </c>
      <c r="N40" s="35">
        <f t="shared" si="4"/>
        <v>0.04147124755721096</v>
      </c>
      <c r="O40" s="37">
        <f t="shared" si="3"/>
        <v>100</v>
      </c>
      <c r="P40" s="35">
        <f t="shared" si="4"/>
        <v>0.04386587148018555</v>
      </c>
      <c r="Q40" s="37">
        <f t="shared" si="3"/>
        <v>100</v>
      </c>
      <c r="R40" s="35">
        <f t="shared" si="4"/>
        <v>0.04218626906681805</v>
      </c>
      <c r="S40" s="37">
        <f t="shared" si="3"/>
        <v>100</v>
      </c>
      <c r="T40" s="35">
        <f t="shared" si="6"/>
        <v>0.04250779603473819</v>
      </c>
    </row>
    <row r="41" spans="2:20" ht="12.75">
      <c r="B41" s="16" t="s">
        <v>156</v>
      </c>
      <c r="D41" s="16" t="s">
        <v>12</v>
      </c>
      <c r="E41" s="16">
        <v>100</v>
      </c>
      <c r="F41" s="35">
        <f t="shared" si="5"/>
        <v>0.04147124755721096</v>
      </c>
      <c r="G41" s="16">
        <v>100</v>
      </c>
      <c r="H41" s="35">
        <f t="shared" si="5"/>
        <v>0.04386587148018555</v>
      </c>
      <c r="I41" s="16">
        <v>100</v>
      </c>
      <c r="J41" s="35">
        <f t="shared" si="1"/>
        <v>0.04218626906681805</v>
      </c>
      <c r="K41" s="24">
        <v>100</v>
      </c>
      <c r="L41" s="35">
        <f t="shared" si="2"/>
        <v>0.04250779603473819</v>
      </c>
      <c r="M41" s="37">
        <f t="shared" si="3"/>
        <v>100</v>
      </c>
      <c r="N41" s="35">
        <f t="shared" si="4"/>
        <v>0.04147124755721096</v>
      </c>
      <c r="O41" s="37">
        <f t="shared" si="3"/>
        <v>100</v>
      </c>
      <c r="P41" s="35">
        <f t="shared" si="4"/>
        <v>0.04386587148018555</v>
      </c>
      <c r="Q41" s="37">
        <f t="shared" si="3"/>
        <v>100</v>
      </c>
      <c r="R41" s="35">
        <f t="shared" si="4"/>
        <v>0.04218626906681805</v>
      </c>
      <c r="S41" s="37">
        <f t="shared" si="3"/>
        <v>100</v>
      </c>
      <c r="T41" s="35">
        <f t="shared" si="6"/>
        <v>0.04250779603473819</v>
      </c>
    </row>
    <row r="42" spans="2:20" ht="12.75">
      <c r="B42" s="16" t="s">
        <v>158</v>
      </c>
      <c r="D42" s="16" t="s">
        <v>12</v>
      </c>
      <c r="E42" s="16">
        <v>100</v>
      </c>
      <c r="F42" s="35">
        <f t="shared" si="5"/>
        <v>1.2545052386056315</v>
      </c>
      <c r="G42" s="16">
        <v>100</v>
      </c>
      <c r="H42" s="35">
        <f t="shared" si="5"/>
        <v>1.3598420158857523</v>
      </c>
      <c r="I42" s="16">
        <v>100</v>
      </c>
      <c r="J42" s="35">
        <f t="shared" si="1"/>
        <v>1.2023086684043143</v>
      </c>
      <c r="K42" s="24">
        <v>100</v>
      </c>
      <c r="L42" s="35">
        <f t="shared" si="2"/>
        <v>1.2722186409652327</v>
      </c>
      <c r="M42" s="37">
        <f t="shared" si="3"/>
        <v>100</v>
      </c>
      <c r="N42" s="35">
        <f t="shared" si="4"/>
        <v>1.2545052386056315</v>
      </c>
      <c r="O42" s="37">
        <f t="shared" si="3"/>
        <v>100</v>
      </c>
      <c r="P42" s="35">
        <f t="shared" si="4"/>
        <v>1.3598420158857523</v>
      </c>
      <c r="Q42" s="37">
        <f t="shared" si="3"/>
        <v>100</v>
      </c>
      <c r="R42" s="35">
        <f t="shared" si="4"/>
        <v>1.2023086684043143</v>
      </c>
      <c r="S42" s="37">
        <f t="shared" si="3"/>
        <v>100</v>
      </c>
      <c r="T42" s="35">
        <f t="shared" si="6"/>
        <v>1.2722186409652327</v>
      </c>
    </row>
    <row r="43" spans="2:20" ht="12.75">
      <c r="B43" s="16" t="s">
        <v>154</v>
      </c>
      <c r="D43" s="16" t="s">
        <v>12</v>
      </c>
      <c r="E43" s="16">
        <v>100</v>
      </c>
      <c r="F43" s="35">
        <f t="shared" si="5"/>
        <v>0.4147124755721095</v>
      </c>
      <c r="G43" s="16">
        <v>100</v>
      </c>
      <c r="H43" s="35">
        <f t="shared" si="5"/>
        <v>0.43865871480185553</v>
      </c>
      <c r="I43" s="16">
        <v>100</v>
      </c>
      <c r="J43" s="35">
        <f t="shared" si="1"/>
        <v>0.3902229888680669</v>
      </c>
      <c r="K43" s="24">
        <v>100</v>
      </c>
      <c r="L43" s="35">
        <f t="shared" si="2"/>
        <v>0.4145313930806773</v>
      </c>
      <c r="M43" s="37">
        <f t="shared" si="3"/>
        <v>100</v>
      </c>
      <c r="N43" s="35">
        <f t="shared" si="4"/>
        <v>0.4147124755721095</v>
      </c>
      <c r="O43" s="37">
        <f t="shared" si="3"/>
        <v>100</v>
      </c>
      <c r="P43" s="35">
        <f t="shared" si="4"/>
        <v>0.43865871480185553</v>
      </c>
      <c r="Q43" s="37">
        <f t="shared" si="3"/>
        <v>100</v>
      </c>
      <c r="R43" s="35">
        <f t="shared" si="4"/>
        <v>0.3902229888680669</v>
      </c>
      <c r="S43" s="37">
        <f t="shared" si="3"/>
        <v>100</v>
      </c>
      <c r="T43" s="35">
        <f t="shared" si="6"/>
        <v>0.4145313930806773</v>
      </c>
    </row>
    <row r="44" spans="2:20" ht="12.75">
      <c r="B44" s="16" t="s">
        <v>161</v>
      </c>
      <c r="D44" s="16" t="s">
        <v>12</v>
      </c>
      <c r="E44" s="16">
        <v>100</v>
      </c>
      <c r="F44" s="35">
        <f t="shared" si="5"/>
        <v>0.6946433965832837</v>
      </c>
      <c r="G44" s="16">
        <v>100</v>
      </c>
      <c r="H44" s="35">
        <f t="shared" si="5"/>
        <v>0.756686283033201</v>
      </c>
      <c r="I44" s="16">
        <v>100</v>
      </c>
      <c r="J44" s="35">
        <f t="shared" si="1"/>
        <v>0.6644337378023843</v>
      </c>
      <c r="K44" s="24">
        <v>100</v>
      </c>
      <c r="L44" s="35">
        <f t="shared" si="2"/>
        <v>0.7052544724729564</v>
      </c>
      <c r="M44" s="37">
        <f t="shared" si="3"/>
        <v>100</v>
      </c>
      <c r="N44" s="35">
        <f t="shared" si="4"/>
        <v>0.6946433965832837</v>
      </c>
      <c r="O44" s="37">
        <f t="shared" si="3"/>
        <v>100</v>
      </c>
      <c r="P44" s="35">
        <f t="shared" si="4"/>
        <v>0.756686283033201</v>
      </c>
      <c r="Q44" s="37">
        <f t="shared" si="3"/>
        <v>100</v>
      </c>
      <c r="R44" s="35">
        <f t="shared" si="4"/>
        <v>0.6644337378023843</v>
      </c>
      <c r="S44" s="37">
        <f t="shared" si="3"/>
        <v>100</v>
      </c>
      <c r="T44" s="25">
        <f>L44</f>
        <v>0.7052544724729564</v>
      </c>
    </row>
    <row r="45" spans="2:20" ht="12.75">
      <c r="B45" s="16" t="s">
        <v>155</v>
      </c>
      <c r="D45" s="16" t="s">
        <v>12</v>
      </c>
      <c r="E45" s="16">
        <v>100</v>
      </c>
      <c r="F45" s="35">
        <f t="shared" si="5"/>
        <v>0.6117009014688616</v>
      </c>
      <c r="G45" s="16">
        <v>100</v>
      </c>
      <c r="H45" s="35">
        <f t="shared" si="5"/>
        <v>0.6689545400728297</v>
      </c>
      <c r="I45" s="16">
        <v>100</v>
      </c>
      <c r="J45" s="35">
        <f t="shared" si="1"/>
        <v>0.5906077669354527</v>
      </c>
      <c r="K45" s="24">
        <v>100</v>
      </c>
      <c r="L45" s="35">
        <f t="shared" si="2"/>
        <v>0.6237544028257146</v>
      </c>
      <c r="M45" s="37">
        <f t="shared" si="3"/>
        <v>100</v>
      </c>
      <c r="N45" s="35">
        <f t="shared" si="4"/>
        <v>0.6117009014688616</v>
      </c>
      <c r="O45" s="37">
        <f t="shared" si="3"/>
        <v>100</v>
      </c>
      <c r="P45" s="35">
        <f t="shared" si="4"/>
        <v>0.6689545400728297</v>
      </c>
      <c r="Q45" s="37">
        <f t="shared" si="3"/>
        <v>100</v>
      </c>
      <c r="R45" s="35">
        <f t="shared" si="4"/>
        <v>0.5906077669354527</v>
      </c>
      <c r="S45" s="37">
        <f t="shared" si="3"/>
        <v>100</v>
      </c>
      <c r="T45" s="35">
        <f>L45</f>
        <v>0.6237544028257146</v>
      </c>
    </row>
    <row r="46" spans="2:20" ht="12.75">
      <c r="B46" s="16" t="s">
        <v>168</v>
      </c>
      <c r="D46" s="16" t="s">
        <v>12</v>
      </c>
      <c r="E46" s="16">
        <v>100</v>
      </c>
      <c r="F46" s="35">
        <f t="shared" si="5"/>
        <v>1.0471490008195767</v>
      </c>
      <c r="G46" s="16">
        <v>100</v>
      </c>
      <c r="H46" s="35">
        <f t="shared" si="5"/>
        <v>1.129546190614778</v>
      </c>
      <c r="I46" s="16">
        <v>100</v>
      </c>
      <c r="J46" s="35">
        <f t="shared" si="1"/>
        <v>1.0019238903369285</v>
      </c>
      <c r="K46" s="24">
        <v>100</v>
      </c>
      <c r="L46" s="35">
        <f t="shared" si="2"/>
        <v>1.0595396939237611</v>
      </c>
      <c r="M46" s="37">
        <f t="shared" si="3"/>
        <v>100</v>
      </c>
      <c r="N46" s="35">
        <f t="shared" si="4"/>
        <v>1.0471490008195767</v>
      </c>
      <c r="O46" s="37">
        <f t="shared" si="3"/>
        <v>100</v>
      </c>
      <c r="P46" s="35">
        <f t="shared" si="4"/>
        <v>1.129546190614778</v>
      </c>
      <c r="Q46" s="37">
        <f t="shared" si="3"/>
        <v>100</v>
      </c>
      <c r="R46" s="35">
        <f t="shared" si="4"/>
        <v>1.0019238903369285</v>
      </c>
      <c r="S46" s="37">
        <f t="shared" si="3"/>
        <v>100</v>
      </c>
      <c r="T46" s="35">
        <f>L46</f>
        <v>1.0595396939237611</v>
      </c>
    </row>
    <row r="47" spans="2:20" ht="12.75">
      <c r="B47" s="16" t="s">
        <v>157</v>
      </c>
      <c r="D47" s="16" t="s">
        <v>12</v>
      </c>
      <c r="E47" s="16">
        <v>100</v>
      </c>
      <c r="F47" s="35">
        <f t="shared" si="5"/>
        <v>0.20735623778605475</v>
      </c>
      <c r="G47" s="16">
        <v>100</v>
      </c>
      <c r="H47" s="35">
        <f t="shared" si="5"/>
        <v>0.21932935740092777</v>
      </c>
      <c r="I47" s="16">
        <v>100</v>
      </c>
      <c r="J47" s="35">
        <f t="shared" si="1"/>
        <v>0.2003847780673857</v>
      </c>
      <c r="K47" s="24">
        <v>100</v>
      </c>
      <c r="L47" s="35">
        <f t="shared" si="2"/>
        <v>0.20902345775145606</v>
      </c>
      <c r="M47" s="37">
        <f t="shared" si="3"/>
        <v>100</v>
      </c>
      <c r="N47" s="35">
        <f t="shared" si="4"/>
        <v>0.20735623778605475</v>
      </c>
      <c r="O47" s="37">
        <f t="shared" si="3"/>
        <v>100</v>
      </c>
      <c r="P47" s="35">
        <f t="shared" si="4"/>
        <v>0.21932935740092777</v>
      </c>
      <c r="Q47" s="37">
        <f t="shared" si="3"/>
        <v>100</v>
      </c>
      <c r="R47" s="35">
        <f t="shared" si="4"/>
        <v>0.2003847780673857</v>
      </c>
      <c r="S47" s="37">
        <f t="shared" si="3"/>
        <v>100</v>
      </c>
      <c r="T47" s="35">
        <f>L47</f>
        <v>0.20902345775145606</v>
      </c>
    </row>
    <row r="48" spans="2:20" ht="12.75">
      <c r="B48" s="16" t="s">
        <v>152</v>
      </c>
      <c r="D48" s="16" t="s">
        <v>12</v>
      </c>
      <c r="E48" s="16">
        <v>100</v>
      </c>
      <c r="F48" s="35">
        <f t="shared" si="5"/>
        <v>0.6117009014688616</v>
      </c>
      <c r="G48" s="16">
        <v>100</v>
      </c>
      <c r="H48" s="35">
        <f t="shared" si="5"/>
        <v>0.6689545400728297</v>
      </c>
      <c r="I48" s="16">
        <v>100</v>
      </c>
      <c r="J48" s="35">
        <f t="shared" si="1"/>
        <v>0.5906077669354527</v>
      </c>
      <c r="K48" s="24">
        <v>100</v>
      </c>
      <c r="L48" s="35">
        <f t="shared" si="2"/>
        <v>0.6237544028257146</v>
      </c>
      <c r="M48" s="37">
        <f t="shared" si="3"/>
        <v>100</v>
      </c>
      <c r="N48" s="35">
        <f t="shared" si="4"/>
        <v>0.6117009014688616</v>
      </c>
      <c r="O48" s="37">
        <f t="shared" si="3"/>
        <v>100</v>
      </c>
      <c r="P48" s="35">
        <f t="shared" si="4"/>
        <v>0.6689545400728297</v>
      </c>
      <c r="Q48" s="37">
        <f t="shared" si="3"/>
        <v>100</v>
      </c>
      <c r="R48" s="35">
        <f t="shared" si="4"/>
        <v>0.5906077669354527</v>
      </c>
      <c r="S48" s="37">
        <f t="shared" si="3"/>
        <v>100</v>
      </c>
      <c r="T48" s="35">
        <f>L48</f>
        <v>0.6237544028257146</v>
      </c>
    </row>
    <row r="49" spans="6:19" ht="12.75">
      <c r="F49" s="35"/>
      <c r="G49" s="35"/>
      <c r="H49" s="35"/>
      <c r="I49" s="35"/>
      <c r="J49" s="35"/>
      <c r="K49" s="39"/>
      <c r="L49" s="35"/>
      <c r="M49" s="37"/>
      <c r="O49" s="37"/>
      <c r="Q49" s="37"/>
      <c r="S49" s="37"/>
    </row>
    <row r="50" spans="2:20" ht="12.75">
      <c r="B50" s="16" t="s">
        <v>5</v>
      </c>
      <c r="D50" s="16" t="s">
        <v>12</v>
      </c>
      <c r="E50" s="16">
        <v>100</v>
      </c>
      <c r="F50" s="35">
        <f>(F41+F43)</f>
        <v>0.45618372312932043</v>
      </c>
      <c r="G50" s="16">
        <v>100</v>
      </c>
      <c r="H50" s="35">
        <f>(H41+H43)</f>
        <v>0.4825245862820411</v>
      </c>
      <c r="I50" s="16">
        <v>100</v>
      </c>
      <c r="J50" s="35">
        <f>(J41+J43)</f>
        <v>0.43240925793488494</v>
      </c>
      <c r="K50" s="24">
        <v>100</v>
      </c>
      <c r="L50" s="35">
        <f>AVERAGE(F50,H50,J50)</f>
        <v>0.45703918911541547</v>
      </c>
      <c r="M50" s="37">
        <f t="shared" si="3"/>
        <v>100</v>
      </c>
      <c r="N50" s="35">
        <f>F50</f>
        <v>0.45618372312932043</v>
      </c>
      <c r="O50" s="37">
        <f t="shared" si="3"/>
        <v>100</v>
      </c>
      <c r="P50" s="35">
        <f>H50</f>
        <v>0.4825245862820411</v>
      </c>
      <c r="Q50" s="37">
        <f t="shared" si="3"/>
        <v>100</v>
      </c>
      <c r="R50" s="35">
        <f>J50</f>
        <v>0.43240925793488494</v>
      </c>
      <c r="S50" s="37">
        <f t="shared" si="3"/>
        <v>100</v>
      </c>
      <c r="T50" s="35">
        <f>L50</f>
        <v>0.45703918911541547</v>
      </c>
    </row>
    <row r="51" spans="2:20" ht="12.75">
      <c r="B51" s="16" t="s">
        <v>6</v>
      </c>
      <c r="D51" s="16" t="s">
        <v>12</v>
      </c>
      <c r="E51" s="16">
        <v>100</v>
      </c>
      <c r="F51" s="35">
        <f>(F38+F40+F42)</f>
        <v>1.9076773876317041</v>
      </c>
      <c r="G51" s="16">
        <v>100</v>
      </c>
      <c r="H51" s="35">
        <f>(H38+H40+H42)</f>
        <v>2.0726624274387673</v>
      </c>
      <c r="I51" s="16">
        <v>100</v>
      </c>
      <c r="J51" s="35">
        <f>(J38+J40+J42)</f>
        <v>1.835102704406585</v>
      </c>
      <c r="K51" s="24">
        <v>100</v>
      </c>
      <c r="L51" s="35">
        <f>AVERAGE(F51,H51,J51)</f>
        <v>1.9384808398256854</v>
      </c>
      <c r="M51" s="37">
        <f t="shared" si="3"/>
        <v>100</v>
      </c>
      <c r="N51" s="35">
        <f>F51</f>
        <v>1.9076773876317041</v>
      </c>
      <c r="O51" s="37">
        <f t="shared" si="3"/>
        <v>100</v>
      </c>
      <c r="P51" s="35">
        <f>H51</f>
        <v>2.0726624274387673</v>
      </c>
      <c r="Q51" s="37">
        <f t="shared" si="3"/>
        <v>100</v>
      </c>
      <c r="R51" s="35">
        <f>J51</f>
        <v>1.835102704406585</v>
      </c>
      <c r="S51" s="37">
        <f t="shared" si="3"/>
        <v>100</v>
      </c>
      <c r="T51" s="35">
        <f>L51</f>
        <v>1.9384808398256854</v>
      </c>
    </row>
    <row r="56" spans="1:20" ht="12.75">
      <c r="A56" s="16" t="s">
        <v>159</v>
      </c>
      <c r="B56" s="31" t="s">
        <v>62</v>
      </c>
      <c r="C56" s="31"/>
      <c r="D56" s="16" t="s">
        <v>51</v>
      </c>
      <c r="F56" s="16" t="s">
        <v>165</v>
      </c>
      <c r="H56" s="16" t="s">
        <v>166</v>
      </c>
      <c r="J56" s="16" t="s">
        <v>167</v>
      </c>
      <c r="L56" s="16" t="s">
        <v>53</v>
      </c>
      <c r="N56" s="16" t="s">
        <v>165</v>
      </c>
      <c r="P56" s="16" t="s">
        <v>166</v>
      </c>
      <c r="R56" s="16" t="s">
        <v>167</v>
      </c>
      <c r="S56" s="20"/>
      <c r="T56" s="16" t="s">
        <v>53</v>
      </c>
    </row>
    <row r="57" spans="2:3" ht="12.75">
      <c r="B57" s="31"/>
      <c r="C57" s="31"/>
    </row>
    <row r="58" spans="2:20" ht="12.75">
      <c r="B58" s="16" t="s">
        <v>186</v>
      </c>
      <c r="C58" s="31"/>
      <c r="F58" s="16" t="s">
        <v>188</v>
      </c>
      <c r="H58" s="16" t="s">
        <v>188</v>
      </c>
      <c r="J58" s="16" t="s">
        <v>188</v>
      </c>
      <c r="L58" s="16" t="s">
        <v>188</v>
      </c>
      <c r="N58" s="16" t="s">
        <v>190</v>
      </c>
      <c r="P58" s="16" t="s">
        <v>190</v>
      </c>
      <c r="R58" s="16" t="s">
        <v>190</v>
      </c>
      <c r="T58" s="16" t="s">
        <v>190</v>
      </c>
    </row>
    <row r="59" spans="2:20" ht="12.75">
      <c r="B59" s="16" t="s">
        <v>187</v>
      </c>
      <c r="C59" s="31"/>
      <c r="F59" s="16" t="s">
        <v>189</v>
      </c>
      <c r="H59" s="16" t="s">
        <v>189</v>
      </c>
      <c r="J59" s="16" t="s">
        <v>189</v>
      </c>
      <c r="L59" s="16" t="s">
        <v>189</v>
      </c>
      <c r="N59" s="16" t="s">
        <v>79</v>
      </c>
      <c r="P59" s="16" t="s">
        <v>79</v>
      </c>
      <c r="R59" s="16" t="s">
        <v>79</v>
      </c>
      <c r="T59" s="16" t="s">
        <v>79</v>
      </c>
    </row>
    <row r="60" spans="2:20" ht="12.75">
      <c r="B60" s="16" t="s">
        <v>192</v>
      </c>
      <c r="C60" s="31"/>
      <c r="F60" s="16" t="s">
        <v>1</v>
      </c>
      <c r="H60" s="16" t="s">
        <v>1</v>
      </c>
      <c r="J60" s="16" t="s">
        <v>1</v>
      </c>
      <c r="L60" s="16" t="s">
        <v>1</v>
      </c>
      <c r="N60" s="16" t="s">
        <v>79</v>
      </c>
      <c r="P60" s="16" t="s">
        <v>79</v>
      </c>
      <c r="R60" s="16" t="s">
        <v>79</v>
      </c>
      <c r="T60" s="16" t="s">
        <v>79</v>
      </c>
    </row>
    <row r="61" spans="2:20" ht="12.75">
      <c r="B61" s="16" t="s">
        <v>163</v>
      </c>
      <c r="F61" s="16" t="s">
        <v>64</v>
      </c>
      <c r="H61" s="16" t="s">
        <v>64</v>
      </c>
      <c r="J61" s="16" t="s">
        <v>64</v>
      </c>
      <c r="L61" s="16" t="s">
        <v>64</v>
      </c>
      <c r="N61" s="16" t="s">
        <v>79</v>
      </c>
      <c r="P61" s="16" t="s">
        <v>79</v>
      </c>
      <c r="R61" s="16" t="s">
        <v>79</v>
      </c>
      <c r="T61" s="16" t="s">
        <v>79</v>
      </c>
    </row>
    <row r="62" spans="2:13" ht="12.75">
      <c r="B62" s="16" t="s">
        <v>162</v>
      </c>
      <c r="D62" s="16" t="s">
        <v>65</v>
      </c>
      <c r="F62" s="16">
        <v>2530324</v>
      </c>
      <c r="H62" s="16">
        <v>2518038</v>
      </c>
      <c r="J62" s="16">
        <v>2134749</v>
      </c>
      <c r="L62" s="37">
        <f>AVERAGE(F62,H62,J62)</f>
        <v>2394370.3333333335</v>
      </c>
      <c r="M62" s="37"/>
    </row>
    <row r="63" spans="2:12" ht="12.75">
      <c r="B63" s="16" t="s">
        <v>66</v>
      </c>
      <c r="D63" s="16" t="s">
        <v>67</v>
      </c>
      <c r="F63" s="16">
        <v>0.87</v>
      </c>
      <c r="H63" s="16">
        <v>0.87</v>
      </c>
      <c r="J63" s="16">
        <v>0.87</v>
      </c>
      <c r="L63" s="16">
        <v>0.87</v>
      </c>
    </row>
    <row r="64" spans="2:12" ht="12.75">
      <c r="B64" s="16" t="s">
        <v>203</v>
      </c>
      <c r="D64" s="16" t="s">
        <v>69</v>
      </c>
      <c r="F64" s="16">
        <v>8314</v>
      </c>
      <c r="H64" s="16">
        <v>8314</v>
      </c>
      <c r="J64" s="16">
        <v>8314</v>
      </c>
      <c r="L64" s="16">
        <v>8314</v>
      </c>
    </row>
    <row r="65" spans="2:10" ht="12.75">
      <c r="B65" s="16" t="s">
        <v>8</v>
      </c>
      <c r="D65" s="16" t="s">
        <v>65</v>
      </c>
      <c r="F65" s="16">
        <v>65.788</v>
      </c>
      <c r="H65" s="16">
        <v>32.734</v>
      </c>
      <c r="I65" s="16" t="s">
        <v>57</v>
      </c>
      <c r="J65" s="16">
        <v>2.135</v>
      </c>
    </row>
    <row r="66" spans="2:10" ht="12.75">
      <c r="B66" s="16" t="s">
        <v>70</v>
      </c>
      <c r="D66" s="16" t="s">
        <v>65</v>
      </c>
      <c r="E66" s="16" t="s">
        <v>57</v>
      </c>
      <c r="F66" s="16">
        <v>1.265</v>
      </c>
      <c r="G66" s="16" t="s">
        <v>57</v>
      </c>
      <c r="H66" s="16">
        <v>1.259</v>
      </c>
      <c r="I66" s="16" t="s">
        <v>57</v>
      </c>
      <c r="J66" s="16">
        <v>1.067</v>
      </c>
    </row>
    <row r="67" spans="2:10" ht="12.75">
      <c r="B67" s="16" t="s">
        <v>153</v>
      </c>
      <c r="D67" s="16" t="s">
        <v>65</v>
      </c>
      <c r="E67" s="16" t="s">
        <v>57</v>
      </c>
      <c r="F67" s="16">
        <v>0.104</v>
      </c>
      <c r="G67" s="16" t="s">
        <v>57</v>
      </c>
      <c r="H67" s="16">
        <v>0.103</v>
      </c>
      <c r="I67" s="16" t="s">
        <v>57</v>
      </c>
      <c r="J67" s="16">
        <v>0.088</v>
      </c>
    </row>
    <row r="68" spans="2:10" ht="12.75">
      <c r="B68" s="16" t="s">
        <v>149</v>
      </c>
      <c r="D68" s="16" t="s">
        <v>65</v>
      </c>
      <c r="E68" s="16" t="s">
        <v>57</v>
      </c>
      <c r="F68" s="16">
        <v>0.076</v>
      </c>
      <c r="G68" s="16" t="s">
        <v>57</v>
      </c>
      <c r="H68" s="16">
        <v>0.076</v>
      </c>
      <c r="I68" s="16" t="s">
        <v>57</v>
      </c>
      <c r="J68" s="16">
        <v>0.064</v>
      </c>
    </row>
    <row r="69" spans="2:10" ht="12.75">
      <c r="B69" s="16" t="s">
        <v>151</v>
      </c>
      <c r="D69" s="16" t="s">
        <v>65</v>
      </c>
      <c r="E69" s="16" t="s">
        <v>57</v>
      </c>
      <c r="F69" s="16">
        <v>0.382</v>
      </c>
      <c r="G69" s="16" t="s">
        <v>57</v>
      </c>
      <c r="H69" s="16">
        <v>0.38</v>
      </c>
      <c r="I69" s="16" t="s">
        <v>57</v>
      </c>
      <c r="J69" s="16">
        <v>0.322</v>
      </c>
    </row>
    <row r="70" spans="2:10" ht="12.75">
      <c r="B70" s="16" t="s">
        <v>150</v>
      </c>
      <c r="D70" s="16" t="s">
        <v>65</v>
      </c>
      <c r="E70" s="16" t="s">
        <v>57</v>
      </c>
      <c r="F70" s="16">
        <v>0.005</v>
      </c>
      <c r="G70" s="16" t="s">
        <v>57</v>
      </c>
      <c r="H70" s="16">
        <v>0.005</v>
      </c>
      <c r="I70" s="16" t="s">
        <v>57</v>
      </c>
      <c r="J70" s="16">
        <v>0.004</v>
      </c>
    </row>
    <row r="71" spans="2:10" ht="12.75">
      <c r="B71" s="16" t="s">
        <v>156</v>
      </c>
      <c r="D71" s="16" t="s">
        <v>65</v>
      </c>
      <c r="E71" s="16" t="s">
        <v>57</v>
      </c>
      <c r="F71" s="16">
        <v>0.005</v>
      </c>
      <c r="G71" s="16" t="s">
        <v>57</v>
      </c>
      <c r="H71" s="16">
        <v>0.005</v>
      </c>
      <c r="I71" s="16" t="s">
        <v>57</v>
      </c>
      <c r="J71" s="16">
        <v>0.004</v>
      </c>
    </row>
    <row r="72" spans="2:10" ht="12.75">
      <c r="B72" s="16" t="s">
        <v>158</v>
      </c>
      <c r="D72" s="16" t="s">
        <v>65</v>
      </c>
      <c r="E72" s="16" t="s">
        <v>57</v>
      </c>
      <c r="F72" s="16">
        <v>0.154</v>
      </c>
      <c r="G72" s="16" t="s">
        <v>57</v>
      </c>
      <c r="H72" s="16">
        <v>0.154</v>
      </c>
      <c r="I72" s="16" t="s">
        <v>57</v>
      </c>
      <c r="J72" s="16">
        <v>0.13</v>
      </c>
    </row>
    <row r="73" spans="2:10" ht="12.75">
      <c r="B73" s="16" t="s">
        <v>154</v>
      </c>
      <c r="D73" s="16" t="s">
        <v>65</v>
      </c>
      <c r="E73" s="16" t="s">
        <v>57</v>
      </c>
      <c r="F73" s="16">
        <v>0.051</v>
      </c>
      <c r="G73" s="16" t="s">
        <v>57</v>
      </c>
      <c r="H73" s="16">
        <v>0.05</v>
      </c>
      <c r="I73" s="16" t="s">
        <v>57</v>
      </c>
      <c r="J73" s="16">
        <v>0.043</v>
      </c>
    </row>
    <row r="74" spans="2:10" ht="12.75">
      <c r="B74" s="16" t="s">
        <v>161</v>
      </c>
      <c r="D74" s="16" t="s">
        <v>65</v>
      </c>
      <c r="E74" s="16" t="s">
        <v>57</v>
      </c>
      <c r="F74" s="16">
        <v>0.086</v>
      </c>
      <c r="G74" s="16" t="s">
        <v>57</v>
      </c>
      <c r="H74" s="16">
        <v>0.086</v>
      </c>
      <c r="I74" s="16" t="s">
        <v>57</v>
      </c>
      <c r="J74" s="16">
        <v>0.073</v>
      </c>
    </row>
    <row r="75" spans="2:10" ht="12.75">
      <c r="B75" s="16" t="s">
        <v>155</v>
      </c>
      <c r="D75" s="16" t="s">
        <v>65</v>
      </c>
      <c r="E75" s="16" t="s">
        <v>57</v>
      </c>
      <c r="F75" s="16">
        <v>0.076</v>
      </c>
      <c r="G75" s="16" t="s">
        <v>57</v>
      </c>
      <c r="H75" s="16">
        <v>0.076</v>
      </c>
      <c r="I75" s="16" t="s">
        <v>57</v>
      </c>
      <c r="J75" s="16">
        <v>0.064</v>
      </c>
    </row>
    <row r="76" spans="2:10" ht="12.75">
      <c r="B76" s="16" t="s">
        <v>168</v>
      </c>
      <c r="D76" s="16" t="s">
        <v>65</v>
      </c>
      <c r="E76" s="16" t="s">
        <v>57</v>
      </c>
      <c r="F76" s="16">
        <v>0.129</v>
      </c>
      <c r="G76" s="16" t="s">
        <v>57</v>
      </c>
      <c r="H76" s="16">
        <v>0.128</v>
      </c>
      <c r="I76" s="16" t="s">
        <v>57</v>
      </c>
      <c r="J76" s="16">
        <v>0.129</v>
      </c>
    </row>
    <row r="77" spans="2:10" ht="12.75">
      <c r="B77" s="16" t="s">
        <v>157</v>
      </c>
      <c r="D77" s="16" t="s">
        <v>65</v>
      </c>
      <c r="E77" s="16" t="s">
        <v>57</v>
      </c>
      <c r="F77" s="16">
        <v>0.025</v>
      </c>
      <c r="G77" s="16" t="s">
        <v>57</v>
      </c>
      <c r="H77" s="16">
        <v>0.025</v>
      </c>
      <c r="I77" s="16" t="s">
        <v>57</v>
      </c>
      <c r="J77" s="16">
        <v>0.021</v>
      </c>
    </row>
    <row r="78" spans="1:10" ht="12.75">
      <c r="A78" s="16" t="s">
        <v>159</v>
      </c>
      <c r="B78" s="16" t="s">
        <v>152</v>
      </c>
      <c r="D78" s="16" t="s">
        <v>65</v>
      </c>
      <c r="E78" s="16" t="s">
        <v>57</v>
      </c>
      <c r="F78" s="16">
        <v>0.076</v>
      </c>
      <c r="G78" s="16" t="s">
        <v>57</v>
      </c>
      <c r="H78" s="16">
        <v>0.076</v>
      </c>
      <c r="I78" s="16" t="s">
        <v>57</v>
      </c>
      <c r="J78" s="16">
        <v>0.064</v>
      </c>
    </row>
    <row r="81" spans="2:13" ht="12.75">
      <c r="B81" s="16" t="s">
        <v>71</v>
      </c>
      <c r="D81" s="16" t="s">
        <v>14</v>
      </c>
      <c r="F81" s="16">
        <f>emiss!G37</f>
        <v>62491</v>
      </c>
      <c r="H81" s="16">
        <f>emiss!I37</f>
        <v>64242</v>
      </c>
      <c r="J81" s="16">
        <f>emiss!K37</f>
        <v>64152</v>
      </c>
      <c r="L81" s="37">
        <f>AVERAGE(F81,H81,J81)</f>
        <v>63628.333333333336</v>
      </c>
      <c r="M81" s="37"/>
    </row>
    <row r="82" spans="2:12" ht="12.75">
      <c r="B82" s="16" t="s">
        <v>9</v>
      </c>
      <c r="D82" s="16" t="s">
        <v>15</v>
      </c>
      <c r="F82" s="16">
        <f>emiss!G38</f>
        <v>6.8</v>
      </c>
      <c r="H82" s="16">
        <f>emiss!I38</f>
        <v>6.9</v>
      </c>
      <c r="J82" s="16">
        <f>emiss!K38</f>
        <v>6.7</v>
      </c>
      <c r="L82" s="16">
        <f>AVERAGE(F82,H82,J82)</f>
        <v>6.8</v>
      </c>
    </row>
    <row r="84" spans="2:20" ht="12.75">
      <c r="B84" s="16" t="s">
        <v>160</v>
      </c>
      <c r="D84" s="16" t="s">
        <v>191</v>
      </c>
      <c r="F84" s="35">
        <f>F62/454*F64/1000000</f>
        <v>46.33725492511013</v>
      </c>
      <c r="H84" s="35">
        <f>H62/454*H64/1000000</f>
        <v>46.11226416740088</v>
      </c>
      <c r="J84" s="35">
        <f>J62/454*J64/1000000</f>
        <v>39.09317882378855</v>
      </c>
      <c r="L84" s="35">
        <f>L62/454*L64/1000000</f>
        <v>43.84756597209986</v>
      </c>
      <c r="M84" s="35"/>
      <c r="N84" s="35">
        <f>F84</f>
        <v>46.33725492511013</v>
      </c>
      <c r="P84" s="35">
        <f>H84</f>
        <v>46.11226416740088</v>
      </c>
      <c r="R84" s="35">
        <f>J84</f>
        <v>39.09317882378855</v>
      </c>
      <c r="T84" s="35">
        <f>L84</f>
        <v>43.84756597209986</v>
      </c>
    </row>
    <row r="85" spans="2:20" ht="12.75">
      <c r="B85" s="16" t="s">
        <v>194</v>
      </c>
      <c r="D85" s="16" t="s">
        <v>191</v>
      </c>
      <c r="L85" s="37"/>
      <c r="M85" s="37"/>
      <c r="T85" s="37">
        <f>L81/150*(21-L82)/21</f>
        <v>286.8324867724868</v>
      </c>
    </row>
    <row r="86" spans="12:13" ht="12.75">
      <c r="L86" s="35"/>
      <c r="M86" s="35"/>
    </row>
    <row r="87" spans="2:13" ht="12.75">
      <c r="B87" s="36" t="s">
        <v>126</v>
      </c>
      <c r="C87" s="36"/>
      <c r="L87" s="35"/>
      <c r="M87" s="35"/>
    </row>
    <row r="88" spans="2:20" ht="12.75">
      <c r="B88" s="16" t="s">
        <v>8</v>
      </c>
      <c r="D88" s="16" t="s">
        <v>13</v>
      </c>
      <c r="F88" s="38">
        <f>F65/60*1000*1/(0.0283*F81)*(21-7)/(21-F82)</f>
        <v>0.611267371860363</v>
      </c>
      <c r="G88" s="35"/>
      <c r="H88" s="38">
        <f>H65/60*1000*1/(0.0283*H81)*(21-7)/(21-H82)</f>
        <v>0.297955400932179</v>
      </c>
      <c r="I88" s="37">
        <v>100</v>
      </c>
      <c r="J88" s="41">
        <f>J65/60*1000*1/(0.0283*J81)*(21-7)/(21-J82)</f>
        <v>0.01918854262471035</v>
      </c>
      <c r="K88" s="24">
        <f>(E88*F88+G88*H88+I88*J88)/3/L88</f>
        <v>2.0668148164573497</v>
      </c>
      <c r="L88" s="35">
        <f>AVERAGE(F88,H88,J88)</f>
        <v>0.30947043847241745</v>
      </c>
      <c r="M88" s="37">
        <f aca="true" t="shared" si="7" ref="M88:T88">E88</f>
        <v>0</v>
      </c>
      <c r="N88" s="35">
        <f t="shared" si="7"/>
        <v>0.611267371860363</v>
      </c>
      <c r="O88" s="37">
        <f t="shared" si="7"/>
        <v>0</v>
      </c>
      <c r="P88" s="35">
        <f t="shared" si="7"/>
        <v>0.297955400932179</v>
      </c>
      <c r="Q88" s="37">
        <f t="shared" si="7"/>
        <v>100</v>
      </c>
      <c r="R88" s="35">
        <f t="shared" si="7"/>
        <v>0.01918854262471035</v>
      </c>
      <c r="S88" s="37">
        <f t="shared" si="7"/>
        <v>2.0668148164573497</v>
      </c>
      <c r="T88" s="35">
        <f t="shared" si="7"/>
        <v>0.30947043847241745</v>
      </c>
    </row>
    <row r="89" spans="2:20" ht="12.75">
      <c r="B89" s="16" t="s">
        <v>70</v>
      </c>
      <c r="D89" s="16" t="s">
        <v>12</v>
      </c>
      <c r="E89" s="16">
        <v>100</v>
      </c>
      <c r="F89" s="38">
        <f>F66/60*1000000*1/(0.0283*F$81)*(21-7)/(21-F$82)</f>
        <v>11.753712309286783</v>
      </c>
      <c r="G89" s="16">
        <v>100</v>
      </c>
      <c r="H89" s="38">
        <f>H66/60*1000000*1/(0.0283*H$81)*(21-7)/(21-H$82)</f>
        <v>11.459823112776116</v>
      </c>
      <c r="I89" s="16">
        <v>100</v>
      </c>
      <c r="J89" s="38">
        <f aca="true" t="shared" si="8" ref="J89:J101">J66/60*1000000*1/(0.0283*J$81)*(21-7)/(21-J$82)</f>
        <v>9.5897775084618</v>
      </c>
      <c r="K89" s="24">
        <v>100</v>
      </c>
      <c r="L89" s="35">
        <f aca="true" t="shared" si="9" ref="L89:L101">AVERAGE(F89,H89,J89)</f>
        <v>10.934437643508232</v>
      </c>
      <c r="M89" s="37">
        <f aca="true" t="shared" si="10" ref="M89:S104">E89</f>
        <v>100</v>
      </c>
      <c r="N89" s="35">
        <f aca="true" t="shared" si="11" ref="N89:N101">F89</f>
        <v>11.753712309286783</v>
      </c>
      <c r="O89" s="37">
        <f t="shared" si="10"/>
        <v>100</v>
      </c>
      <c r="P89" s="35">
        <f aca="true" t="shared" si="12" ref="P89:P101">H89</f>
        <v>11.459823112776116</v>
      </c>
      <c r="Q89" s="37">
        <f t="shared" si="10"/>
        <v>100</v>
      </c>
      <c r="R89" s="35">
        <f aca="true" t="shared" si="13" ref="R89:R101">J89</f>
        <v>9.5897775084618</v>
      </c>
      <c r="S89" s="37">
        <f t="shared" si="10"/>
        <v>100</v>
      </c>
      <c r="T89" s="35">
        <f>L89</f>
        <v>10.934437643508232</v>
      </c>
    </row>
    <row r="90" spans="2:20" ht="12.75">
      <c r="B90" s="16" t="s">
        <v>153</v>
      </c>
      <c r="D90" s="16" t="s">
        <v>12</v>
      </c>
      <c r="E90" s="16">
        <v>100</v>
      </c>
      <c r="F90" s="38">
        <f aca="true" t="shared" si="14" ref="F90:H101">F67/60*1000000*1/(0.0283*F$81)*(21-7)/(21-F$82)</f>
        <v>0.966313106850455</v>
      </c>
      <c r="G90" s="16">
        <v>100</v>
      </c>
      <c r="H90" s="38">
        <f t="shared" si="14"/>
        <v>0.9375391426655599</v>
      </c>
      <c r="I90" s="16">
        <v>100</v>
      </c>
      <c r="J90" s="38">
        <f t="shared" si="8"/>
        <v>0.7909094852339629</v>
      </c>
      <c r="K90" s="24">
        <v>100</v>
      </c>
      <c r="L90" s="35">
        <f t="shared" si="9"/>
        <v>0.898253911583326</v>
      </c>
      <c r="M90" s="37">
        <f t="shared" si="10"/>
        <v>100</v>
      </c>
      <c r="N90" s="35">
        <f t="shared" si="11"/>
        <v>0.966313106850455</v>
      </c>
      <c r="O90" s="37">
        <f t="shared" si="10"/>
        <v>100</v>
      </c>
      <c r="P90" s="35">
        <f t="shared" si="12"/>
        <v>0.9375391426655599</v>
      </c>
      <c r="Q90" s="37">
        <f t="shared" si="10"/>
        <v>100</v>
      </c>
      <c r="R90" s="35">
        <f t="shared" si="13"/>
        <v>0.7909094852339629</v>
      </c>
      <c r="S90" s="37">
        <f t="shared" si="10"/>
        <v>100</v>
      </c>
      <c r="T90" s="35">
        <f>L90</f>
        <v>0.898253911583326</v>
      </c>
    </row>
    <row r="91" spans="2:20" ht="12.75">
      <c r="B91" s="16" t="s">
        <v>149</v>
      </c>
      <c r="D91" s="16" t="s">
        <v>12</v>
      </c>
      <c r="E91" s="16">
        <v>100</v>
      </c>
      <c r="F91" s="38">
        <f t="shared" si="14"/>
        <v>0.7061518857753324</v>
      </c>
      <c r="G91" s="16">
        <v>100</v>
      </c>
      <c r="H91" s="38">
        <f t="shared" si="14"/>
        <v>0.6917764547823548</v>
      </c>
      <c r="I91" s="16">
        <v>100</v>
      </c>
      <c r="J91" s="38">
        <f t="shared" si="8"/>
        <v>0.575206898351973</v>
      </c>
      <c r="K91" s="24">
        <v>100</v>
      </c>
      <c r="L91" s="35">
        <f t="shared" si="9"/>
        <v>0.65771174630322</v>
      </c>
      <c r="M91" s="37">
        <f t="shared" si="10"/>
        <v>100</v>
      </c>
      <c r="N91" s="35">
        <f t="shared" si="11"/>
        <v>0.7061518857753324</v>
      </c>
      <c r="O91" s="37">
        <f t="shared" si="10"/>
        <v>100</v>
      </c>
      <c r="P91" s="35">
        <f t="shared" si="12"/>
        <v>0.6917764547823548</v>
      </c>
      <c r="Q91" s="37">
        <f t="shared" si="10"/>
        <v>100</v>
      </c>
      <c r="R91" s="35">
        <f t="shared" si="13"/>
        <v>0.575206898351973</v>
      </c>
      <c r="S91" s="37">
        <f t="shared" si="10"/>
        <v>100</v>
      </c>
      <c r="T91" s="35">
        <f aca="true" t="shared" si="15" ref="T91:T96">L91</f>
        <v>0.65771174630322</v>
      </c>
    </row>
    <row r="92" spans="2:20" ht="12.75">
      <c r="B92" s="16" t="s">
        <v>151</v>
      </c>
      <c r="D92" s="16" t="s">
        <v>12</v>
      </c>
      <c r="E92" s="16">
        <v>100</v>
      </c>
      <c r="F92" s="38">
        <f t="shared" si="14"/>
        <v>3.549342373239172</v>
      </c>
      <c r="G92" s="16">
        <v>100</v>
      </c>
      <c r="H92" s="38">
        <f t="shared" si="14"/>
        <v>3.4588822739117746</v>
      </c>
      <c r="I92" s="16">
        <v>100</v>
      </c>
      <c r="J92" s="38">
        <f t="shared" si="8"/>
        <v>2.8940097073333644</v>
      </c>
      <c r="K92" s="24">
        <v>100</v>
      </c>
      <c r="L92" s="35">
        <f t="shared" si="9"/>
        <v>3.3007447848281033</v>
      </c>
      <c r="M92" s="37">
        <f t="shared" si="10"/>
        <v>100</v>
      </c>
      <c r="N92" s="35">
        <f t="shared" si="11"/>
        <v>3.549342373239172</v>
      </c>
      <c r="O92" s="37">
        <f t="shared" si="10"/>
        <v>100</v>
      </c>
      <c r="P92" s="35">
        <f t="shared" si="12"/>
        <v>3.4588822739117746</v>
      </c>
      <c r="Q92" s="37">
        <f t="shared" si="10"/>
        <v>100</v>
      </c>
      <c r="R92" s="35">
        <f t="shared" si="13"/>
        <v>2.8940097073333644</v>
      </c>
      <c r="S92" s="37">
        <f t="shared" si="10"/>
        <v>100</v>
      </c>
      <c r="T92" s="35">
        <f t="shared" si="15"/>
        <v>3.3007447848281033</v>
      </c>
    </row>
    <row r="93" spans="2:20" ht="12.75">
      <c r="B93" s="16" t="s">
        <v>150</v>
      </c>
      <c r="D93" s="16" t="s">
        <v>12</v>
      </c>
      <c r="E93" s="16">
        <v>100</v>
      </c>
      <c r="F93" s="38">
        <f t="shared" si="14"/>
        <v>0.04645736090627187</v>
      </c>
      <c r="G93" s="16">
        <v>100</v>
      </c>
      <c r="H93" s="38">
        <f t="shared" si="14"/>
        <v>0.04551160886726019</v>
      </c>
      <c r="I93" s="16">
        <v>100</v>
      </c>
      <c r="J93" s="38">
        <f t="shared" si="8"/>
        <v>0.035950431146998314</v>
      </c>
      <c r="K93" s="24">
        <v>100</v>
      </c>
      <c r="L93" s="35">
        <f t="shared" si="9"/>
        <v>0.04263980030684345</v>
      </c>
      <c r="M93" s="37">
        <f t="shared" si="10"/>
        <v>100</v>
      </c>
      <c r="N93" s="35">
        <f t="shared" si="11"/>
        <v>0.04645736090627187</v>
      </c>
      <c r="O93" s="37">
        <f t="shared" si="10"/>
        <v>100</v>
      </c>
      <c r="P93" s="35">
        <f t="shared" si="12"/>
        <v>0.04551160886726019</v>
      </c>
      <c r="Q93" s="37">
        <f t="shared" si="10"/>
        <v>100</v>
      </c>
      <c r="R93" s="35">
        <f t="shared" si="13"/>
        <v>0.035950431146998314</v>
      </c>
      <c r="S93" s="37">
        <f t="shared" si="10"/>
        <v>100</v>
      </c>
      <c r="T93" s="35">
        <f t="shared" si="15"/>
        <v>0.04263980030684345</v>
      </c>
    </row>
    <row r="94" spans="2:20" ht="12.75">
      <c r="B94" s="16" t="s">
        <v>156</v>
      </c>
      <c r="D94" s="16" t="s">
        <v>12</v>
      </c>
      <c r="E94" s="16">
        <v>100</v>
      </c>
      <c r="F94" s="38">
        <f t="shared" si="14"/>
        <v>0.04645736090627187</v>
      </c>
      <c r="G94" s="16">
        <v>100</v>
      </c>
      <c r="H94" s="38">
        <f t="shared" si="14"/>
        <v>0.04551160886726019</v>
      </c>
      <c r="I94" s="16">
        <v>100</v>
      </c>
      <c r="J94" s="38">
        <f t="shared" si="8"/>
        <v>0.035950431146998314</v>
      </c>
      <c r="K94" s="24">
        <v>100</v>
      </c>
      <c r="L94" s="35">
        <f t="shared" si="9"/>
        <v>0.04263980030684345</v>
      </c>
      <c r="M94" s="37">
        <f t="shared" si="10"/>
        <v>100</v>
      </c>
      <c r="N94" s="35">
        <f t="shared" si="11"/>
        <v>0.04645736090627187</v>
      </c>
      <c r="O94" s="37">
        <f t="shared" si="10"/>
        <v>100</v>
      </c>
      <c r="P94" s="35">
        <f t="shared" si="12"/>
        <v>0.04551160886726019</v>
      </c>
      <c r="Q94" s="37">
        <f t="shared" si="10"/>
        <v>100</v>
      </c>
      <c r="R94" s="35">
        <f t="shared" si="13"/>
        <v>0.035950431146998314</v>
      </c>
      <c r="S94" s="37">
        <f t="shared" si="10"/>
        <v>100</v>
      </c>
      <c r="T94" s="35">
        <f t="shared" si="15"/>
        <v>0.04263980030684345</v>
      </c>
    </row>
    <row r="95" spans="2:20" ht="12.75">
      <c r="B95" s="16" t="s">
        <v>158</v>
      </c>
      <c r="D95" s="16" t="s">
        <v>12</v>
      </c>
      <c r="E95" s="16">
        <v>100</v>
      </c>
      <c r="F95" s="38">
        <f t="shared" si="14"/>
        <v>1.430886715913174</v>
      </c>
      <c r="G95" s="16">
        <v>100</v>
      </c>
      <c r="H95" s="38">
        <f t="shared" si="14"/>
        <v>1.4017575531116142</v>
      </c>
      <c r="I95" s="16">
        <v>100</v>
      </c>
      <c r="J95" s="38">
        <f t="shared" si="8"/>
        <v>1.168389012277445</v>
      </c>
      <c r="K95" s="24">
        <v>100</v>
      </c>
      <c r="L95" s="35">
        <f t="shared" si="9"/>
        <v>1.333677760434078</v>
      </c>
      <c r="M95" s="37">
        <f t="shared" si="10"/>
        <v>100</v>
      </c>
      <c r="N95" s="35">
        <f t="shared" si="11"/>
        <v>1.430886715913174</v>
      </c>
      <c r="O95" s="37">
        <f t="shared" si="10"/>
        <v>100</v>
      </c>
      <c r="P95" s="35">
        <f t="shared" si="12"/>
        <v>1.4017575531116142</v>
      </c>
      <c r="Q95" s="37">
        <f t="shared" si="10"/>
        <v>100</v>
      </c>
      <c r="R95" s="35">
        <f t="shared" si="13"/>
        <v>1.168389012277445</v>
      </c>
      <c r="S95" s="37">
        <f t="shared" si="10"/>
        <v>100</v>
      </c>
      <c r="T95" s="35">
        <f t="shared" si="15"/>
        <v>1.333677760434078</v>
      </c>
    </row>
    <row r="96" spans="2:20" ht="12.75" customHeight="1">
      <c r="B96" s="16" t="s">
        <v>154</v>
      </c>
      <c r="D96" s="16" t="s">
        <v>12</v>
      </c>
      <c r="E96" s="16">
        <v>100</v>
      </c>
      <c r="F96" s="38">
        <f t="shared" si="14"/>
        <v>0.47386508124397314</v>
      </c>
      <c r="G96" s="16">
        <v>100</v>
      </c>
      <c r="H96" s="38">
        <f t="shared" si="14"/>
        <v>0.45511608867260195</v>
      </c>
      <c r="I96" s="16">
        <v>100</v>
      </c>
      <c r="J96" s="38">
        <f t="shared" si="8"/>
        <v>0.38646713483023176</v>
      </c>
      <c r="K96" s="24">
        <v>100</v>
      </c>
      <c r="L96" s="35">
        <f t="shared" si="9"/>
        <v>0.4384827682489356</v>
      </c>
      <c r="M96" s="37">
        <f t="shared" si="10"/>
        <v>100</v>
      </c>
      <c r="N96" s="35">
        <f t="shared" si="11"/>
        <v>0.47386508124397314</v>
      </c>
      <c r="O96" s="37">
        <f t="shared" si="10"/>
        <v>100</v>
      </c>
      <c r="P96" s="35">
        <f t="shared" si="12"/>
        <v>0.45511608867260195</v>
      </c>
      <c r="Q96" s="37">
        <f t="shared" si="10"/>
        <v>100</v>
      </c>
      <c r="R96" s="35">
        <f t="shared" si="13"/>
        <v>0.38646713483023176</v>
      </c>
      <c r="S96" s="37">
        <f t="shared" si="10"/>
        <v>100</v>
      </c>
      <c r="T96" s="35">
        <f t="shared" si="15"/>
        <v>0.4384827682489356</v>
      </c>
    </row>
    <row r="97" spans="2:20" ht="12.75" customHeight="1">
      <c r="B97" s="16" t="s">
        <v>161</v>
      </c>
      <c r="D97" s="16" t="s">
        <v>12</v>
      </c>
      <c r="E97" s="16">
        <v>100</v>
      </c>
      <c r="F97" s="38">
        <f t="shared" si="14"/>
        <v>0.7990666075878762</v>
      </c>
      <c r="G97" s="16">
        <v>100</v>
      </c>
      <c r="H97" s="38">
        <f t="shared" si="14"/>
        <v>0.7827996725168752</v>
      </c>
      <c r="I97" s="16">
        <v>100</v>
      </c>
      <c r="J97" s="38">
        <f t="shared" si="8"/>
        <v>0.6560953684327192</v>
      </c>
      <c r="K97" s="24">
        <v>100</v>
      </c>
      <c r="L97" s="35">
        <f t="shared" si="9"/>
        <v>0.7459872161791569</v>
      </c>
      <c r="M97" s="37">
        <f t="shared" si="10"/>
        <v>100</v>
      </c>
      <c r="N97" s="35">
        <f t="shared" si="11"/>
        <v>0.7990666075878762</v>
      </c>
      <c r="O97" s="37">
        <f t="shared" si="10"/>
        <v>100</v>
      </c>
      <c r="P97" s="35">
        <f t="shared" si="12"/>
        <v>0.7827996725168752</v>
      </c>
      <c r="Q97" s="37">
        <f t="shared" si="10"/>
        <v>100</v>
      </c>
      <c r="R97" s="35">
        <f t="shared" si="13"/>
        <v>0.6560953684327192</v>
      </c>
      <c r="S97" s="37">
        <f t="shared" si="10"/>
        <v>100</v>
      </c>
      <c r="T97" s="25">
        <f>L97</f>
        <v>0.7459872161791569</v>
      </c>
    </row>
    <row r="98" spans="2:20" ht="12.75" customHeight="1">
      <c r="B98" s="16" t="s">
        <v>155</v>
      </c>
      <c r="D98" s="16" t="s">
        <v>12</v>
      </c>
      <c r="E98" s="16">
        <v>100</v>
      </c>
      <c r="F98" s="38">
        <f t="shared" si="14"/>
        <v>0.7061518857753324</v>
      </c>
      <c r="G98" s="16">
        <v>100</v>
      </c>
      <c r="H98" s="38">
        <f t="shared" si="14"/>
        <v>0.6917764547823548</v>
      </c>
      <c r="I98" s="16">
        <v>100</v>
      </c>
      <c r="J98" s="38">
        <f t="shared" si="8"/>
        <v>0.575206898351973</v>
      </c>
      <c r="K98" s="24">
        <v>100</v>
      </c>
      <c r="L98" s="35">
        <f t="shared" si="9"/>
        <v>0.65771174630322</v>
      </c>
      <c r="M98" s="37">
        <f t="shared" si="10"/>
        <v>100</v>
      </c>
      <c r="N98" s="35">
        <f t="shared" si="11"/>
        <v>0.7061518857753324</v>
      </c>
      <c r="O98" s="37">
        <f t="shared" si="10"/>
        <v>100</v>
      </c>
      <c r="P98" s="35">
        <f t="shared" si="12"/>
        <v>0.6917764547823548</v>
      </c>
      <c r="Q98" s="37">
        <f t="shared" si="10"/>
        <v>100</v>
      </c>
      <c r="R98" s="35">
        <f t="shared" si="13"/>
        <v>0.575206898351973</v>
      </c>
      <c r="S98" s="37">
        <f t="shared" si="10"/>
        <v>100</v>
      </c>
      <c r="T98" s="35">
        <f>L98</f>
        <v>0.65771174630322</v>
      </c>
    </row>
    <row r="99" spans="2:20" ht="12.75" customHeight="1">
      <c r="B99" s="16" t="s">
        <v>168</v>
      </c>
      <c r="D99" s="16" t="s">
        <v>12</v>
      </c>
      <c r="E99" s="16">
        <v>100</v>
      </c>
      <c r="F99" s="38">
        <f t="shared" si="14"/>
        <v>1.1985999113818144</v>
      </c>
      <c r="G99" s="16">
        <v>100</v>
      </c>
      <c r="H99" s="38">
        <f t="shared" si="14"/>
        <v>1.165097187001861</v>
      </c>
      <c r="I99" s="16">
        <v>100</v>
      </c>
      <c r="J99" s="38">
        <f t="shared" si="8"/>
        <v>1.1594014044906955</v>
      </c>
      <c r="K99" s="24">
        <v>100</v>
      </c>
      <c r="L99" s="35">
        <f t="shared" si="9"/>
        <v>1.1743661676247903</v>
      </c>
      <c r="M99" s="37">
        <f t="shared" si="10"/>
        <v>100</v>
      </c>
      <c r="N99" s="35">
        <f t="shared" si="11"/>
        <v>1.1985999113818144</v>
      </c>
      <c r="O99" s="37">
        <f t="shared" si="10"/>
        <v>100</v>
      </c>
      <c r="P99" s="35">
        <f t="shared" si="12"/>
        <v>1.165097187001861</v>
      </c>
      <c r="Q99" s="37">
        <f t="shared" si="10"/>
        <v>100</v>
      </c>
      <c r="R99" s="35">
        <f t="shared" si="13"/>
        <v>1.1594014044906955</v>
      </c>
      <c r="S99" s="37">
        <f t="shared" si="10"/>
        <v>100</v>
      </c>
      <c r="T99" s="35">
        <f>L99</f>
        <v>1.1743661676247903</v>
      </c>
    </row>
    <row r="100" spans="2:20" ht="12.75" customHeight="1">
      <c r="B100" s="16" t="s">
        <v>157</v>
      </c>
      <c r="D100" s="16" t="s">
        <v>12</v>
      </c>
      <c r="E100" s="16">
        <v>100</v>
      </c>
      <c r="F100" s="38">
        <f t="shared" si="14"/>
        <v>0.2322868045313594</v>
      </c>
      <c r="G100" s="16">
        <v>100</v>
      </c>
      <c r="H100" s="38">
        <f t="shared" si="14"/>
        <v>0.22755804433630097</v>
      </c>
      <c r="I100" s="16">
        <v>100</v>
      </c>
      <c r="J100" s="38">
        <f t="shared" si="8"/>
        <v>0.18873976352174113</v>
      </c>
      <c r="K100" s="24">
        <v>100</v>
      </c>
      <c r="L100" s="35">
        <f t="shared" si="9"/>
        <v>0.21619487079646715</v>
      </c>
      <c r="M100" s="37">
        <f t="shared" si="10"/>
        <v>100</v>
      </c>
      <c r="N100" s="35">
        <f t="shared" si="11"/>
        <v>0.2322868045313594</v>
      </c>
      <c r="O100" s="37">
        <f t="shared" si="10"/>
        <v>100</v>
      </c>
      <c r="P100" s="35">
        <f t="shared" si="12"/>
        <v>0.22755804433630097</v>
      </c>
      <c r="Q100" s="37">
        <f t="shared" si="10"/>
        <v>100</v>
      </c>
      <c r="R100" s="35">
        <f t="shared" si="13"/>
        <v>0.18873976352174113</v>
      </c>
      <c r="S100" s="37">
        <f t="shared" si="10"/>
        <v>100</v>
      </c>
      <c r="T100" s="35">
        <f>L100</f>
        <v>0.21619487079646715</v>
      </c>
    </row>
    <row r="101" spans="2:20" ht="12.75" customHeight="1">
      <c r="B101" s="16" t="s">
        <v>152</v>
      </c>
      <c r="D101" s="16" t="s">
        <v>12</v>
      </c>
      <c r="E101" s="16">
        <v>100</v>
      </c>
      <c r="F101" s="38">
        <f t="shared" si="14"/>
        <v>0.7061518857753324</v>
      </c>
      <c r="G101" s="16">
        <v>100</v>
      </c>
      <c r="H101" s="38">
        <f t="shared" si="14"/>
        <v>0.6917764547823548</v>
      </c>
      <c r="I101" s="16">
        <v>100</v>
      </c>
      <c r="J101" s="38">
        <f t="shared" si="8"/>
        <v>0.575206898351973</v>
      </c>
      <c r="K101" s="24">
        <v>100</v>
      </c>
      <c r="L101" s="35">
        <f t="shared" si="9"/>
        <v>0.65771174630322</v>
      </c>
      <c r="M101" s="37">
        <f t="shared" si="10"/>
        <v>100</v>
      </c>
      <c r="N101" s="35">
        <f t="shared" si="11"/>
        <v>0.7061518857753324</v>
      </c>
      <c r="O101" s="37">
        <f t="shared" si="10"/>
        <v>100</v>
      </c>
      <c r="P101" s="35">
        <f t="shared" si="12"/>
        <v>0.6917764547823548</v>
      </c>
      <c r="Q101" s="37">
        <f t="shared" si="10"/>
        <v>100</v>
      </c>
      <c r="R101" s="35">
        <f t="shared" si="13"/>
        <v>0.575206898351973</v>
      </c>
      <c r="S101" s="37">
        <f t="shared" si="10"/>
        <v>100</v>
      </c>
      <c r="T101" s="35">
        <f>L101</f>
        <v>0.65771174630322</v>
      </c>
    </row>
    <row r="102" spans="6:19" ht="12.75" customHeight="1">
      <c r="F102" s="35"/>
      <c r="G102" s="35"/>
      <c r="H102" s="35"/>
      <c r="I102" s="35"/>
      <c r="J102" s="35"/>
      <c r="K102" s="39"/>
      <c r="L102" s="35"/>
      <c r="M102" s="35"/>
      <c r="O102" s="35"/>
      <c r="Q102" s="35"/>
      <c r="S102" s="35"/>
    </row>
    <row r="103" spans="2:20" ht="12.75" customHeight="1">
      <c r="B103" s="16" t="s">
        <v>5</v>
      </c>
      <c r="D103" s="16" t="s">
        <v>12</v>
      </c>
      <c r="E103" s="16">
        <v>100</v>
      </c>
      <c r="F103" s="35">
        <f>(F94+F96)</f>
        <v>0.520322442150245</v>
      </c>
      <c r="G103" s="16">
        <v>100</v>
      </c>
      <c r="H103" s="35">
        <f>(H94+H96)</f>
        <v>0.5006276975398621</v>
      </c>
      <c r="I103" s="16">
        <v>100</v>
      </c>
      <c r="J103" s="35">
        <f>(J94+J96)</f>
        <v>0.42241756597723007</v>
      </c>
      <c r="K103" s="16">
        <v>100</v>
      </c>
      <c r="L103" s="35">
        <f>(L94+L96)</f>
        <v>0.48112256855577906</v>
      </c>
      <c r="M103" s="37">
        <f t="shared" si="10"/>
        <v>100</v>
      </c>
      <c r="N103" s="35">
        <f>F103</f>
        <v>0.520322442150245</v>
      </c>
      <c r="O103" s="37">
        <f t="shared" si="10"/>
        <v>100</v>
      </c>
      <c r="P103" s="35">
        <f>H103</f>
        <v>0.5006276975398621</v>
      </c>
      <c r="Q103" s="37">
        <f t="shared" si="10"/>
        <v>100</v>
      </c>
      <c r="R103" s="35">
        <f>J103</f>
        <v>0.42241756597723007</v>
      </c>
      <c r="S103" s="37">
        <f t="shared" si="10"/>
        <v>100</v>
      </c>
      <c r="T103" s="35">
        <f>L103</f>
        <v>0.48112256855577906</v>
      </c>
    </row>
    <row r="104" spans="2:20" ht="12.75" customHeight="1">
      <c r="B104" s="16" t="s">
        <v>6</v>
      </c>
      <c r="D104" s="16" t="s">
        <v>12</v>
      </c>
      <c r="E104" s="16">
        <v>100</v>
      </c>
      <c r="F104" s="35">
        <f>(F91+F93+F95)</f>
        <v>2.1834959625947783</v>
      </c>
      <c r="G104" s="16">
        <v>100</v>
      </c>
      <c r="H104" s="35">
        <f>(H91+H93+H95)</f>
        <v>2.139045616761229</v>
      </c>
      <c r="I104" s="16">
        <v>100</v>
      </c>
      <c r="J104" s="35">
        <f>(J91+J93+J95)</f>
        <v>1.7795463417764164</v>
      </c>
      <c r="K104" s="16">
        <v>100</v>
      </c>
      <c r="L104" s="35">
        <f>(L91+L93+L95)</f>
        <v>2.0340293070441415</v>
      </c>
      <c r="M104" s="37">
        <f t="shared" si="10"/>
        <v>100</v>
      </c>
      <c r="N104" s="35">
        <f>F104</f>
        <v>2.1834959625947783</v>
      </c>
      <c r="O104" s="37">
        <f t="shared" si="10"/>
        <v>100</v>
      </c>
      <c r="P104" s="35">
        <f>H104</f>
        <v>2.139045616761229</v>
      </c>
      <c r="Q104" s="37">
        <f t="shared" si="10"/>
        <v>100</v>
      </c>
      <c r="R104" s="35">
        <f>J104</f>
        <v>1.7795463417764164</v>
      </c>
      <c r="S104" s="37">
        <f t="shared" si="10"/>
        <v>100</v>
      </c>
      <c r="T104" s="35">
        <f>L104</f>
        <v>2.0340293070441415</v>
      </c>
    </row>
    <row r="105" spans="6:13" ht="12.75" customHeight="1">
      <c r="F105" s="25"/>
      <c r="H105" s="25"/>
      <c r="J105" s="25"/>
      <c r="L105" s="25"/>
      <c r="M105" s="25"/>
    </row>
    <row r="106" spans="6:13" ht="12.75" customHeight="1">
      <c r="F106" s="25"/>
      <c r="H106" s="25"/>
      <c r="J106" s="25"/>
      <c r="L106" s="25"/>
      <c r="M106" s="25"/>
    </row>
    <row r="107" ht="12.75" customHeight="1"/>
    <row r="108" spans="1:20" ht="12.75">
      <c r="A108" s="16" t="s">
        <v>159</v>
      </c>
      <c r="B108" s="31" t="s">
        <v>63</v>
      </c>
      <c r="C108" s="31"/>
      <c r="D108" s="16" t="s">
        <v>51</v>
      </c>
      <c r="F108" s="16" t="s">
        <v>165</v>
      </c>
      <c r="H108" s="16" t="s">
        <v>166</v>
      </c>
      <c r="J108" s="16" t="s">
        <v>167</v>
      </c>
      <c r="L108" s="16" t="s">
        <v>53</v>
      </c>
      <c r="N108" s="16" t="s">
        <v>165</v>
      </c>
      <c r="P108" s="16" t="s">
        <v>166</v>
      </c>
      <c r="R108" s="16" t="s">
        <v>167</v>
      </c>
      <c r="S108" s="20"/>
      <c r="T108" s="16" t="s">
        <v>53</v>
      </c>
    </row>
    <row r="109" ht="12" customHeight="1"/>
    <row r="110" spans="2:20" ht="12" customHeight="1">
      <c r="B110" s="16" t="s">
        <v>186</v>
      </c>
      <c r="C110" s="31"/>
      <c r="F110" s="16" t="s">
        <v>188</v>
      </c>
      <c r="H110" s="16" t="s">
        <v>188</v>
      </c>
      <c r="J110" s="16" t="s">
        <v>188</v>
      </c>
      <c r="L110" s="16" t="s">
        <v>188</v>
      </c>
      <c r="N110" s="16" t="s">
        <v>190</v>
      </c>
      <c r="P110" s="16" t="s">
        <v>190</v>
      </c>
      <c r="R110" s="16" t="s">
        <v>190</v>
      </c>
      <c r="T110" s="16" t="s">
        <v>190</v>
      </c>
    </row>
    <row r="111" spans="2:20" ht="12" customHeight="1">
      <c r="B111" s="16" t="s">
        <v>187</v>
      </c>
      <c r="C111" s="31"/>
      <c r="F111" s="16" t="s">
        <v>189</v>
      </c>
      <c r="H111" s="16" t="s">
        <v>189</v>
      </c>
      <c r="J111" s="16" t="s">
        <v>189</v>
      </c>
      <c r="L111" s="16" t="s">
        <v>189</v>
      </c>
      <c r="N111" s="16" t="s">
        <v>79</v>
      </c>
      <c r="P111" s="16" t="s">
        <v>79</v>
      </c>
      <c r="R111" s="16" t="s">
        <v>79</v>
      </c>
      <c r="T111" s="16" t="s">
        <v>79</v>
      </c>
    </row>
    <row r="112" spans="2:20" ht="12" customHeight="1">
      <c r="B112" s="16" t="s">
        <v>192</v>
      </c>
      <c r="C112" s="31"/>
      <c r="F112" s="16" t="s">
        <v>1</v>
      </c>
      <c r="H112" s="16" t="s">
        <v>1</v>
      </c>
      <c r="J112" s="16" t="s">
        <v>1</v>
      </c>
      <c r="L112" s="16" t="s">
        <v>1</v>
      </c>
      <c r="N112" s="16" t="s">
        <v>79</v>
      </c>
      <c r="P112" s="16" t="s">
        <v>79</v>
      </c>
      <c r="R112" s="16" t="s">
        <v>79</v>
      </c>
      <c r="T112" s="16" t="s">
        <v>79</v>
      </c>
    </row>
    <row r="113" spans="2:20" ht="12.75">
      <c r="B113" s="16" t="s">
        <v>163</v>
      </c>
      <c r="F113" s="16" t="s">
        <v>64</v>
      </c>
      <c r="H113" s="16" t="s">
        <v>64</v>
      </c>
      <c r="J113" s="16" t="s">
        <v>64</v>
      </c>
      <c r="L113" s="16" t="s">
        <v>64</v>
      </c>
      <c r="N113" s="16" t="s">
        <v>79</v>
      </c>
      <c r="P113" s="16" t="s">
        <v>79</v>
      </c>
      <c r="R113" s="16" t="s">
        <v>79</v>
      </c>
      <c r="T113" s="16" t="s">
        <v>79</v>
      </c>
    </row>
    <row r="114" spans="2:12" ht="12.75">
      <c r="B114" s="16" t="s">
        <v>162</v>
      </c>
      <c r="D114" s="16" t="s">
        <v>65</v>
      </c>
      <c r="F114" s="16">
        <v>2142571</v>
      </c>
      <c r="H114" s="16">
        <v>2086375</v>
      </c>
      <c r="J114" s="16">
        <v>2043568</v>
      </c>
      <c r="L114" s="16">
        <f>AVERAGE(F114,H114,J114)</f>
        <v>2090838</v>
      </c>
    </row>
    <row r="115" spans="2:12" ht="12.75">
      <c r="B115" s="16" t="s">
        <v>66</v>
      </c>
      <c r="D115" s="16" t="s">
        <v>67</v>
      </c>
      <c r="F115" s="16">
        <v>0.87</v>
      </c>
      <c r="H115" s="16">
        <v>0.87</v>
      </c>
      <c r="J115" s="16">
        <v>0.87</v>
      </c>
      <c r="L115" s="16">
        <v>0.87</v>
      </c>
    </row>
    <row r="116" spans="2:12" ht="12.75">
      <c r="B116" s="16" t="s">
        <v>203</v>
      </c>
      <c r="D116" s="16" t="s">
        <v>69</v>
      </c>
      <c r="F116" s="16">
        <v>8314</v>
      </c>
      <c r="H116" s="16">
        <v>8314</v>
      </c>
      <c r="J116" s="16">
        <v>8314</v>
      </c>
      <c r="L116" s="16">
        <v>8314</v>
      </c>
    </row>
    <row r="117" spans="2:10" ht="12.75">
      <c r="B117" s="16" t="s">
        <v>8</v>
      </c>
      <c r="D117" s="16" t="s">
        <v>65</v>
      </c>
      <c r="F117" s="16">
        <v>0.002</v>
      </c>
      <c r="H117" s="16">
        <v>35.468</v>
      </c>
      <c r="I117" s="16" t="s">
        <v>57</v>
      </c>
      <c r="J117" s="16">
        <v>2.044</v>
      </c>
    </row>
    <row r="118" spans="2:10" ht="12.75">
      <c r="B118" s="16" t="s">
        <v>70</v>
      </c>
      <c r="D118" s="16" t="s">
        <v>65</v>
      </c>
      <c r="E118" s="16" t="s">
        <v>57</v>
      </c>
      <c r="F118" s="16">
        <v>1.071</v>
      </c>
      <c r="G118" s="16" t="s">
        <v>57</v>
      </c>
      <c r="H118" s="16">
        <v>1.043</v>
      </c>
      <c r="I118" s="16" t="s">
        <v>57</v>
      </c>
      <c r="J118" s="16">
        <v>1.022</v>
      </c>
    </row>
    <row r="119" spans="2:10" ht="12.75">
      <c r="B119" s="16" t="s">
        <v>153</v>
      </c>
      <c r="D119" s="16" t="s">
        <v>65</v>
      </c>
      <c r="E119" s="16" t="s">
        <v>57</v>
      </c>
      <c r="F119" s="16">
        <v>0.086</v>
      </c>
      <c r="G119" s="16" t="s">
        <v>57</v>
      </c>
      <c r="H119" s="16">
        <v>0.086</v>
      </c>
      <c r="I119" s="16" t="s">
        <v>57</v>
      </c>
      <c r="J119" s="16">
        <v>0.084</v>
      </c>
    </row>
    <row r="120" spans="2:10" ht="12.75">
      <c r="B120" s="16" t="s">
        <v>149</v>
      </c>
      <c r="D120" s="16" t="s">
        <v>65</v>
      </c>
      <c r="E120" s="16" t="s">
        <v>57</v>
      </c>
      <c r="F120" s="16">
        <v>0.064</v>
      </c>
      <c r="G120" s="16" t="s">
        <v>57</v>
      </c>
      <c r="H120" s="16">
        <v>0.063</v>
      </c>
      <c r="I120" s="16" t="s">
        <v>57</v>
      </c>
      <c r="J120" s="16">
        <v>0.061</v>
      </c>
    </row>
    <row r="121" spans="2:10" ht="12.75">
      <c r="B121" s="16" t="s">
        <v>151</v>
      </c>
      <c r="D121" s="16" t="s">
        <v>65</v>
      </c>
      <c r="E121" s="16" t="s">
        <v>57</v>
      </c>
      <c r="F121" s="16">
        <v>0.324</v>
      </c>
      <c r="G121" s="16" t="s">
        <v>57</v>
      </c>
      <c r="H121" s="16">
        <v>0.315</v>
      </c>
      <c r="I121" s="16" t="s">
        <v>57</v>
      </c>
      <c r="J121" s="16">
        <v>0.309</v>
      </c>
    </row>
    <row r="122" spans="2:10" ht="12.75">
      <c r="B122" s="16" t="s">
        <v>150</v>
      </c>
      <c r="D122" s="16" t="s">
        <v>65</v>
      </c>
      <c r="E122" s="16" t="s">
        <v>57</v>
      </c>
      <c r="F122" s="16">
        <v>0.004</v>
      </c>
      <c r="G122" s="16" t="s">
        <v>57</v>
      </c>
      <c r="H122" s="16">
        <v>0.004</v>
      </c>
      <c r="I122" s="16" t="s">
        <v>57</v>
      </c>
      <c r="J122" s="16">
        <v>0.004</v>
      </c>
    </row>
    <row r="123" spans="2:10" ht="12.75">
      <c r="B123" s="16" t="s">
        <v>156</v>
      </c>
      <c r="D123" s="16" t="s">
        <v>65</v>
      </c>
      <c r="E123" s="16" t="s">
        <v>57</v>
      </c>
      <c r="F123" s="16">
        <v>0.004</v>
      </c>
      <c r="G123" s="16" t="s">
        <v>57</v>
      </c>
      <c r="H123" s="16">
        <v>0.004</v>
      </c>
      <c r="I123" s="16" t="s">
        <v>57</v>
      </c>
      <c r="J123" s="16">
        <v>0.004</v>
      </c>
    </row>
    <row r="124" spans="2:10" ht="12.75">
      <c r="B124" s="16" t="s">
        <v>158</v>
      </c>
      <c r="D124" s="16" t="s">
        <v>65</v>
      </c>
      <c r="E124" s="16" t="s">
        <v>57</v>
      </c>
      <c r="F124" s="16">
        <v>0.131</v>
      </c>
      <c r="G124" s="16" t="s">
        <v>57</v>
      </c>
      <c r="H124" s="16">
        <v>0.127</v>
      </c>
      <c r="I124" s="16" t="s">
        <v>57</v>
      </c>
      <c r="J124" s="16">
        <v>0.125</v>
      </c>
    </row>
    <row r="125" spans="2:10" ht="12.75">
      <c r="B125" s="16" t="s">
        <v>154</v>
      </c>
      <c r="D125" s="16" t="s">
        <v>65</v>
      </c>
      <c r="E125" s="16" t="s">
        <v>57</v>
      </c>
      <c r="F125" s="16">
        <v>0.043</v>
      </c>
      <c r="G125" s="16" t="s">
        <v>57</v>
      </c>
      <c r="H125" s="16">
        <v>0.042</v>
      </c>
      <c r="I125" s="16" t="s">
        <v>57</v>
      </c>
      <c r="J125" s="16">
        <v>0.041</v>
      </c>
    </row>
    <row r="126" spans="2:10" ht="12.75">
      <c r="B126" s="16" t="s">
        <v>161</v>
      </c>
      <c r="D126" s="16" t="s">
        <v>65</v>
      </c>
      <c r="E126" s="16" t="s">
        <v>57</v>
      </c>
      <c r="F126" s="16">
        <v>0.073</v>
      </c>
      <c r="G126" s="16" t="s">
        <v>57</v>
      </c>
      <c r="H126" s="16">
        <v>0.071</v>
      </c>
      <c r="I126" s="16" t="s">
        <v>57</v>
      </c>
      <c r="J126" s="16">
        <v>0.069</v>
      </c>
    </row>
    <row r="127" spans="2:10" ht="12.75">
      <c r="B127" s="16" t="s">
        <v>155</v>
      </c>
      <c r="D127" s="16" t="s">
        <v>65</v>
      </c>
      <c r="E127" s="16" t="s">
        <v>57</v>
      </c>
      <c r="F127" s="16">
        <v>0.064</v>
      </c>
      <c r="G127" s="16" t="s">
        <v>57</v>
      </c>
      <c r="H127" s="16">
        <v>0.063</v>
      </c>
      <c r="I127" s="16" t="s">
        <v>57</v>
      </c>
      <c r="J127" s="16">
        <v>0.061</v>
      </c>
    </row>
    <row r="128" spans="2:10" ht="12.75">
      <c r="B128" s="16" t="s">
        <v>168</v>
      </c>
      <c r="D128" s="16" t="s">
        <v>65</v>
      </c>
      <c r="E128" s="16" t="s">
        <v>57</v>
      </c>
      <c r="F128" s="16">
        <v>0.109</v>
      </c>
      <c r="G128" s="16" t="s">
        <v>57</v>
      </c>
      <c r="H128" s="16">
        <v>0.106</v>
      </c>
      <c r="I128" s="16" t="s">
        <v>57</v>
      </c>
      <c r="J128" s="16">
        <v>0.104</v>
      </c>
    </row>
    <row r="129" spans="2:10" ht="12.75">
      <c r="B129" s="16" t="s">
        <v>157</v>
      </c>
      <c r="D129" s="16" t="s">
        <v>65</v>
      </c>
      <c r="E129" s="16" t="s">
        <v>57</v>
      </c>
      <c r="F129" s="16">
        <v>0.021</v>
      </c>
      <c r="G129" s="16" t="s">
        <v>57</v>
      </c>
      <c r="H129" s="16">
        <v>0.021</v>
      </c>
      <c r="I129" s="16" t="s">
        <v>57</v>
      </c>
      <c r="J129" s="16">
        <v>0.02</v>
      </c>
    </row>
    <row r="130" spans="2:10" ht="12.75">
      <c r="B130" s="16" t="s">
        <v>152</v>
      </c>
      <c r="D130" s="16" t="s">
        <v>65</v>
      </c>
      <c r="E130" s="16" t="s">
        <v>57</v>
      </c>
      <c r="F130" s="16">
        <v>0.064</v>
      </c>
      <c r="G130" s="16" t="s">
        <v>57</v>
      </c>
      <c r="H130" s="16">
        <v>0.063</v>
      </c>
      <c r="I130" s="16" t="s">
        <v>57</v>
      </c>
      <c r="J130" s="16">
        <v>0.061</v>
      </c>
    </row>
    <row r="133" spans="2:13" ht="12.75">
      <c r="B133" s="16" t="s">
        <v>71</v>
      </c>
      <c r="D133" s="16" t="s">
        <v>14</v>
      </c>
      <c r="F133" s="16">
        <f>emiss!G61</f>
        <v>32398</v>
      </c>
      <c r="H133" s="16">
        <f>emiss!I61</f>
        <v>31990</v>
      </c>
      <c r="J133" s="16">
        <f>emiss!K61</f>
        <v>32130</v>
      </c>
      <c r="L133" s="37">
        <f>AVERAGE(F133,H133,J133)</f>
        <v>32172.666666666668</v>
      </c>
      <c r="M133" s="37"/>
    </row>
    <row r="134" spans="2:12" ht="12.75">
      <c r="B134" s="16" t="s">
        <v>9</v>
      </c>
      <c r="D134" s="16" t="s">
        <v>15</v>
      </c>
      <c r="F134" s="16">
        <f>emiss!G62</f>
        <v>7.9</v>
      </c>
      <c r="H134" s="16">
        <f>emiss!I62</f>
        <v>7.9</v>
      </c>
      <c r="J134" s="16">
        <f>emiss!K62</f>
        <v>7.9</v>
      </c>
      <c r="L134" s="16">
        <f>AVERAGE(F134,H134,J134)</f>
        <v>7.900000000000001</v>
      </c>
    </row>
    <row r="136" spans="2:20" ht="12.75">
      <c r="B136" s="16" t="s">
        <v>160</v>
      </c>
      <c r="D136" s="16" t="s">
        <v>191</v>
      </c>
      <c r="F136" s="35">
        <f>F114/454*F116/1000000</f>
        <v>39.23642135242291</v>
      </c>
      <c r="H136" s="35">
        <f>H114/454*H116/1000000</f>
        <v>38.20731662995595</v>
      </c>
      <c r="J136" s="35">
        <f>J114/454*J116/1000000</f>
        <v>37.42340165638767</v>
      </c>
      <c r="L136" s="35">
        <f>L114/454*L116/1000000</f>
        <v>38.289046546255506</v>
      </c>
      <c r="M136" s="35"/>
      <c r="N136" s="35">
        <f>F136</f>
        <v>39.23642135242291</v>
      </c>
      <c r="P136" s="35">
        <f>H136</f>
        <v>38.20731662995595</v>
      </c>
      <c r="R136" s="35">
        <f>J136</f>
        <v>37.42340165638767</v>
      </c>
      <c r="T136" s="35">
        <f>L136</f>
        <v>38.289046546255506</v>
      </c>
    </row>
    <row r="137" spans="2:20" ht="12.75">
      <c r="B137" s="16" t="s">
        <v>194</v>
      </c>
      <c r="D137" s="16" t="s">
        <v>191</v>
      </c>
      <c r="L137" s="37"/>
      <c r="M137" s="37"/>
      <c r="T137" s="37">
        <f>L133/150*(21-L134)/21</f>
        <v>133.79743915343911</v>
      </c>
    </row>
    <row r="138" spans="12:13" ht="12.75">
      <c r="L138" s="35"/>
      <c r="M138" s="35"/>
    </row>
    <row r="139" spans="2:13" ht="12.75">
      <c r="B139" s="36" t="s">
        <v>126</v>
      </c>
      <c r="C139" s="36"/>
      <c r="L139" s="35"/>
      <c r="M139" s="35"/>
    </row>
    <row r="140" spans="2:20" ht="12.75">
      <c r="B140" s="16" t="s">
        <v>8</v>
      </c>
      <c r="D140" s="16" t="s">
        <v>13</v>
      </c>
      <c r="F140" s="42">
        <f>F117/60*1000*1/(0.0283*F133)*(21-7)/(21-F134)</f>
        <v>3.88535627763211E-05</v>
      </c>
      <c r="G140" s="35"/>
      <c r="H140" s="38">
        <f>H117/60*1000*1/(0.0283*H133)*(21-7)/(21-H134)</f>
        <v>0.697816949282728</v>
      </c>
      <c r="I140" s="37">
        <v>100</v>
      </c>
      <c r="J140" s="41">
        <f>J117/60*1000*1/(0.0283*J133)*(21-7)/(21-J134)</f>
        <v>0.040039552966618444</v>
      </c>
      <c r="K140" s="24">
        <f>(E140*F140+G140*H140+I140*J140)/3/L140</f>
        <v>5.577505924362814</v>
      </c>
      <c r="L140" s="35">
        <f>AVERAGE(F140,H140,J140/2)</f>
        <v>0.23929185977627118</v>
      </c>
      <c r="M140" s="37">
        <f aca="true" t="shared" si="16" ref="M140:S140">E140</f>
        <v>0</v>
      </c>
      <c r="N140" s="43">
        <f t="shared" si="16"/>
        <v>3.88535627763211E-05</v>
      </c>
      <c r="O140" s="37">
        <f t="shared" si="16"/>
        <v>0</v>
      </c>
      <c r="P140" s="35">
        <f t="shared" si="16"/>
        <v>0.697816949282728</v>
      </c>
      <c r="Q140" s="37">
        <f t="shared" si="16"/>
        <v>100</v>
      </c>
      <c r="R140" s="25">
        <f t="shared" si="16"/>
        <v>0.040039552966618444</v>
      </c>
      <c r="S140" s="37">
        <f t="shared" si="16"/>
        <v>5.577505924362814</v>
      </c>
      <c r="T140" s="35">
        <f aca="true" t="shared" si="17" ref="T140:T153">L140</f>
        <v>0.23929185977627118</v>
      </c>
    </row>
    <row r="141" spans="2:20" ht="12.75">
      <c r="B141" s="16" t="s">
        <v>70</v>
      </c>
      <c r="D141" s="16" t="s">
        <v>12</v>
      </c>
      <c r="E141" s="16">
        <v>100</v>
      </c>
      <c r="F141" s="38">
        <f>F118/60*1000000*1/(0.0283*F$133)*(21-7)/(21-F$134)</f>
        <v>20.806082866719944</v>
      </c>
      <c r="G141" s="16">
        <v>100</v>
      </c>
      <c r="H141" s="38">
        <f>H118/60*1000000*1/(0.0283*H$133)*(21-7)/(21-H$134)</f>
        <v>20.520555940619296</v>
      </c>
      <c r="I141" s="16">
        <v>100</v>
      </c>
      <c r="J141" s="38">
        <f aca="true" t="shared" si="18" ref="J141:J153">J118/60*1000000*1/(0.0283*J$133)*(21-7)/(21-J$134)</f>
        <v>20.01977648330922</v>
      </c>
      <c r="K141" s="16">
        <v>100</v>
      </c>
      <c r="L141" s="35">
        <f>AVERAGE(F141,H141,J141)/2</f>
        <v>10.22440254844141</v>
      </c>
      <c r="M141" s="37">
        <f aca="true" t="shared" si="19" ref="M141:S156">E141</f>
        <v>100</v>
      </c>
      <c r="N141" s="35">
        <f>F141</f>
        <v>20.806082866719944</v>
      </c>
      <c r="O141" s="37">
        <f t="shared" si="19"/>
        <v>100</v>
      </c>
      <c r="P141" s="35">
        <f aca="true" t="shared" si="20" ref="P141:P153">H141</f>
        <v>20.520555940619296</v>
      </c>
      <c r="Q141" s="37">
        <f t="shared" si="19"/>
        <v>100</v>
      </c>
      <c r="R141" s="25">
        <f aca="true" t="shared" si="21" ref="R141:R153">J141</f>
        <v>20.01977648330922</v>
      </c>
      <c r="S141" s="37">
        <f t="shared" si="19"/>
        <v>100</v>
      </c>
      <c r="T141" s="35">
        <f t="shared" si="17"/>
        <v>10.22440254844141</v>
      </c>
    </row>
    <row r="142" spans="2:20" ht="12.75">
      <c r="B142" s="16" t="s">
        <v>153</v>
      </c>
      <c r="D142" s="16" t="s">
        <v>12</v>
      </c>
      <c r="E142" s="16">
        <v>100</v>
      </c>
      <c r="F142" s="38">
        <f aca="true" t="shared" si="22" ref="F142:H153">F119/60*1000000*1/(0.0283*F$133)*(21-7)/(21-F$134)</f>
        <v>1.670703199381807</v>
      </c>
      <c r="G142" s="16">
        <v>100</v>
      </c>
      <c r="H142" s="38">
        <f t="shared" si="22"/>
        <v>1.6920113239628563</v>
      </c>
      <c r="I142" s="16">
        <v>100</v>
      </c>
      <c r="J142" s="38">
        <f t="shared" si="18"/>
        <v>1.6454610808199357</v>
      </c>
      <c r="K142" s="16">
        <v>100</v>
      </c>
      <c r="L142" s="35">
        <f aca="true" t="shared" si="23" ref="L142:L153">AVERAGE(F142,H142,J142)/2</f>
        <v>0.8346959340274331</v>
      </c>
      <c r="M142" s="37">
        <f t="shared" si="19"/>
        <v>100</v>
      </c>
      <c r="N142" s="35">
        <f aca="true" t="shared" si="24" ref="N142:N153">F142</f>
        <v>1.670703199381807</v>
      </c>
      <c r="O142" s="37">
        <f t="shared" si="19"/>
        <v>100</v>
      </c>
      <c r="P142" s="35">
        <f t="shared" si="20"/>
        <v>1.6920113239628563</v>
      </c>
      <c r="Q142" s="37">
        <f t="shared" si="19"/>
        <v>100</v>
      </c>
      <c r="R142" s="25">
        <f t="shared" si="21"/>
        <v>1.6454610808199357</v>
      </c>
      <c r="S142" s="37">
        <f t="shared" si="19"/>
        <v>100</v>
      </c>
      <c r="T142" s="25">
        <f t="shared" si="17"/>
        <v>0.8346959340274331</v>
      </c>
    </row>
    <row r="143" spans="2:20" ht="12.75">
      <c r="B143" s="16" t="s">
        <v>149</v>
      </c>
      <c r="D143" s="16" t="s">
        <v>12</v>
      </c>
      <c r="E143" s="16">
        <v>100</v>
      </c>
      <c r="F143" s="38">
        <f t="shared" si="22"/>
        <v>1.2433140088422752</v>
      </c>
      <c r="G143" s="16">
        <v>100</v>
      </c>
      <c r="H143" s="38">
        <f t="shared" si="22"/>
        <v>1.2394966675541859</v>
      </c>
      <c r="I143" s="16">
        <v>100</v>
      </c>
      <c r="J143" s="38">
        <f t="shared" si="18"/>
        <v>1.1949181658335246</v>
      </c>
      <c r="K143" s="16">
        <v>100</v>
      </c>
      <c r="L143" s="35">
        <f t="shared" si="23"/>
        <v>0.6129548070383309</v>
      </c>
      <c r="M143" s="37">
        <f t="shared" si="19"/>
        <v>100</v>
      </c>
      <c r="N143" s="35">
        <f t="shared" si="24"/>
        <v>1.2433140088422752</v>
      </c>
      <c r="O143" s="37">
        <f t="shared" si="19"/>
        <v>100</v>
      </c>
      <c r="P143" s="35">
        <f t="shared" si="20"/>
        <v>1.2394966675541859</v>
      </c>
      <c r="Q143" s="37">
        <f t="shared" si="19"/>
        <v>100</v>
      </c>
      <c r="R143" s="25">
        <f t="shared" si="21"/>
        <v>1.1949181658335246</v>
      </c>
      <c r="S143" s="37">
        <f t="shared" si="19"/>
        <v>100</v>
      </c>
      <c r="T143" s="25">
        <f t="shared" si="17"/>
        <v>0.6129548070383309</v>
      </c>
    </row>
    <row r="144" spans="2:20" ht="12.75">
      <c r="B144" s="16" t="s">
        <v>151</v>
      </c>
      <c r="D144" s="16" t="s">
        <v>12</v>
      </c>
      <c r="E144" s="16">
        <v>100</v>
      </c>
      <c r="F144" s="38">
        <f t="shared" si="22"/>
        <v>6.294277169764017</v>
      </c>
      <c r="G144" s="16">
        <v>100</v>
      </c>
      <c r="H144" s="38">
        <f t="shared" si="22"/>
        <v>6.197483337770928</v>
      </c>
      <c r="I144" s="16">
        <v>100</v>
      </c>
      <c r="J144" s="38">
        <f t="shared" si="18"/>
        <v>6.052946118730478</v>
      </c>
      <c r="K144" s="16">
        <v>100</v>
      </c>
      <c r="L144" s="35">
        <f t="shared" si="23"/>
        <v>3.0907844377109037</v>
      </c>
      <c r="M144" s="37">
        <f t="shared" si="19"/>
        <v>100</v>
      </c>
      <c r="N144" s="35">
        <f t="shared" si="24"/>
        <v>6.294277169764017</v>
      </c>
      <c r="O144" s="37">
        <f t="shared" si="19"/>
        <v>100</v>
      </c>
      <c r="P144" s="35">
        <f t="shared" si="20"/>
        <v>6.197483337770928</v>
      </c>
      <c r="Q144" s="37">
        <f t="shared" si="19"/>
        <v>100</v>
      </c>
      <c r="R144" s="25">
        <f t="shared" si="21"/>
        <v>6.052946118730478</v>
      </c>
      <c r="S144" s="37">
        <f t="shared" si="19"/>
        <v>100</v>
      </c>
      <c r="T144" s="25">
        <f t="shared" si="17"/>
        <v>3.0907844377109037</v>
      </c>
    </row>
    <row r="145" spans="2:20" ht="12.75">
      <c r="B145" s="16" t="s">
        <v>150</v>
      </c>
      <c r="D145" s="16" t="s">
        <v>12</v>
      </c>
      <c r="E145" s="16">
        <v>100</v>
      </c>
      <c r="F145" s="38">
        <f t="shared" si="22"/>
        <v>0.0777071255526422</v>
      </c>
      <c r="G145" s="16">
        <v>100</v>
      </c>
      <c r="H145" s="38">
        <f t="shared" si="22"/>
        <v>0.07869820111455147</v>
      </c>
      <c r="I145" s="16">
        <v>100</v>
      </c>
      <c r="J145" s="38">
        <f t="shared" si="18"/>
        <v>0.07835528956285408</v>
      </c>
      <c r="K145" s="16">
        <v>100</v>
      </c>
      <c r="L145" s="35">
        <f t="shared" si="23"/>
        <v>0.03912676937167462</v>
      </c>
      <c r="M145" s="37">
        <f t="shared" si="19"/>
        <v>100</v>
      </c>
      <c r="N145" s="35">
        <f t="shared" si="24"/>
        <v>0.0777071255526422</v>
      </c>
      <c r="O145" s="37">
        <f t="shared" si="19"/>
        <v>100</v>
      </c>
      <c r="P145" s="35">
        <f t="shared" si="20"/>
        <v>0.07869820111455147</v>
      </c>
      <c r="Q145" s="37">
        <f t="shared" si="19"/>
        <v>100</v>
      </c>
      <c r="R145" s="25">
        <f t="shared" si="21"/>
        <v>0.07835528956285408</v>
      </c>
      <c r="S145" s="37">
        <f t="shared" si="19"/>
        <v>100</v>
      </c>
      <c r="T145" s="25">
        <f t="shared" si="17"/>
        <v>0.03912676937167462</v>
      </c>
    </row>
    <row r="146" spans="2:20" ht="12.75">
      <c r="B146" s="16" t="s">
        <v>156</v>
      </c>
      <c r="D146" s="16" t="s">
        <v>12</v>
      </c>
      <c r="E146" s="16">
        <v>100</v>
      </c>
      <c r="F146" s="38">
        <f t="shared" si="22"/>
        <v>0.0777071255526422</v>
      </c>
      <c r="G146" s="16">
        <v>100</v>
      </c>
      <c r="H146" s="38">
        <f t="shared" si="22"/>
        <v>0.07869820111455147</v>
      </c>
      <c r="I146" s="16">
        <v>100</v>
      </c>
      <c r="J146" s="38">
        <f t="shared" si="18"/>
        <v>0.07835528956285408</v>
      </c>
      <c r="K146" s="16">
        <v>100</v>
      </c>
      <c r="L146" s="35">
        <f t="shared" si="23"/>
        <v>0.03912676937167462</v>
      </c>
      <c r="M146" s="37">
        <f t="shared" si="19"/>
        <v>100</v>
      </c>
      <c r="N146" s="35">
        <f t="shared" si="24"/>
        <v>0.0777071255526422</v>
      </c>
      <c r="O146" s="37">
        <f t="shared" si="19"/>
        <v>100</v>
      </c>
      <c r="P146" s="35">
        <f t="shared" si="20"/>
        <v>0.07869820111455147</v>
      </c>
      <c r="Q146" s="37">
        <f t="shared" si="19"/>
        <v>100</v>
      </c>
      <c r="R146" s="25">
        <f t="shared" si="21"/>
        <v>0.07835528956285408</v>
      </c>
      <c r="S146" s="37">
        <f t="shared" si="19"/>
        <v>100</v>
      </c>
      <c r="T146" s="25">
        <f t="shared" si="17"/>
        <v>0.03912676937167462</v>
      </c>
    </row>
    <row r="147" spans="2:20" ht="12.75">
      <c r="B147" s="16" t="s">
        <v>158</v>
      </c>
      <c r="D147" s="16" t="s">
        <v>12</v>
      </c>
      <c r="E147" s="16">
        <v>100</v>
      </c>
      <c r="F147" s="38">
        <f t="shared" si="22"/>
        <v>2.544908361849032</v>
      </c>
      <c r="G147" s="16">
        <v>100</v>
      </c>
      <c r="H147" s="38">
        <f t="shared" si="22"/>
        <v>2.49866788538701</v>
      </c>
      <c r="I147" s="16">
        <v>100</v>
      </c>
      <c r="J147" s="38">
        <f t="shared" si="18"/>
        <v>2.44860279883919</v>
      </c>
      <c r="K147" s="16">
        <v>100</v>
      </c>
      <c r="L147" s="35">
        <f t="shared" si="23"/>
        <v>1.2486965076792054</v>
      </c>
      <c r="M147" s="37">
        <f t="shared" si="19"/>
        <v>100</v>
      </c>
      <c r="N147" s="35">
        <f t="shared" si="24"/>
        <v>2.544908361849032</v>
      </c>
      <c r="O147" s="37">
        <f t="shared" si="19"/>
        <v>100</v>
      </c>
      <c r="P147" s="35">
        <f t="shared" si="20"/>
        <v>2.49866788538701</v>
      </c>
      <c r="Q147" s="37">
        <f t="shared" si="19"/>
        <v>100</v>
      </c>
      <c r="R147" s="25">
        <f t="shared" si="21"/>
        <v>2.44860279883919</v>
      </c>
      <c r="S147" s="37">
        <f t="shared" si="19"/>
        <v>100</v>
      </c>
      <c r="T147" s="25">
        <f t="shared" si="17"/>
        <v>1.2486965076792054</v>
      </c>
    </row>
    <row r="148" spans="2:20" ht="12.75">
      <c r="B148" s="16" t="s">
        <v>154</v>
      </c>
      <c r="D148" s="16" t="s">
        <v>12</v>
      </c>
      <c r="E148" s="16">
        <v>100</v>
      </c>
      <c r="F148" s="38">
        <f t="shared" si="22"/>
        <v>0.8353515996909034</v>
      </c>
      <c r="G148" s="16">
        <v>100</v>
      </c>
      <c r="H148" s="38">
        <f t="shared" si="22"/>
        <v>0.8263311117027904</v>
      </c>
      <c r="I148" s="16">
        <v>100</v>
      </c>
      <c r="J148" s="38">
        <f t="shared" si="18"/>
        <v>0.8031417180192544</v>
      </c>
      <c r="K148" s="16">
        <v>100</v>
      </c>
      <c r="L148" s="35">
        <f t="shared" si="23"/>
        <v>0.41080407156882465</v>
      </c>
      <c r="M148" s="37">
        <f t="shared" si="19"/>
        <v>100</v>
      </c>
      <c r="N148" s="35">
        <f t="shared" si="24"/>
        <v>0.8353515996909034</v>
      </c>
      <c r="O148" s="37">
        <f t="shared" si="19"/>
        <v>100</v>
      </c>
      <c r="P148" s="35">
        <f t="shared" si="20"/>
        <v>0.8263311117027904</v>
      </c>
      <c r="Q148" s="37">
        <f t="shared" si="19"/>
        <v>100</v>
      </c>
      <c r="R148" s="25">
        <f t="shared" si="21"/>
        <v>0.8031417180192544</v>
      </c>
      <c r="S148" s="37">
        <f t="shared" si="19"/>
        <v>100</v>
      </c>
      <c r="T148" s="25">
        <f t="shared" si="17"/>
        <v>0.41080407156882465</v>
      </c>
    </row>
    <row r="149" spans="2:20" ht="12.75">
      <c r="B149" s="16" t="s">
        <v>161</v>
      </c>
      <c r="D149" s="16" t="s">
        <v>12</v>
      </c>
      <c r="E149" s="16">
        <v>100</v>
      </c>
      <c r="F149" s="38">
        <f t="shared" si="22"/>
        <v>1.4181550413357202</v>
      </c>
      <c r="G149" s="16">
        <v>100</v>
      </c>
      <c r="H149" s="38">
        <f t="shared" si="22"/>
        <v>1.3968930697832886</v>
      </c>
      <c r="I149" s="16">
        <v>100</v>
      </c>
      <c r="J149" s="38">
        <f t="shared" si="18"/>
        <v>1.351628744959233</v>
      </c>
      <c r="K149" s="16">
        <v>100</v>
      </c>
      <c r="L149" s="35">
        <f t="shared" si="23"/>
        <v>0.694446142679707</v>
      </c>
      <c r="M149" s="37">
        <f t="shared" si="19"/>
        <v>100</v>
      </c>
      <c r="N149" s="35">
        <f t="shared" si="24"/>
        <v>1.4181550413357202</v>
      </c>
      <c r="O149" s="37">
        <f t="shared" si="19"/>
        <v>100</v>
      </c>
      <c r="P149" s="35">
        <f t="shared" si="20"/>
        <v>1.3968930697832886</v>
      </c>
      <c r="Q149" s="37">
        <f t="shared" si="19"/>
        <v>100</v>
      </c>
      <c r="R149" s="25">
        <f t="shared" si="21"/>
        <v>1.351628744959233</v>
      </c>
      <c r="S149" s="37">
        <f t="shared" si="19"/>
        <v>100</v>
      </c>
      <c r="T149" s="25">
        <f t="shared" si="17"/>
        <v>0.694446142679707</v>
      </c>
    </row>
    <row r="150" spans="2:20" ht="12.75">
      <c r="B150" s="16" t="s">
        <v>155</v>
      </c>
      <c r="D150" s="16" t="s">
        <v>12</v>
      </c>
      <c r="E150" s="16">
        <v>100</v>
      </c>
      <c r="F150" s="38">
        <f t="shared" si="22"/>
        <v>1.2433140088422752</v>
      </c>
      <c r="G150" s="16">
        <v>100</v>
      </c>
      <c r="H150" s="38">
        <f t="shared" si="22"/>
        <v>1.2394966675541859</v>
      </c>
      <c r="I150" s="16">
        <v>100</v>
      </c>
      <c r="J150" s="38">
        <f t="shared" si="18"/>
        <v>1.1949181658335246</v>
      </c>
      <c r="K150" s="16">
        <v>100</v>
      </c>
      <c r="L150" s="35">
        <f t="shared" si="23"/>
        <v>0.6129548070383309</v>
      </c>
      <c r="M150" s="37">
        <f t="shared" si="19"/>
        <v>100</v>
      </c>
      <c r="N150" s="35">
        <f t="shared" si="24"/>
        <v>1.2433140088422752</v>
      </c>
      <c r="O150" s="37">
        <f t="shared" si="19"/>
        <v>100</v>
      </c>
      <c r="P150" s="35">
        <f t="shared" si="20"/>
        <v>1.2394966675541859</v>
      </c>
      <c r="Q150" s="37">
        <f t="shared" si="19"/>
        <v>100</v>
      </c>
      <c r="R150" s="25">
        <f t="shared" si="21"/>
        <v>1.1949181658335246</v>
      </c>
      <c r="S150" s="37">
        <f t="shared" si="19"/>
        <v>100</v>
      </c>
      <c r="T150" s="25">
        <f t="shared" si="17"/>
        <v>0.6129548070383309</v>
      </c>
    </row>
    <row r="151" spans="2:20" ht="12.75">
      <c r="B151" s="16" t="s">
        <v>168</v>
      </c>
      <c r="D151" s="16" t="s">
        <v>12</v>
      </c>
      <c r="E151" s="16">
        <v>100</v>
      </c>
      <c r="F151" s="38">
        <f t="shared" si="22"/>
        <v>2.1175191713094996</v>
      </c>
      <c r="G151" s="16">
        <v>100</v>
      </c>
      <c r="H151" s="38">
        <f t="shared" si="22"/>
        <v>2.085502329535614</v>
      </c>
      <c r="I151" s="16">
        <v>100</v>
      </c>
      <c r="J151" s="38">
        <f t="shared" si="18"/>
        <v>2.037237528634206</v>
      </c>
      <c r="K151" s="16">
        <v>100</v>
      </c>
      <c r="L151" s="35">
        <f t="shared" si="23"/>
        <v>1.0400431715798866</v>
      </c>
      <c r="M151" s="37">
        <f t="shared" si="19"/>
        <v>100</v>
      </c>
      <c r="N151" s="35">
        <f t="shared" si="24"/>
        <v>2.1175191713094996</v>
      </c>
      <c r="O151" s="37">
        <f t="shared" si="19"/>
        <v>100</v>
      </c>
      <c r="P151" s="35">
        <f t="shared" si="20"/>
        <v>2.085502329535614</v>
      </c>
      <c r="Q151" s="37">
        <f t="shared" si="19"/>
        <v>100</v>
      </c>
      <c r="R151" s="25">
        <f t="shared" si="21"/>
        <v>2.037237528634206</v>
      </c>
      <c r="S151" s="37">
        <f t="shared" si="19"/>
        <v>100</v>
      </c>
      <c r="T151" s="25">
        <f t="shared" si="17"/>
        <v>1.0400431715798866</v>
      </c>
    </row>
    <row r="152" spans="2:20" ht="12.75">
      <c r="B152" s="16" t="s">
        <v>157</v>
      </c>
      <c r="D152" s="16" t="s">
        <v>12</v>
      </c>
      <c r="E152" s="16">
        <v>100</v>
      </c>
      <c r="F152" s="38">
        <f t="shared" si="22"/>
        <v>0.4079624091513715</v>
      </c>
      <c r="G152" s="16">
        <v>100</v>
      </c>
      <c r="H152" s="38">
        <f t="shared" si="22"/>
        <v>0.4131655558513952</v>
      </c>
      <c r="I152" s="16">
        <v>100</v>
      </c>
      <c r="J152" s="38">
        <f t="shared" si="18"/>
        <v>0.3917764478142704</v>
      </c>
      <c r="K152" s="16">
        <v>100</v>
      </c>
      <c r="L152" s="35">
        <f t="shared" si="23"/>
        <v>0.2021507354695062</v>
      </c>
      <c r="M152" s="37">
        <f t="shared" si="19"/>
        <v>100</v>
      </c>
      <c r="N152" s="35">
        <f t="shared" si="24"/>
        <v>0.4079624091513715</v>
      </c>
      <c r="O152" s="37">
        <f t="shared" si="19"/>
        <v>100</v>
      </c>
      <c r="P152" s="35">
        <f t="shared" si="20"/>
        <v>0.4131655558513952</v>
      </c>
      <c r="Q152" s="37">
        <f t="shared" si="19"/>
        <v>100</v>
      </c>
      <c r="R152" s="25">
        <f t="shared" si="21"/>
        <v>0.3917764478142704</v>
      </c>
      <c r="S152" s="37">
        <f t="shared" si="19"/>
        <v>100</v>
      </c>
      <c r="T152" s="25">
        <f t="shared" si="17"/>
        <v>0.2021507354695062</v>
      </c>
    </row>
    <row r="153" spans="2:20" ht="12.75">
      <c r="B153" s="16" t="s">
        <v>152</v>
      </c>
      <c r="D153" s="16" t="s">
        <v>12</v>
      </c>
      <c r="E153" s="16">
        <v>100</v>
      </c>
      <c r="F153" s="38">
        <f t="shared" si="22"/>
        <v>1.2433140088422752</v>
      </c>
      <c r="G153" s="16">
        <v>100</v>
      </c>
      <c r="H153" s="38">
        <f t="shared" si="22"/>
        <v>1.2394966675541859</v>
      </c>
      <c r="I153" s="16">
        <v>100</v>
      </c>
      <c r="J153" s="38">
        <f t="shared" si="18"/>
        <v>1.1949181658335246</v>
      </c>
      <c r="K153" s="16">
        <v>100</v>
      </c>
      <c r="L153" s="35">
        <f t="shared" si="23"/>
        <v>0.6129548070383309</v>
      </c>
      <c r="M153" s="37">
        <f t="shared" si="19"/>
        <v>100</v>
      </c>
      <c r="N153" s="35">
        <f t="shared" si="24"/>
        <v>1.2433140088422752</v>
      </c>
      <c r="O153" s="37">
        <f t="shared" si="19"/>
        <v>100</v>
      </c>
      <c r="P153" s="35">
        <f t="shared" si="20"/>
        <v>1.2394966675541859</v>
      </c>
      <c r="Q153" s="37">
        <f t="shared" si="19"/>
        <v>100</v>
      </c>
      <c r="R153" s="25">
        <f t="shared" si="21"/>
        <v>1.1949181658335246</v>
      </c>
      <c r="S153" s="37">
        <f t="shared" si="19"/>
        <v>100</v>
      </c>
      <c r="T153" s="25">
        <f t="shared" si="17"/>
        <v>0.6129548070383309</v>
      </c>
    </row>
    <row r="154" spans="6:19" ht="12.75">
      <c r="F154" s="35"/>
      <c r="G154" s="35"/>
      <c r="H154" s="35"/>
      <c r="I154" s="35"/>
      <c r="J154" s="35"/>
      <c r="K154" s="39"/>
      <c r="L154" s="35"/>
      <c r="M154" s="35"/>
      <c r="O154" s="35"/>
      <c r="Q154" s="35"/>
      <c r="S154" s="35"/>
    </row>
    <row r="155" spans="2:20" ht="12.75">
      <c r="B155" s="16" t="s">
        <v>5</v>
      </c>
      <c r="D155" s="16" t="s">
        <v>12</v>
      </c>
      <c r="E155" s="16">
        <v>100</v>
      </c>
      <c r="F155" s="35">
        <f>(F146+F148)/2</f>
        <v>0.4565293626217728</v>
      </c>
      <c r="G155" s="16">
        <v>100</v>
      </c>
      <c r="H155" s="35">
        <f>(H146+H148)/2</f>
        <v>0.45251465640867095</v>
      </c>
      <c r="I155" s="16">
        <v>100</v>
      </c>
      <c r="J155" s="35">
        <f>(J146+J148)/2</f>
        <v>0.44074850379105424</v>
      </c>
      <c r="K155" s="16">
        <v>100</v>
      </c>
      <c r="L155" s="35">
        <f>AVERAGE(F155,H155,J155)</f>
        <v>0.44993084094049934</v>
      </c>
      <c r="M155" s="37">
        <f t="shared" si="19"/>
        <v>100</v>
      </c>
      <c r="N155" s="35">
        <f>F155</f>
        <v>0.4565293626217728</v>
      </c>
      <c r="O155" s="37">
        <f t="shared" si="19"/>
        <v>100</v>
      </c>
      <c r="P155" s="35">
        <f>H155</f>
        <v>0.45251465640867095</v>
      </c>
      <c r="Q155" s="37">
        <f t="shared" si="19"/>
        <v>100</v>
      </c>
      <c r="R155" s="35">
        <f>J155</f>
        <v>0.44074850379105424</v>
      </c>
      <c r="S155" s="37">
        <f t="shared" si="19"/>
        <v>100</v>
      </c>
      <c r="T155" s="35">
        <f>L155</f>
        <v>0.44993084094049934</v>
      </c>
    </row>
    <row r="156" spans="2:20" ht="12.75">
      <c r="B156" s="16" t="s">
        <v>6</v>
      </c>
      <c r="D156" s="16" t="s">
        <v>12</v>
      </c>
      <c r="E156" s="16">
        <v>100</v>
      </c>
      <c r="F156" s="35">
        <f>(F143+F145+F147)/2</f>
        <v>1.9329647481219747</v>
      </c>
      <c r="G156" s="16">
        <v>100</v>
      </c>
      <c r="H156" s="35">
        <f>(H143+H145+H147)/2</f>
        <v>1.9084313770278736</v>
      </c>
      <c r="I156" s="16">
        <v>100</v>
      </c>
      <c r="J156" s="35">
        <f>(J143+J145+J147)/2</f>
        <v>1.8609381271177843</v>
      </c>
      <c r="K156" s="16">
        <v>100</v>
      </c>
      <c r="L156" s="35">
        <f>AVERAGE(F156,H156,J156)</f>
        <v>1.900778084089211</v>
      </c>
      <c r="M156" s="37">
        <f t="shared" si="19"/>
        <v>100</v>
      </c>
      <c r="N156" s="35">
        <f>F156</f>
        <v>1.9329647481219747</v>
      </c>
      <c r="O156" s="37">
        <f t="shared" si="19"/>
        <v>100</v>
      </c>
      <c r="P156" s="35">
        <f>H156</f>
        <v>1.9084313770278736</v>
      </c>
      <c r="Q156" s="37">
        <f t="shared" si="19"/>
        <v>100</v>
      </c>
      <c r="R156" s="35">
        <f>J156</f>
        <v>1.8609381271177843</v>
      </c>
      <c r="S156" s="37">
        <f t="shared" si="19"/>
        <v>100</v>
      </c>
      <c r="T156" s="35">
        <f>L156</f>
        <v>1.900778084089211</v>
      </c>
    </row>
    <row r="160" spans="1:20" ht="12.75">
      <c r="A160" s="16" t="s">
        <v>159</v>
      </c>
      <c r="B160" s="31" t="s">
        <v>115</v>
      </c>
      <c r="C160" s="31"/>
      <c r="D160" s="16" t="s">
        <v>51</v>
      </c>
      <c r="F160" s="16" t="s">
        <v>165</v>
      </c>
      <c r="H160" s="16" t="s">
        <v>166</v>
      </c>
      <c r="J160" s="16" t="s">
        <v>167</v>
      </c>
      <c r="L160" s="16" t="s">
        <v>53</v>
      </c>
      <c r="N160" s="16" t="s">
        <v>165</v>
      </c>
      <c r="P160" s="16" t="s">
        <v>166</v>
      </c>
      <c r="R160" s="16" t="s">
        <v>167</v>
      </c>
      <c r="S160" s="20"/>
      <c r="T160" s="16" t="s">
        <v>53</v>
      </c>
    </row>
    <row r="162" spans="2:20" ht="12.75">
      <c r="B162" s="16" t="s">
        <v>186</v>
      </c>
      <c r="C162" s="31"/>
      <c r="F162" s="16" t="s">
        <v>188</v>
      </c>
      <c r="H162" s="16" t="s">
        <v>188</v>
      </c>
      <c r="J162" s="16" t="s">
        <v>188</v>
      </c>
      <c r="L162" s="16" t="s">
        <v>188</v>
      </c>
      <c r="N162" s="16" t="s">
        <v>190</v>
      </c>
      <c r="P162" s="16" t="s">
        <v>190</v>
      </c>
      <c r="R162" s="16" t="s">
        <v>190</v>
      </c>
      <c r="T162" s="16" t="s">
        <v>190</v>
      </c>
    </row>
    <row r="163" spans="2:20" ht="12.75">
      <c r="B163" s="16" t="s">
        <v>187</v>
      </c>
      <c r="C163" s="31"/>
      <c r="F163" s="16" t="s">
        <v>189</v>
      </c>
      <c r="H163" s="16" t="s">
        <v>189</v>
      </c>
      <c r="J163" s="16" t="s">
        <v>189</v>
      </c>
      <c r="L163" s="16" t="s">
        <v>189</v>
      </c>
      <c r="N163" s="16" t="s">
        <v>79</v>
      </c>
      <c r="P163" s="16" t="s">
        <v>79</v>
      </c>
      <c r="R163" s="16" t="s">
        <v>79</v>
      </c>
      <c r="T163" s="16" t="s">
        <v>79</v>
      </c>
    </row>
    <row r="164" spans="2:20" ht="12.75">
      <c r="B164" s="16" t="s">
        <v>192</v>
      </c>
      <c r="C164" s="31"/>
      <c r="F164" s="16" t="s">
        <v>193</v>
      </c>
      <c r="H164" s="16" t="s">
        <v>1</v>
      </c>
      <c r="J164" s="16" t="s">
        <v>1</v>
      </c>
      <c r="L164" s="16" t="s">
        <v>1</v>
      </c>
      <c r="N164" s="16" t="s">
        <v>79</v>
      </c>
      <c r="P164" s="16" t="s">
        <v>79</v>
      </c>
      <c r="R164" s="16" t="s">
        <v>79</v>
      </c>
      <c r="T164" s="16" t="s">
        <v>79</v>
      </c>
    </row>
    <row r="165" spans="2:20" ht="12.75">
      <c r="B165" s="16" t="s">
        <v>163</v>
      </c>
      <c r="F165" s="16" t="s">
        <v>64</v>
      </c>
      <c r="H165" s="16" t="s">
        <v>64</v>
      </c>
      <c r="J165" s="16" t="s">
        <v>64</v>
      </c>
      <c r="L165" s="16" t="s">
        <v>64</v>
      </c>
      <c r="N165" s="16" t="s">
        <v>79</v>
      </c>
      <c r="P165" s="16" t="s">
        <v>79</v>
      </c>
      <c r="R165" s="16" t="s">
        <v>79</v>
      </c>
      <c r="T165" s="16" t="s">
        <v>79</v>
      </c>
    </row>
    <row r="166" spans="2:13" ht="12.75">
      <c r="B166" s="16" t="s">
        <v>162</v>
      </c>
      <c r="D166" s="16" t="s">
        <v>65</v>
      </c>
      <c r="F166" s="16">
        <v>1968147</v>
      </c>
      <c r="H166" s="16">
        <v>1948118</v>
      </c>
      <c r="J166" s="16">
        <v>2099235</v>
      </c>
      <c r="L166" s="37">
        <f>AVERAGE(F166,H166,J166)</f>
        <v>2005166.6666666667</v>
      </c>
      <c r="M166" s="37"/>
    </row>
    <row r="167" spans="2:12" ht="12.75">
      <c r="B167" s="16" t="s">
        <v>66</v>
      </c>
      <c r="D167" s="16" t="s">
        <v>67</v>
      </c>
      <c r="F167" s="16">
        <v>0.87</v>
      </c>
      <c r="H167" s="16">
        <v>0.87</v>
      </c>
      <c r="J167" s="16">
        <v>0.87</v>
      </c>
      <c r="L167" s="16">
        <v>0.87</v>
      </c>
    </row>
    <row r="168" spans="2:12" ht="12.75">
      <c r="B168" s="16" t="s">
        <v>68</v>
      </c>
      <c r="D168" s="16" t="s">
        <v>69</v>
      </c>
      <c r="F168" s="16">
        <v>8314</v>
      </c>
      <c r="H168" s="16">
        <v>8314</v>
      </c>
      <c r="J168" s="16">
        <v>8314</v>
      </c>
      <c r="L168" s="16">
        <v>8314</v>
      </c>
    </row>
    <row r="169" spans="2:10" ht="12.75">
      <c r="B169" s="16" t="s">
        <v>8</v>
      </c>
      <c r="D169" s="16" t="s">
        <v>65</v>
      </c>
      <c r="F169" s="16">
        <v>141.71</v>
      </c>
      <c r="G169" s="16" t="s">
        <v>57</v>
      </c>
      <c r="H169" s="16">
        <v>1.95</v>
      </c>
      <c r="J169" s="16">
        <v>62.01</v>
      </c>
    </row>
    <row r="170" spans="2:10" ht="12.75">
      <c r="B170" s="16" t="s">
        <v>70</v>
      </c>
      <c r="D170" s="16" t="s">
        <v>65</v>
      </c>
      <c r="E170" s="16" t="s">
        <v>57</v>
      </c>
      <c r="F170" s="16">
        <v>5.55</v>
      </c>
      <c r="H170" s="16">
        <v>2.28</v>
      </c>
      <c r="J170" s="16">
        <v>5.16</v>
      </c>
    </row>
    <row r="171" spans="2:10" ht="12.75">
      <c r="B171" s="16" t="s">
        <v>153</v>
      </c>
      <c r="D171" s="16" t="s">
        <v>65</v>
      </c>
      <c r="E171" s="16" t="s">
        <v>57</v>
      </c>
      <c r="F171" s="16">
        <v>0.004</v>
      </c>
      <c r="G171" s="16" t="s">
        <v>57</v>
      </c>
      <c r="H171" s="16">
        <v>0.004</v>
      </c>
      <c r="I171" s="16" t="s">
        <v>57</v>
      </c>
      <c r="J171" s="16">
        <v>0.004</v>
      </c>
    </row>
    <row r="172" spans="2:10" ht="12.75">
      <c r="B172" s="16" t="s">
        <v>149</v>
      </c>
      <c r="D172" s="16" t="s">
        <v>65</v>
      </c>
      <c r="E172" s="16" t="s">
        <v>57</v>
      </c>
      <c r="F172" s="16">
        <v>0.002</v>
      </c>
      <c r="G172" s="16" t="s">
        <v>57</v>
      </c>
      <c r="H172" s="16">
        <v>0.002</v>
      </c>
      <c r="I172" s="16" t="s">
        <v>57</v>
      </c>
      <c r="J172" s="16">
        <v>0.002</v>
      </c>
    </row>
    <row r="173" spans="2:10" ht="12.75">
      <c r="B173" s="16" t="s">
        <v>151</v>
      </c>
      <c r="D173" s="16" t="s">
        <v>65</v>
      </c>
      <c r="E173" s="16" t="s">
        <v>57</v>
      </c>
      <c r="F173" s="16">
        <v>0.187</v>
      </c>
      <c r="G173" s="16" t="s">
        <v>57</v>
      </c>
      <c r="H173" s="16">
        <v>0.187</v>
      </c>
      <c r="I173" s="16" t="s">
        <v>57</v>
      </c>
      <c r="J173" s="16">
        <v>0.187</v>
      </c>
    </row>
    <row r="174" spans="2:10" ht="12.75">
      <c r="B174" s="16" t="s">
        <v>150</v>
      </c>
      <c r="D174" s="16" t="s">
        <v>65</v>
      </c>
      <c r="E174" s="16" t="s">
        <v>57</v>
      </c>
      <c r="F174" s="16">
        <v>0.0002</v>
      </c>
      <c r="G174" s="16" t="s">
        <v>57</v>
      </c>
      <c r="H174" s="16">
        <v>0.0002</v>
      </c>
      <c r="I174" s="16" t="s">
        <v>57</v>
      </c>
      <c r="J174" s="16">
        <v>0.0002</v>
      </c>
    </row>
    <row r="175" spans="2:10" ht="12.75">
      <c r="B175" s="16" t="s">
        <v>156</v>
      </c>
      <c r="D175" s="16" t="s">
        <v>65</v>
      </c>
      <c r="E175" s="16" t="s">
        <v>57</v>
      </c>
      <c r="F175" s="16">
        <v>0.0002</v>
      </c>
      <c r="G175" s="16" t="s">
        <v>57</v>
      </c>
      <c r="H175" s="16">
        <v>0.0002</v>
      </c>
      <c r="I175" s="16" t="s">
        <v>57</v>
      </c>
      <c r="J175" s="16">
        <v>0.0002</v>
      </c>
    </row>
    <row r="176" spans="2:10" ht="12.75">
      <c r="B176" s="16" t="s">
        <v>158</v>
      </c>
      <c r="D176" s="16" t="s">
        <v>65</v>
      </c>
      <c r="F176" s="16">
        <v>1.175</v>
      </c>
      <c r="H176" s="16">
        <v>0.286</v>
      </c>
      <c r="J176" s="16">
        <v>0.21</v>
      </c>
    </row>
    <row r="177" spans="2:10" ht="12.75">
      <c r="B177" s="16" t="s">
        <v>154</v>
      </c>
      <c r="D177" s="16" t="s">
        <v>65</v>
      </c>
      <c r="E177" s="16" t="s">
        <v>57</v>
      </c>
      <c r="F177" s="16">
        <v>0.002</v>
      </c>
      <c r="G177" s="16" t="s">
        <v>57</v>
      </c>
      <c r="H177" s="16">
        <v>0.002</v>
      </c>
      <c r="I177" s="16" t="s">
        <v>57</v>
      </c>
      <c r="J177" s="16">
        <v>0.002</v>
      </c>
    </row>
    <row r="178" spans="2:10" ht="12.75">
      <c r="B178" s="16" t="s">
        <v>161</v>
      </c>
      <c r="D178" s="16" t="s">
        <v>65</v>
      </c>
      <c r="E178" s="16" t="s">
        <v>57</v>
      </c>
      <c r="F178" s="16">
        <v>0.083</v>
      </c>
      <c r="G178" s="16" t="s">
        <v>57</v>
      </c>
      <c r="H178" s="16">
        <v>0.08</v>
      </c>
      <c r="I178" s="16" t="s">
        <v>57</v>
      </c>
      <c r="J178" s="16">
        <v>0.088</v>
      </c>
    </row>
    <row r="179" spans="2:10" ht="12.75">
      <c r="B179" s="16" t="s">
        <v>155</v>
      </c>
      <c r="D179" s="16" t="s">
        <v>65</v>
      </c>
      <c r="F179" s="16">
        <v>0.323</v>
      </c>
      <c r="H179" s="16">
        <v>0.064</v>
      </c>
      <c r="J179" s="16">
        <v>0.042</v>
      </c>
    </row>
    <row r="180" spans="2:10" ht="12.75">
      <c r="B180" s="16" t="s">
        <v>168</v>
      </c>
      <c r="D180" s="16" t="s">
        <v>65</v>
      </c>
      <c r="E180" s="16" t="s">
        <v>57</v>
      </c>
      <c r="F180" s="16">
        <v>0.004</v>
      </c>
      <c r="G180" s="16" t="s">
        <v>57</v>
      </c>
      <c r="H180" s="16">
        <v>0.004</v>
      </c>
      <c r="I180" s="16" t="s">
        <v>57</v>
      </c>
      <c r="J180" s="16">
        <v>0.004</v>
      </c>
    </row>
    <row r="181" spans="2:10" ht="12.75">
      <c r="B181" s="16" t="s">
        <v>157</v>
      </c>
      <c r="D181" s="16" t="s">
        <v>65</v>
      </c>
      <c r="E181" s="16" t="s">
        <v>57</v>
      </c>
      <c r="F181" s="16">
        <v>0.001</v>
      </c>
      <c r="G181" s="16" t="s">
        <v>57</v>
      </c>
      <c r="H181" s="16">
        <v>0.001</v>
      </c>
      <c r="I181" s="16" t="s">
        <v>57</v>
      </c>
      <c r="J181" s="16">
        <v>0.001</v>
      </c>
    </row>
    <row r="182" spans="2:10" ht="12.75">
      <c r="B182" s="16" t="s">
        <v>152</v>
      </c>
      <c r="D182" s="16" t="s">
        <v>65</v>
      </c>
      <c r="E182" s="16" t="s">
        <v>57</v>
      </c>
      <c r="F182" s="16">
        <v>0.002</v>
      </c>
      <c r="G182" s="16" t="s">
        <v>57</v>
      </c>
      <c r="H182" s="16">
        <v>0.002</v>
      </c>
      <c r="I182" s="16" t="s">
        <v>57</v>
      </c>
      <c r="J182" s="16">
        <v>0.002</v>
      </c>
    </row>
    <row r="185" spans="2:13" ht="12.75">
      <c r="B185" s="16" t="s">
        <v>71</v>
      </c>
      <c r="D185" s="16" t="s">
        <v>14</v>
      </c>
      <c r="F185" s="16">
        <f>emiss!G82</f>
        <v>64444</v>
      </c>
      <c r="H185" s="16">
        <f>emiss!I82</f>
        <v>62203</v>
      </c>
      <c r="J185" s="16">
        <f>emiss!K82</f>
        <v>63371</v>
      </c>
      <c r="L185" s="37">
        <f>AVERAGE(F185,H185,J185)</f>
        <v>63339.333333333336</v>
      </c>
      <c r="M185" s="37"/>
    </row>
    <row r="186" spans="2:13" ht="12.75">
      <c r="B186" s="16" t="s">
        <v>9</v>
      </c>
      <c r="D186" s="16" t="s">
        <v>15</v>
      </c>
      <c r="F186" s="16">
        <f>emiss!G83</f>
        <v>8.4</v>
      </c>
      <c r="H186" s="16">
        <f>emiss!I83</f>
        <v>8.6</v>
      </c>
      <c r="J186" s="16">
        <f>emiss!K83</f>
        <v>8.7</v>
      </c>
      <c r="L186" s="25">
        <f>AVERAGE(F186,H186,J186)</f>
        <v>8.566666666666666</v>
      </c>
      <c r="M186" s="25"/>
    </row>
    <row r="188" spans="2:20" ht="12.75">
      <c r="B188" s="16" t="s">
        <v>160</v>
      </c>
      <c r="D188" s="16" t="s">
        <v>191</v>
      </c>
      <c r="F188" s="35">
        <f>F166/454*F168/1000000</f>
        <v>36.04223382819384</v>
      </c>
      <c r="H188" s="35">
        <f>H166/454*H168/1000000</f>
        <v>35.675447251101325</v>
      </c>
      <c r="J188" s="35">
        <f>J166/454*J168/1000000</f>
        <v>38.442818920704845</v>
      </c>
      <c r="L188" s="35">
        <f>L166/454*L168/1000000</f>
        <v>36.72016666666667</v>
      </c>
      <c r="M188" s="35"/>
      <c r="N188" s="35">
        <f>F188</f>
        <v>36.04223382819384</v>
      </c>
      <c r="P188" s="35">
        <f>H188</f>
        <v>35.675447251101325</v>
      </c>
      <c r="R188" s="35">
        <f>J188</f>
        <v>38.442818920704845</v>
      </c>
      <c r="T188" s="35">
        <f>L188</f>
        <v>36.72016666666667</v>
      </c>
    </row>
    <row r="189" spans="2:20" ht="12.75">
      <c r="B189" s="16" t="s">
        <v>194</v>
      </c>
      <c r="D189" s="16" t="s">
        <v>191</v>
      </c>
      <c r="L189" s="37"/>
      <c r="M189" s="37"/>
      <c r="T189" s="37">
        <f>L185/150*(21-L186)/21</f>
        <v>250.0060458553792</v>
      </c>
    </row>
    <row r="190" spans="12:13" ht="12.75">
      <c r="L190" s="35"/>
      <c r="M190" s="35"/>
    </row>
    <row r="191" spans="2:13" ht="12.75">
      <c r="B191" s="36" t="s">
        <v>126</v>
      </c>
      <c r="C191" s="36"/>
      <c r="L191" s="35"/>
      <c r="M191" s="35"/>
    </row>
    <row r="192" spans="2:20" ht="12.75">
      <c r="B192" s="16" t="s">
        <v>8</v>
      </c>
      <c r="D192" s="16" t="s">
        <v>13</v>
      </c>
      <c r="F192" s="38">
        <f>F169/60*1000*1/(0.0283*F185)*(21-7)/(21-F186)</f>
        <v>1.4389238588713393</v>
      </c>
      <c r="G192" s="35">
        <v>100</v>
      </c>
      <c r="H192" s="38">
        <f>H169/60*1000*1/(0.0283*H185)*(21-7)/(21-H186)</f>
        <v>0.020844522222376292</v>
      </c>
      <c r="I192" s="35"/>
      <c r="J192" s="38">
        <f>J169/60*1000*1/(0.0283*J185)*(21-7)/(21-J186)</f>
        <v>0.6559283609704954</v>
      </c>
      <c r="K192" s="24">
        <f>SUM((J192*I18:I192/100),(H192*G192/100),(F192*E192/100))/L192*100/3</f>
        <v>0.9852320423785795</v>
      </c>
      <c r="L192" s="35">
        <f>AVERAGE(F192,H192,J192)</f>
        <v>0.7052322473547371</v>
      </c>
      <c r="M192" s="37"/>
      <c r="N192" s="35">
        <f>F192</f>
        <v>1.4389238588713393</v>
      </c>
      <c r="O192" s="37">
        <f>G192</f>
        <v>100</v>
      </c>
      <c r="P192" s="35">
        <f>H192</f>
        <v>0.020844522222376292</v>
      </c>
      <c r="Q192" s="37"/>
      <c r="R192" s="35">
        <f>J192</f>
        <v>0.6559283609704954</v>
      </c>
      <c r="S192" s="37">
        <f>K192</f>
        <v>0.9852320423785795</v>
      </c>
      <c r="T192" s="35">
        <f>L192</f>
        <v>0.7052322473547371</v>
      </c>
    </row>
    <row r="193" spans="2:20" ht="12.75">
      <c r="B193" s="16" t="s">
        <v>70</v>
      </c>
      <c r="D193" s="16" t="s">
        <v>12</v>
      </c>
      <c r="E193" s="16">
        <v>100</v>
      </c>
      <c r="F193" s="38">
        <f>F170/60*1000000*1/(0.0283*F$185)*(21-7)/(21-F$186)</f>
        <v>56.354720321331826</v>
      </c>
      <c r="G193" s="35"/>
      <c r="H193" s="38">
        <f>H170/60*1000000*1/(0.0283*H$133)*(21-7)/(21-H$134)</f>
        <v>44.85797463529433</v>
      </c>
      <c r="I193" s="35"/>
      <c r="J193" s="38">
        <f>J170/60*1000000*1/(0.0283*J$133)*(21-7)/(21-J$134)</f>
        <v>101.07832353608177</v>
      </c>
      <c r="K193" s="24">
        <f>SUM((J193*I19:I193/100),(H193*G193/100),(F193*E193/100))/L193*100/3</f>
        <v>27.85824142922256</v>
      </c>
      <c r="L193" s="35">
        <f aca="true" t="shared" si="25" ref="L193:L205">AVERAGE(F193,H193,J193)</f>
        <v>67.4303394975693</v>
      </c>
      <c r="M193" s="37">
        <f aca="true" t="shared" si="26" ref="M193:M207">E193</f>
        <v>100</v>
      </c>
      <c r="N193" s="35">
        <f aca="true" t="shared" si="27" ref="N193:N205">F193</f>
        <v>56.354720321331826</v>
      </c>
      <c r="O193" s="37"/>
      <c r="P193" s="35">
        <f aca="true" t="shared" si="28" ref="P193:P205">H193</f>
        <v>44.85797463529433</v>
      </c>
      <c r="Q193" s="37"/>
      <c r="R193" s="35">
        <f aca="true" t="shared" si="29" ref="R193:R205">J193</f>
        <v>101.07832353608177</v>
      </c>
      <c r="S193" s="37">
        <f aca="true" t="shared" si="30" ref="S193:S207">K193</f>
        <v>27.85824142922256</v>
      </c>
      <c r="T193" s="35">
        <f>L193</f>
        <v>67.4303394975693</v>
      </c>
    </row>
    <row r="194" spans="2:20" ht="12.75">
      <c r="B194" s="16" t="s">
        <v>153</v>
      </c>
      <c r="D194" s="16" t="s">
        <v>12</v>
      </c>
      <c r="E194" s="16">
        <v>100</v>
      </c>
      <c r="F194" s="38">
        <f>F171/60*1000000*1/(0.0283*F$185)*(21-7)/(21-F$186)</f>
        <v>0.04061601464600492</v>
      </c>
      <c r="G194" s="16">
        <v>100</v>
      </c>
      <c r="H194" s="38">
        <f aca="true" t="shared" si="31" ref="F194:H205">H171/60*1000000*1/(0.0283*H$185)*(21-7)/(21-H$186)</f>
        <v>0.04275799430231036</v>
      </c>
      <c r="I194" s="16">
        <v>100</v>
      </c>
      <c r="J194" s="38">
        <f aca="true" t="shared" si="32" ref="J194:J205">J171/60*1000000*1/(0.0283*J$185)*(21-7)/(21-J$186)</f>
        <v>0.042311134395774594</v>
      </c>
      <c r="K194" s="24">
        <f aca="true" t="shared" si="33" ref="K194:K207">SUM((J194*I20:I194/100),(H194*G194/100),(F194*E194/100))/L194*100/3</f>
        <v>100</v>
      </c>
      <c r="L194" s="35">
        <f t="shared" si="25"/>
        <v>0.04189504778136329</v>
      </c>
      <c r="M194" s="37">
        <f t="shared" si="26"/>
        <v>100</v>
      </c>
      <c r="N194" s="35">
        <f t="shared" si="27"/>
        <v>0.04061601464600492</v>
      </c>
      <c r="O194" s="37">
        <f aca="true" t="shared" si="34" ref="O194:O207">G194</f>
        <v>100</v>
      </c>
      <c r="P194" s="35">
        <f t="shared" si="28"/>
        <v>0.04275799430231036</v>
      </c>
      <c r="Q194" s="37">
        <f aca="true" t="shared" si="35" ref="Q194:Q207">I194</f>
        <v>100</v>
      </c>
      <c r="R194" s="35">
        <f t="shared" si="29"/>
        <v>0.042311134395774594</v>
      </c>
      <c r="S194" s="37">
        <f t="shared" si="30"/>
        <v>100</v>
      </c>
      <c r="T194" s="27">
        <f>L194</f>
        <v>0.04189504778136329</v>
      </c>
    </row>
    <row r="195" spans="2:20" ht="12.75">
      <c r="B195" s="16" t="s">
        <v>149</v>
      </c>
      <c r="D195" s="16" t="s">
        <v>12</v>
      </c>
      <c r="E195" s="16">
        <v>100</v>
      </c>
      <c r="F195" s="38">
        <f t="shared" si="31"/>
        <v>0.02030800732300246</v>
      </c>
      <c r="G195" s="16">
        <v>100</v>
      </c>
      <c r="H195" s="38">
        <f t="shared" si="31"/>
        <v>0.02137899715115518</v>
      </c>
      <c r="I195" s="16">
        <v>100</v>
      </c>
      <c r="J195" s="38">
        <f t="shared" si="32"/>
        <v>0.021155567197887297</v>
      </c>
      <c r="K195" s="24">
        <f t="shared" si="33"/>
        <v>100</v>
      </c>
      <c r="L195" s="35">
        <f t="shared" si="25"/>
        <v>0.020947523890681646</v>
      </c>
      <c r="M195" s="37">
        <f t="shared" si="26"/>
        <v>100</v>
      </c>
      <c r="N195" s="35">
        <f t="shared" si="27"/>
        <v>0.02030800732300246</v>
      </c>
      <c r="O195" s="37">
        <f t="shared" si="34"/>
        <v>100</v>
      </c>
      <c r="P195" s="35">
        <f t="shared" si="28"/>
        <v>0.02137899715115518</v>
      </c>
      <c r="Q195" s="37">
        <f t="shared" si="35"/>
        <v>100</v>
      </c>
      <c r="R195" s="35">
        <f t="shared" si="29"/>
        <v>0.021155567197887297</v>
      </c>
      <c r="S195" s="37">
        <f t="shared" si="30"/>
        <v>100</v>
      </c>
      <c r="T195" s="27">
        <f aca="true" t="shared" si="36" ref="T195:T200">L195</f>
        <v>0.020947523890681646</v>
      </c>
    </row>
    <row r="196" spans="2:20" ht="12.75">
      <c r="B196" s="16" t="s">
        <v>151</v>
      </c>
      <c r="D196" s="16" t="s">
        <v>12</v>
      </c>
      <c r="E196" s="16">
        <v>100</v>
      </c>
      <c r="F196" s="38">
        <f t="shared" si="31"/>
        <v>1.8987986847007299</v>
      </c>
      <c r="G196" s="16">
        <v>100</v>
      </c>
      <c r="H196" s="38">
        <f t="shared" si="31"/>
        <v>1.9989362336330085</v>
      </c>
      <c r="I196" s="16">
        <v>100</v>
      </c>
      <c r="J196" s="38">
        <f t="shared" si="32"/>
        <v>1.9780455330024622</v>
      </c>
      <c r="K196" s="24">
        <f t="shared" si="33"/>
        <v>100</v>
      </c>
      <c r="L196" s="35">
        <f t="shared" si="25"/>
        <v>1.9585934837787338</v>
      </c>
      <c r="M196" s="37">
        <f t="shared" si="26"/>
        <v>100</v>
      </c>
      <c r="N196" s="35">
        <f t="shared" si="27"/>
        <v>1.8987986847007299</v>
      </c>
      <c r="O196" s="37">
        <f t="shared" si="34"/>
        <v>100</v>
      </c>
      <c r="P196" s="35">
        <f t="shared" si="28"/>
        <v>1.9989362336330085</v>
      </c>
      <c r="Q196" s="37">
        <f t="shared" si="35"/>
        <v>100</v>
      </c>
      <c r="R196" s="35">
        <f t="shared" si="29"/>
        <v>1.9780455330024622</v>
      </c>
      <c r="S196" s="37">
        <f t="shared" si="30"/>
        <v>100</v>
      </c>
      <c r="T196" s="25">
        <f t="shared" si="36"/>
        <v>1.9585934837787338</v>
      </c>
    </row>
    <row r="197" spans="2:20" ht="12.75">
      <c r="B197" s="16" t="s">
        <v>150</v>
      </c>
      <c r="D197" s="16" t="s">
        <v>12</v>
      </c>
      <c r="E197" s="16">
        <v>100</v>
      </c>
      <c r="F197" s="38">
        <f t="shared" si="31"/>
        <v>0.0020308007323002458</v>
      </c>
      <c r="G197" s="16">
        <v>100</v>
      </c>
      <c r="H197" s="38">
        <f t="shared" si="31"/>
        <v>0.0021378997151155175</v>
      </c>
      <c r="I197" s="16">
        <v>100</v>
      </c>
      <c r="J197" s="38">
        <f t="shared" si="32"/>
        <v>0.0021155567197887297</v>
      </c>
      <c r="K197" s="24">
        <f t="shared" si="33"/>
        <v>100</v>
      </c>
      <c r="L197" s="35">
        <f t="shared" si="25"/>
        <v>0.0020947523890681645</v>
      </c>
      <c r="M197" s="37">
        <f t="shared" si="26"/>
        <v>100</v>
      </c>
      <c r="N197" s="35">
        <f t="shared" si="27"/>
        <v>0.0020308007323002458</v>
      </c>
      <c r="O197" s="37">
        <f t="shared" si="34"/>
        <v>100</v>
      </c>
      <c r="P197" s="35">
        <f t="shared" si="28"/>
        <v>0.0021378997151155175</v>
      </c>
      <c r="Q197" s="37">
        <f t="shared" si="35"/>
        <v>100</v>
      </c>
      <c r="R197" s="35">
        <f t="shared" si="29"/>
        <v>0.0021155567197887297</v>
      </c>
      <c r="S197" s="37">
        <f t="shared" si="30"/>
        <v>100</v>
      </c>
      <c r="T197" s="27">
        <f t="shared" si="36"/>
        <v>0.0020947523890681645</v>
      </c>
    </row>
    <row r="198" spans="2:20" ht="12.75">
      <c r="B198" s="16" t="s">
        <v>156</v>
      </c>
      <c r="D198" s="16" t="s">
        <v>12</v>
      </c>
      <c r="E198" s="16">
        <v>100</v>
      </c>
      <c r="F198" s="38">
        <f t="shared" si="31"/>
        <v>0.0020308007323002458</v>
      </c>
      <c r="G198" s="16">
        <v>100</v>
      </c>
      <c r="H198" s="38">
        <f t="shared" si="31"/>
        <v>0.0021378997151155175</v>
      </c>
      <c r="I198" s="16">
        <v>100</v>
      </c>
      <c r="J198" s="38">
        <f t="shared" si="32"/>
        <v>0.0021155567197887297</v>
      </c>
      <c r="K198" s="24">
        <f t="shared" si="33"/>
        <v>100</v>
      </c>
      <c r="L198" s="35">
        <f t="shared" si="25"/>
        <v>0.0020947523890681645</v>
      </c>
      <c r="M198" s="37">
        <f t="shared" si="26"/>
        <v>100</v>
      </c>
      <c r="N198" s="35">
        <f t="shared" si="27"/>
        <v>0.0020308007323002458</v>
      </c>
      <c r="O198" s="37">
        <f t="shared" si="34"/>
        <v>100</v>
      </c>
      <c r="P198" s="35">
        <f t="shared" si="28"/>
        <v>0.0021378997151155175</v>
      </c>
      <c r="Q198" s="37">
        <f t="shared" si="35"/>
        <v>100</v>
      </c>
      <c r="R198" s="35">
        <f t="shared" si="29"/>
        <v>0.0021155567197887297</v>
      </c>
      <c r="S198" s="37">
        <f t="shared" si="30"/>
        <v>100</v>
      </c>
      <c r="T198" s="27">
        <f t="shared" si="36"/>
        <v>0.0020947523890681645</v>
      </c>
    </row>
    <row r="199" spans="2:20" ht="12.75">
      <c r="B199" s="16" t="s">
        <v>158</v>
      </c>
      <c r="D199" s="16" t="s">
        <v>12</v>
      </c>
      <c r="F199" s="38">
        <f t="shared" si="31"/>
        <v>11.930954302263945</v>
      </c>
      <c r="H199" s="38">
        <f t="shared" si="31"/>
        <v>3.0571965926151896</v>
      </c>
      <c r="J199" s="38">
        <f t="shared" si="32"/>
        <v>2.2213345557781663</v>
      </c>
      <c r="K199" s="24"/>
      <c r="L199" s="35">
        <f t="shared" si="25"/>
        <v>5.7364951502191</v>
      </c>
      <c r="M199" s="37"/>
      <c r="N199" s="35">
        <f t="shared" si="27"/>
        <v>11.930954302263945</v>
      </c>
      <c r="O199" s="37"/>
      <c r="P199" s="35">
        <f t="shared" si="28"/>
        <v>3.0571965926151896</v>
      </c>
      <c r="Q199" s="37"/>
      <c r="R199" s="35">
        <f t="shared" si="29"/>
        <v>2.2213345557781663</v>
      </c>
      <c r="S199" s="37"/>
      <c r="T199" s="27">
        <f t="shared" si="36"/>
        <v>5.7364951502191</v>
      </c>
    </row>
    <row r="200" spans="2:20" ht="12.75">
      <c r="B200" s="16" t="s">
        <v>154</v>
      </c>
      <c r="D200" s="16" t="s">
        <v>12</v>
      </c>
      <c r="E200" s="16">
        <v>100</v>
      </c>
      <c r="F200" s="38">
        <f t="shared" si="31"/>
        <v>0.02030800732300246</v>
      </c>
      <c r="G200" s="16">
        <v>100</v>
      </c>
      <c r="H200" s="38">
        <f t="shared" si="31"/>
        <v>0.02137899715115518</v>
      </c>
      <c r="I200" s="16">
        <v>100</v>
      </c>
      <c r="J200" s="38">
        <f t="shared" si="32"/>
        <v>0.021155567197887297</v>
      </c>
      <c r="K200" s="24">
        <f t="shared" si="33"/>
        <v>100</v>
      </c>
      <c r="L200" s="35">
        <f t="shared" si="25"/>
        <v>0.020947523890681646</v>
      </c>
      <c r="M200" s="37">
        <f t="shared" si="26"/>
        <v>100</v>
      </c>
      <c r="N200" s="35">
        <f t="shared" si="27"/>
        <v>0.02030800732300246</v>
      </c>
      <c r="O200" s="37">
        <f t="shared" si="34"/>
        <v>100</v>
      </c>
      <c r="P200" s="35">
        <f t="shared" si="28"/>
        <v>0.02137899715115518</v>
      </c>
      <c r="Q200" s="37">
        <f t="shared" si="35"/>
        <v>100</v>
      </c>
      <c r="R200" s="35">
        <f t="shared" si="29"/>
        <v>0.021155567197887297</v>
      </c>
      <c r="S200" s="37">
        <f t="shared" si="30"/>
        <v>100</v>
      </c>
      <c r="T200" s="27">
        <f t="shared" si="36"/>
        <v>0.020947523890681646</v>
      </c>
    </row>
    <row r="201" spans="2:20" ht="12.75">
      <c r="B201" s="16" t="s">
        <v>161</v>
      </c>
      <c r="D201" s="16" t="s">
        <v>12</v>
      </c>
      <c r="E201" s="16">
        <v>100</v>
      </c>
      <c r="F201" s="38">
        <f t="shared" si="31"/>
        <v>0.8427823039046021</v>
      </c>
      <c r="G201" s="16">
        <v>100</v>
      </c>
      <c r="H201" s="38">
        <f t="shared" si="31"/>
        <v>0.855159886046207</v>
      </c>
      <c r="I201" s="16">
        <v>100</v>
      </c>
      <c r="J201" s="38">
        <f t="shared" si="32"/>
        <v>0.9308449567070411</v>
      </c>
      <c r="K201" s="24">
        <f t="shared" si="33"/>
        <v>100</v>
      </c>
      <c r="L201" s="35">
        <f t="shared" si="25"/>
        <v>0.8762623822192834</v>
      </c>
      <c r="M201" s="37">
        <f t="shared" si="26"/>
        <v>100</v>
      </c>
      <c r="N201" s="35">
        <f t="shared" si="27"/>
        <v>0.8427823039046021</v>
      </c>
      <c r="O201" s="37">
        <f t="shared" si="34"/>
        <v>100</v>
      </c>
      <c r="P201" s="35">
        <f t="shared" si="28"/>
        <v>0.855159886046207</v>
      </c>
      <c r="Q201" s="37">
        <f t="shared" si="35"/>
        <v>100</v>
      </c>
      <c r="R201" s="35">
        <f t="shared" si="29"/>
        <v>0.9308449567070411</v>
      </c>
      <c r="S201" s="37">
        <f t="shared" si="30"/>
        <v>100</v>
      </c>
      <c r="T201" s="25">
        <f>L201</f>
        <v>0.8762623822192834</v>
      </c>
    </row>
    <row r="202" spans="2:20" ht="12.75">
      <c r="B202" s="16" t="s">
        <v>155</v>
      </c>
      <c r="D202" s="16" t="s">
        <v>12</v>
      </c>
      <c r="F202" s="38">
        <f t="shared" si="31"/>
        <v>3.2797431826648973</v>
      </c>
      <c r="H202" s="38">
        <f t="shared" si="31"/>
        <v>0.6841279088369657</v>
      </c>
      <c r="J202" s="38">
        <f t="shared" si="32"/>
        <v>0.4442669111556332</v>
      </c>
      <c r="K202" s="24"/>
      <c r="L202" s="35">
        <f t="shared" si="25"/>
        <v>1.4693793342191654</v>
      </c>
      <c r="M202" s="37"/>
      <c r="N202" s="35">
        <f t="shared" si="27"/>
        <v>3.2797431826648973</v>
      </c>
      <c r="O202" s="37"/>
      <c r="P202" s="35">
        <f t="shared" si="28"/>
        <v>0.6841279088369657</v>
      </c>
      <c r="Q202" s="37"/>
      <c r="R202" s="35">
        <f t="shared" si="29"/>
        <v>0.4442669111556332</v>
      </c>
      <c r="S202" s="37"/>
      <c r="T202" s="25">
        <f>L202</f>
        <v>1.4693793342191654</v>
      </c>
    </row>
    <row r="203" spans="2:20" ht="12.75">
      <c r="B203" s="16" t="s">
        <v>168</v>
      </c>
      <c r="D203" s="16" t="s">
        <v>12</v>
      </c>
      <c r="E203" s="16">
        <v>100</v>
      </c>
      <c r="F203" s="41">
        <f t="shared" si="31"/>
        <v>0.04061601464600492</v>
      </c>
      <c r="G203" s="16">
        <v>100</v>
      </c>
      <c r="H203" s="41">
        <f t="shared" si="31"/>
        <v>0.04275799430231036</v>
      </c>
      <c r="I203" s="16">
        <v>100</v>
      </c>
      <c r="J203" s="41">
        <f t="shared" si="32"/>
        <v>0.042311134395774594</v>
      </c>
      <c r="K203" s="24">
        <f t="shared" si="33"/>
        <v>100</v>
      </c>
      <c r="L203" s="35">
        <f t="shared" si="25"/>
        <v>0.04189504778136329</v>
      </c>
      <c r="M203" s="37">
        <f t="shared" si="26"/>
        <v>100</v>
      </c>
      <c r="N203" s="35">
        <f t="shared" si="27"/>
        <v>0.04061601464600492</v>
      </c>
      <c r="O203" s="37">
        <f t="shared" si="34"/>
        <v>100</v>
      </c>
      <c r="P203" s="35">
        <f t="shared" si="28"/>
        <v>0.04275799430231036</v>
      </c>
      <c r="Q203" s="37">
        <f t="shared" si="35"/>
        <v>100</v>
      </c>
      <c r="R203" s="35">
        <f t="shared" si="29"/>
        <v>0.042311134395774594</v>
      </c>
      <c r="S203" s="37">
        <f t="shared" si="30"/>
        <v>100</v>
      </c>
      <c r="T203" s="27">
        <f>L203</f>
        <v>0.04189504778136329</v>
      </c>
    </row>
    <row r="204" spans="2:20" ht="12.75">
      <c r="B204" s="16" t="s">
        <v>157</v>
      </c>
      <c r="D204" s="16" t="s">
        <v>12</v>
      </c>
      <c r="E204" s="16">
        <v>100</v>
      </c>
      <c r="F204" s="41">
        <f t="shared" si="31"/>
        <v>0.01015400366150123</v>
      </c>
      <c r="G204" s="16">
        <v>100</v>
      </c>
      <c r="H204" s="41">
        <f t="shared" si="31"/>
        <v>0.01068949857557759</v>
      </c>
      <c r="I204" s="16">
        <v>100</v>
      </c>
      <c r="J204" s="41">
        <f t="shared" si="32"/>
        <v>0.010577783598943648</v>
      </c>
      <c r="K204" s="24">
        <f t="shared" si="33"/>
        <v>100</v>
      </c>
      <c r="L204" s="35">
        <f t="shared" si="25"/>
        <v>0.010473761945340823</v>
      </c>
      <c r="M204" s="37">
        <f t="shared" si="26"/>
        <v>100</v>
      </c>
      <c r="N204" s="35">
        <f t="shared" si="27"/>
        <v>0.01015400366150123</v>
      </c>
      <c r="O204" s="37">
        <f t="shared" si="34"/>
        <v>100</v>
      </c>
      <c r="P204" s="35">
        <f t="shared" si="28"/>
        <v>0.01068949857557759</v>
      </c>
      <c r="Q204" s="37">
        <f t="shared" si="35"/>
        <v>100</v>
      </c>
      <c r="R204" s="35">
        <f t="shared" si="29"/>
        <v>0.010577783598943648</v>
      </c>
      <c r="S204" s="37">
        <f t="shared" si="30"/>
        <v>100</v>
      </c>
      <c r="T204" s="27">
        <f>L204</f>
        <v>0.010473761945340823</v>
      </c>
    </row>
    <row r="205" spans="2:20" ht="12.75">
      <c r="B205" s="16" t="s">
        <v>152</v>
      </c>
      <c r="D205" s="16" t="s">
        <v>12</v>
      </c>
      <c r="E205" s="16">
        <v>100</v>
      </c>
      <c r="F205" s="41">
        <f>F182/60*1000000*1/(0.0283*F$185)*(21-7)/(21-F$186)</f>
        <v>0.02030800732300246</v>
      </c>
      <c r="G205" s="16">
        <v>100</v>
      </c>
      <c r="H205" s="41">
        <f t="shared" si="31"/>
        <v>0.02137899715115518</v>
      </c>
      <c r="I205" s="16">
        <v>100</v>
      </c>
      <c r="J205" s="41">
        <f t="shared" si="32"/>
        <v>0.021155567197887297</v>
      </c>
      <c r="K205" s="24">
        <f t="shared" si="33"/>
        <v>100</v>
      </c>
      <c r="L205" s="35">
        <f t="shared" si="25"/>
        <v>0.020947523890681646</v>
      </c>
      <c r="M205" s="37">
        <f t="shared" si="26"/>
        <v>100</v>
      </c>
      <c r="N205" s="35">
        <f t="shared" si="27"/>
        <v>0.02030800732300246</v>
      </c>
      <c r="O205" s="37">
        <f t="shared" si="34"/>
        <v>100</v>
      </c>
      <c r="P205" s="35">
        <f t="shared" si="28"/>
        <v>0.02137899715115518</v>
      </c>
      <c r="Q205" s="37">
        <f t="shared" si="35"/>
        <v>100</v>
      </c>
      <c r="R205" s="35">
        <f t="shared" si="29"/>
        <v>0.021155567197887297</v>
      </c>
      <c r="S205" s="37">
        <f t="shared" si="30"/>
        <v>100</v>
      </c>
      <c r="T205" s="27">
        <f>L205</f>
        <v>0.020947523890681646</v>
      </c>
    </row>
    <row r="206" spans="6:20" ht="12.75">
      <c r="F206" s="35"/>
      <c r="H206" s="35"/>
      <c r="J206" s="35"/>
      <c r="K206" s="24"/>
      <c r="L206" s="35"/>
      <c r="M206" s="37"/>
      <c r="O206" s="37"/>
      <c r="Q206" s="37"/>
      <c r="S206" s="37"/>
      <c r="T206" s="27"/>
    </row>
    <row r="207" spans="2:20" ht="12.75">
      <c r="B207" s="16" t="s">
        <v>5</v>
      </c>
      <c r="D207" s="16" t="s">
        <v>12</v>
      </c>
      <c r="E207" s="16">
        <v>100</v>
      </c>
      <c r="F207" s="27">
        <f>(F198+F200)</f>
        <v>0.02233880805530271</v>
      </c>
      <c r="G207" s="16">
        <v>100</v>
      </c>
      <c r="H207" s="27">
        <f>(H198+H200)</f>
        <v>0.023516896866270696</v>
      </c>
      <c r="I207" s="16">
        <v>100</v>
      </c>
      <c r="J207" s="27">
        <f>(J198+J200)</f>
        <v>0.023271123917676027</v>
      </c>
      <c r="K207" s="24">
        <f t="shared" si="33"/>
        <v>100</v>
      </c>
      <c r="L207" s="18">
        <f>AVERAGE(F207,H207,J207)</f>
        <v>0.02304227627974981</v>
      </c>
      <c r="M207" s="37">
        <f t="shared" si="26"/>
        <v>100</v>
      </c>
      <c r="N207" s="18">
        <f>F207</f>
        <v>0.02233880805530271</v>
      </c>
      <c r="O207" s="37">
        <f t="shared" si="34"/>
        <v>100</v>
      </c>
      <c r="P207" s="18">
        <f>H207</f>
        <v>0.023516896866270696</v>
      </c>
      <c r="Q207" s="37">
        <f t="shared" si="35"/>
        <v>100</v>
      </c>
      <c r="R207" s="18">
        <f>J207</f>
        <v>0.023271123917676027</v>
      </c>
      <c r="S207" s="37">
        <f t="shared" si="30"/>
        <v>100</v>
      </c>
      <c r="T207" s="35">
        <f>L207</f>
        <v>0.02304227627974981</v>
      </c>
    </row>
    <row r="208" spans="2:20" ht="12.75">
      <c r="B208" s="16" t="s">
        <v>6</v>
      </c>
      <c r="D208" s="16" t="s">
        <v>12</v>
      </c>
      <c r="F208" s="35">
        <f>F195+F197+F199</f>
        <v>11.953293110319247</v>
      </c>
      <c r="G208" s="35"/>
      <c r="H208" s="35">
        <f>H195+H197+H199</f>
        <v>3.0807134894814605</v>
      </c>
      <c r="I208" s="35"/>
      <c r="J208" s="35">
        <f>J195+J197+J199</f>
        <v>2.2446056796958422</v>
      </c>
      <c r="K208" s="39"/>
      <c r="L208" s="35">
        <f>AVERAGE(F208,H208,J208)</f>
        <v>5.7595374264988495</v>
      </c>
      <c r="M208" s="37"/>
      <c r="N208" s="35">
        <f>F208</f>
        <v>11.953293110319247</v>
      </c>
      <c r="O208" s="37"/>
      <c r="P208" s="35">
        <f>H208</f>
        <v>3.0807134894814605</v>
      </c>
      <c r="Q208" s="37"/>
      <c r="R208" s="35">
        <f>J208</f>
        <v>2.2446056796958422</v>
      </c>
      <c r="S208" s="37"/>
      <c r="T208" s="35">
        <f>L208</f>
        <v>5.7595374264988495</v>
      </c>
    </row>
    <row r="212" ht="12.75">
      <c r="B212" s="31" t="s">
        <v>169</v>
      </c>
    </row>
    <row r="213" spans="2:6" ht="12.75">
      <c r="B213" s="16" t="s">
        <v>153</v>
      </c>
      <c r="D213" s="16" t="s">
        <v>65</v>
      </c>
      <c r="F213" s="16">
        <v>160</v>
      </c>
    </row>
    <row r="214" spans="2:6" ht="12.75">
      <c r="B214" s="16" t="s">
        <v>149</v>
      </c>
      <c r="D214" s="16" t="s">
        <v>65</v>
      </c>
      <c r="F214" s="16">
        <v>0.81</v>
      </c>
    </row>
    <row r="215" spans="2:6" ht="12.75">
      <c r="B215" s="16" t="s">
        <v>151</v>
      </c>
      <c r="D215" s="16" t="s">
        <v>65</v>
      </c>
      <c r="F215" s="16">
        <v>29380</v>
      </c>
    </row>
    <row r="216" spans="2:6" ht="12.75">
      <c r="B216" s="16" t="s">
        <v>150</v>
      </c>
      <c r="D216" s="16" t="s">
        <v>65</v>
      </c>
      <c r="F216" s="16">
        <v>0.24</v>
      </c>
    </row>
    <row r="217" spans="2:6" ht="12.75">
      <c r="B217" s="16" t="s">
        <v>156</v>
      </c>
      <c r="D217" s="16" t="s">
        <v>65</v>
      </c>
      <c r="F217" s="16">
        <v>0.36</v>
      </c>
    </row>
    <row r="218" spans="2:6" ht="12.75">
      <c r="B218" s="16" t="s">
        <v>70</v>
      </c>
      <c r="D218" s="16" t="s">
        <v>65</v>
      </c>
      <c r="F218" s="16">
        <v>400</v>
      </c>
    </row>
    <row r="219" spans="2:6" ht="12.75">
      <c r="B219" s="16" t="s">
        <v>158</v>
      </c>
      <c r="D219" s="16" t="s">
        <v>65</v>
      </c>
      <c r="F219" s="16">
        <v>1.25</v>
      </c>
    </row>
    <row r="220" spans="2:6" ht="12.75">
      <c r="B220" s="16" t="s">
        <v>154</v>
      </c>
      <c r="D220" s="16" t="s">
        <v>65</v>
      </c>
      <c r="F220" s="16">
        <v>199</v>
      </c>
    </row>
    <row r="221" spans="2:6" ht="12.75">
      <c r="B221" s="16" t="s">
        <v>161</v>
      </c>
      <c r="D221" s="16" t="s">
        <v>65</v>
      </c>
      <c r="F221" s="16">
        <v>150</v>
      </c>
    </row>
    <row r="222" spans="2:6" ht="12.75">
      <c r="B222" s="16" t="s">
        <v>157</v>
      </c>
      <c r="D222" s="16" t="s">
        <v>65</v>
      </c>
      <c r="F222" s="16">
        <v>2000</v>
      </c>
    </row>
    <row r="223" spans="2:6" ht="12.75">
      <c r="B223" s="16" t="s">
        <v>152</v>
      </c>
      <c r="D223" s="16" t="s">
        <v>65</v>
      </c>
      <c r="F223" s="16">
        <v>300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2" sqref="B2"/>
    </sheetView>
  </sheetViews>
  <sheetFormatPr defaultColWidth="9.140625" defaultRowHeight="12.75"/>
  <cols>
    <col min="1" max="1" width="21.8515625" style="2" customWidth="1"/>
    <col min="2" max="2" width="7.00390625" style="2" customWidth="1"/>
    <col min="3" max="3" width="8.140625" style="2" customWidth="1"/>
    <col min="4" max="4" width="7.421875" style="2" customWidth="1"/>
    <col min="5" max="5" width="7.8515625" style="2" customWidth="1"/>
    <col min="6" max="6" width="8.28125" style="2" customWidth="1"/>
    <col min="7" max="16384" width="11.421875" style="2" customWidth="1"/>
  </cols>
  <sheetData>
    <row r="1" ht="12.75">
      <c r="A1" s="1" t="s">
        <v>72</v>
      </c>
    </row>
    <row r="3" spans="2:6" ht="12.75">
      <c r="B3" s="2" t="s">
        <v>51</v>
      </c>
      <c r="C3" s="9" t="s">
        <v>52</v>
      </c>
      <c r="D3" s="9" t="s">
        <v>52</v>
      </c>
      <c r="E3" s="9" t="s">
        <v>52</v>
      </c>
      <c r="F3" s="9" t="s">
        <v>73</v>
      </c>
    </row>
    <row r="4" spans="3:6" ht="12.75">
      <c r="C4" s="9">
        <v>1</v>
      </c>
      <c r="D4" s="9">
        <v>2</v>
      </c>
      <c r="E4" s="9">
        <v>3</v>
      </c>
      <c r="F4" s="9"/>
    </row>
    <row r="5" spans="1:6" ht="12.75">
      <c r="A5" s="1" t="s">
        <v>54</v>
      </c>
      <c r="C5" s="9"/>
      <c r="D5" s="9"/>
      <c r="E5" s="9"/>
      <c r="F5" s="9"/>
    </row>
    <row r="6" spans="1:6" ht="12.75">
      <c r="A6" s="1"/>
      <c r="C6" s="9"/>
      <c r="D6" s="9"/>
      <c r="E6" s="9"/>
      <c r="F6" s="9"/>
    </row>
    <row r="7" spans="1:6" ht="12.75">
      <c r="A7" s="2" t="s">
        <v>128</v>
      </c>
      <c r="B7" s="2" t="s">
        <v>61</v>
      </c>
      <c r="C7" s="2">
        <v>171790</v>
      </c>
      <c r="D7" s="2">
        <v>170000</v>
      </c>
      <c r="E7" s="2">
        <v>170000</v>
      </c>
      <c r="F7" s="2">
        <f>AVERAGE(C7:E7)</f>
        <v>170596.66666666666</v>
      </c>
    </row>
    <row r="9" ht="12.75">
      <c r="A9" s="1" t="s">
        <v>62</v>
      </c>
    </row>
    <row r="10" ht="12.75">
      <c r="A10" s="1"/>
    </row>
    <row r="11" spans="1:6" ht="12.75">
      <c r="A11" s="2" t="s">
        <v>128</v>
      </c>
      <c r="B11" s="2" t="s">
        <v>61</v>
      </c>
      <c r="C11" s="2">
        <v>207120</v>
      </c>
      <c r="D11" s="2">
        <v>206730</v>
      </c>
      <c r="E11" s="2">
        <v>205770</v>
      </c>
      <c r="F11" s="2">
        <f>AVERAGE(C11:E11)</f>
        <v>206540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B2" sqref="B2"/>
    </sheetView>
  </sheetViews>
  <sheetFormatPr defaultColWidth="9.140625" defaultRowHeight="12.75"/>
  <cols>
    <col min="1" max="1" width="0.9921875" style="16" customWidth="1"/>
    <col min="2" max="2" width="25.8515625" style="16" customWidth="1"/>
    <col min="3" max="3" width="7.8515625" style="16" customWidth="1"/>
    <col min="4" max="4" width="6.7109375" style="16" customWidth="1"/>
    <col min="5" max="5" width="7.421875" style="17" customWidth="1"/>
    <col min="6" max="6" width="8.140625" style="18" customWidth="1"/>
    <col min="7" max="7" width="7.8515625" style="17" customWidth="1"/>
    <col min="8" max="8" width="8.140625" style="18" customWidth="1"/>
    <col min="9" max="9" width="5.7109375" style="19" customWidth="1"/>
    <col min="10" max="10" width="7.00390625" style="17" customWidth="1"/>
    <col min="11" max="11" width="8.7109375" style="17" customWidth="1"/>
    <col min="12" max="12" width="7.8515625" style="17" customWidth="1"/>
    <col min="13" max="13" width="8.7109375" style="17" customWidth="1"/>
    <col min="14" max="14" width="4.8515625" style="19" customWidth="1"/>
    <col min="15" max="15" width="7.8515625" style="17" customWidth="1"/>
    <col min="16" max="16" width="8.421875" style="17" customWidth="1"/>
    <col min="17" max="17" width="8.28125" style="17" customWidth="1"/>
    <col min="18" max="18" width="8.421875" style="17" customWidth="1"/>
    <col min="19" max="19" width="7.7109375" style="16" customWidth="1"/>
    <col min="20" max="20" width="7.8515625" style="16" customWidth="1"/>
    <col min="21" max="21" width="7.7109375" style="16" customWidth="1"/>
    <col min="22" max="22" width="7.00390625" style="16" customWidth="1"/>
    <col min="23" max="23" width="7.421875" style="16" customWidth="1"/>
    <col min="24" max="16384" width="10.8515625" style="16" customWidth="1"/>
  </cols>
  <sheetData>
    <row r="1" ht="12.75">
      <c r="A1" s="31" t="s">
        <v>116</v>
      </c>
    </row>
    <row r="2" ht="12.75">
      <c r="A2" s="16" t="s">
        <v>202</v>
      </c>
    </row>
    <row r="3" spans="1:3" ht="12.75">
      <c r="A3" s="16" t="s">
        <v>197</v>
      </c>
      <c r="C3" s="44" t="s">
        <v>198</v>
      </c>
    </row>
    <row r="4" spans="1:18" ht="12.75">
      <c r="A4" s="16" t="s">
        <v>199</v>
      </c>
      <c r="C4" s="44" t="s">
        <v>115</v>
      </c>
      <c r="D4" s="20"/>
      <c r="E4" s="21"/>
      <c r="F4" s="22"/>
      <c r="G4" s="21"/>
      <c r="H4" s="22"/>
      <c r="J4" s="21"/>
      <c r="K4" s="21"/>
      <c r="L4" s="21"/>
      <c r="M4" s="21"/>
      <c r="O4" s="21"/>
      <c r="P4" s="21"/>
      <c r="Q4" s="21"/>
      <c r="R4" s="21"/>
    </row>
    <row r="5" spans="1:4" ht="12.75">
      <c r="A5" s="16" t="s">
        <v>200</v>
      </c>
      <c r="C5" s="44" t="s">
        <v>201</v>
      </c>
      <c r="D5" s="20"/>
    </row>
    <row r="6" spans="3:17" ht="12.75">
      <c r="C6" s="20"/>
      <c r="D6" s="20"/>
      <c r="E6" s="19"/>
      <c r="G6" s="19"/>
      <c r="J6" s="19"/>
      <c r="L6" s="19"/>
      <c r="O6" s="19"/>
      <c r="Q6" s="19"/>
    </row>
    <row r="7" spans="3:18" ht="12.75">
      <c r="C7" s="20" t="s">
        <v>74</v>
      </c>
      <c r="D7" s="20"/>
      <c r="E7" s="23" t="s">
        <v>75</v>
      </c>
      <c r="F7" s="23"/>
      <c r="G7" s="23"/>
      <c r="H7" s="23"/>
      <c r="I7" s="24"/>
      <c r="J7" s="23" t="s">
        <v>76</v>
      </c>
      <c r="K7" s="23"/>
      <c r="L7" s="23"/>
      <c r="M7" s="23"/>
      <c r="N7" s="24"/>
      <c r="O7" s="23" t="s">
        <v>77</v>
      </c>
      <c r="P7" s="23"/>
      <c r="Q7" s="23"/>
      <c r="R7" s="23"/>
    </row>
    <row r="8" spans="3:18" ht="12.75">
      <c r="C8" s="20" t="s">
        <v>78</v>
      </c>
      <c r="E8" s="19" t="s">
        <v>79</v>
      </c>
      <c r="F8" s="22" t="s">
        <v>80</v>
      </c>
      <c r="G8" s="19" t="s">
        <v>79</v>
      </c>
      <c r="H8" s="22" t="s">
        <v>80</v>
      </c>
      <c r="J8" s="19" t="s">
        <v>79</v>
      </c>
      <c r="K8" s="19" t="s">
        <v>81</v>
      </c>
      <c r="L8" s="19" t="s">
        <v>79</v>
      </c>
      <c r="M8" s="19" t="s">
        <v>81</v>
      </c>
      <c r="O8" s="19" t="s">
        <v>79</v>
      </c>
      <c r="P8" s="19" t="s">
        <v>81</v>
      </c>
      <c r="Q8" s="19" t="s">
        <v>79</v>
      </c>
      <c r="R8" s="19" t="s">
        <v>81</v>
      </c>
    </row>
    <row r="9" spans="3:18" ht="12.75">
      <c r="C9" s="20"/>
      <c r="E9" s="19" t="s">
        <v>196</v>
      </c>
      <c r="F9" s="19" t="s">
        <v>196</v>
      </c>
      <c r="G9" s="19" t="s">
        <v>117</v>
      </c>
      <c r="H9" s="22" t="s">
        <v>117</v>
      </c>
      <c r="J9" s="19" t="s">
        <v>196</v>
      </c>
      <c r="K9" s="19" t="s">
        <v>196</v>
      </c>
      <c r="L9" s="19" t="s">
        <v>117</v>
      </c>
      <c r="M9" s="22" t="s">
        <v>117</v>
      </c>
      <c r="O9" s="19" t="s">
        <v>196</v>
      </c>
      <c r="P9" s="19" t="s">
        <v>196</v>
      </c>
      <c r="Q9" s="19" t="s">
        <v>117</v>
      </c>
      <c r="R9" s="22" t="s">
        <v>117</v>
      </c>
    </row>
    <row r="10" ht="13.5" customHeight="1">
      <c r="A10" s="16" t="s">
        <v>82</v>
      </c>
    </row>
    <row r="11" spans="2:18" ht="12.75">
      <c r="B11" s="16" t="s">
        <v>83</v>
      </c>
      <c r="C11" s="20">
        <v>1</v>
      </c>
      <c r="D11" s="20" t="s">
        <v>57</v>
      </c>
      <c r="E11" s="18">
        <v>0.03</v>
      </c>
      <c r="F11" s="18">
        <f>IF(E11="","",E11*$C11)</f>
        <v>0.03</v>
      </c>
      <c r="G11" s="18">
        <f>IF(E11=0,"",IF(D11="nd",E11/2,E11))</f>
        <v>0.015</v>
      </c>
      <c r="H11" s="18">
        <f>IF(G11="","",G11*$C11)</f>
        <v>0.015</v>
      </c>
      <c r="I11" s="22" t="s">
        <v>57</v>
      </c>
      <c r="J11" s="2">
        <v>0.05</v>
      </c>
      <c r="K11" s="18">
        <f>IF(J11="","",J11*$C11)</f>
        <v>0.05</v>
      </c>
      <c r="L11" s="18">
        <f>IF(J11=0,"",IF(I11="nd",J11/2,J11))</f>
        <v>0.025</v>
      </c>
      <c r="M11" s="18">
        <f>IF(L11="","",L11*$C11)</f>
        <v>0.025</v>
      </c>
      <c r="N11" s="22" t="s">
        <v>57</v>
      </c>
      <c r="O11" s="2">
        <v>0.04</v>
      </c>
      <c r="P11" s="18">
        <f>IF(O11="","",O11*$C11)</f>
        <v>0.04</v>
      </c>
      <c r="Q11" s="18">
        <f>IF(O11=0,"",IF(N11="nd",O11/2,O11))</f>
        <v>0.02</v>
      </c>
      <c r="R11" s="18">
        <f>IF(Q11="","",Q11*$C11)</f>
        <v>0.02</v>
      </c>
    </row>
    <row r="12" spans="2:18" ht="12.75">
      <c r="B12" s="16" t="s">
        <v>84</v>
      </c>
      <c r="C12" s="20">
        <v>0</v>
      </c>
      <c r="D12" s="20"/>
      <c r="E12" s="18">
        <v>0.05</v>
      </c>
      <c r="F12" s="18">
        <f>IF(E12="","",E12*$C12)</f>
        <v>0</v>
      </c>
      <c r="G12" s="18">
        <f>IF(E12=0,"",IF(D12="nd",E12/2,E12))</f>
        <v>0.05</v>
      </c>
      <c r="H12" s="18">
        <f>IF(G12="","",G12*$C12)</f>
        <v>0</v>
      </c>
      <c r="I12" s="22" t="s">
        <v>57</v>
      </c>
      <c r="J12" s="2">
        <v>0.05</v>
      </c>
      <c r="K12" s="18">
        <f>IF(J12="","",J12*$C12)</f>
        <v>0</v>
      </c>
      <c r="L12" s="18">
        <f>IF(J12=0,"",IF(I12="nd",J12/2,J12))</f>
        <v>0.025</v>
      </c>
      <c r="M12" s="18">
        <f>IF(L12="","",L12*$C12)</f>
        <v>0</v>
      </c>
      <c r="N12" s="22" t="s">
        <v>57</v>
      </c>
      <c r="O12" s="2">
        <v>0.04</v>
      </c>
      <c r="P12" s="18">
        <f>IF(O12="","",O12*$C12)</f>
        <v>0</v>
      </c>
      <c r="Q12" s="18">
        <f>IF(O12=0,"",IF(N12="nd",O12/2,O12))</f>
        <v>0.02</v>
      </c>
      <c r="R12" s="18">
        <f>IF(Q12="","",Q12*$C12)</f>
        <v>0</v>
      </c>
    </row>
    <row r="13" spans="2:18" ht="12.75">
      <c r="B13" s="16" t="s">
        <v>85</v>
      </c>
      <c r="C13" s="20">
        <v>0.5</v>
      </c>
      <c r="D13" s="20" t="s">
        <v>57</v>
      </c>
      <c r="E13" s="18">
        <v>0.05</v>
      </c>
      <c r="F13" s="18">
        <f aca="true" t="shared" si="0" ref="F13:H35">IF(E13="","",E13*$C13)</f>
        <v>0.025</v>
      </c>
      <c r="G13" s="18">
        <f>IF(E13=0,"",IF(D13="nd",E13/2,E13))</f>
        <v>0.025</v>
      </c>
      <c r="H13" s="18">
        <f t="shared" si="0"/>
        <v>0.0125</v>
      </c>
      <c r="I13" s="22" t="s">
        <v>57</v>
      </c>
      <c r="J13" s="2">
        <v>0.07</v>
      </c>
      <c r="K13" s="18">
        <f aca="true" t="shared" si="1" ref="K13:M28">IF(J13="","",J13*$C13)</f>
        <v>0.035</v>
      </c>
      <c r="L13" s="18">
        <f>IF(J13=0,"",IF(I13="nd",J13/2,J13))</f>
        <v>0.035</v>
      </c>
      <c r="M13" s="18">
        <f t="shared" si="1"/>
        <v>0.0175</v>
      </c>
      <c r="N13" s="22" t="s">
        <v>57</v>
      </c>
      <c r="O13" s="2">
        <v>0.05</v>
      </c>
      <c r="P13" s="18">
        <f aca="true" t="shared" si="2" ref="P13:R28">IF(O13="","",O13*$C13)</f>
        <v>0.025</v>
      </c>
      <c r="Q13" s="18">
        <f>IF(O13=0,"",IF(N13="nd",O13/2,O13))</f>
        <v>0.025</v>
      </c>
      <c r="R13" s="18">
        <f t="shared" si="2"/>
        <v>0.0125</v>
      </c>
    </row>
    <row r="14" spans="2:18" ht="12.75">
      <c r="B14" s="16" t="s">
        <v>86</v>
      </c>
      <c r="C14" s="20">
        <v>0</v>
      </c>
      <c r="D14" s="20"/>
      <c r="E14" s="18">
        <v>0.09</v>
      </c>
      <c r="F14" s="18">
        <f t="shared" si="0"/>
        <v>0</v>
      </c>
      <c r="G14" s="18">
        <f aca="true" t="shared" si="3" ref="G14:G35">IF(E14=0,"",IF(D14="nd",E14/2,E14))</f>
        <v>0.09</v>
      </c>
      <c r="H14" s="18">
        <f t="shared" si="0"/>
        <v>0</v>
      </c>
      <c r="I14" s="22" t="s">
        <v>57</v>
      </c>
      <c r="J14" s="2">
        <v>0.07</v>
      </c>
      <c r="K14" s="18">
        <f t="shared" si="1"/>
        <v>0</v>
      </c>
      <c r="L14" s="18">
        <f aca="true" t="shared" si="4" ref="L14:L29">IF(J14=0,"",IF(I14="nd",J14/2,J14))</f>
        <v>0.035</v>
      </c>
      <c r="M14" s="18">
        <f t="shared" si="1"/>
        <v>0</v>
      </c>
      <c r="N14" s="22" t="s">
        <v>57</v>
      </c>
      <c r="O14" s="2">
        <v>0.05</v>
      </c>
      <c r="P14" s="18">
        <f t="shared" si="2"/>
        <v>0</v>
      </c>
      <c r="Q14" s="18">
        <f aca="true" t="shared" si="5" ref="Q14:Q29">IF(O14=0,"",IF(N14="nd",O14/2,O14))</f>
        <v>0.025</v>
      </c>
      <c r="R14" s="18">
        <f t="shared" si="2"/>
        <v>0</v>
      </c>
    </row>
    <row r="15" spans="2:18" ht="12.75">
      <c r="B15" s="16" t="s">
        <v>87</v>
      </c>
      <c r="C15" s="20">
        <v>0.1</v>
      </c>
      <c r="D15" s="20" t="s">
        <v>57</v>
      </c>
      <c r="E15" s="18">
        <v>0.05</v>
      </c>
      <c r="F15" s="18">
        <f t="shared" si="0"/>
        <v>0.005000000000000001</v>
      </c>
      <c r="G15" s="18">
        <f t="shared" si="3"/>
        <v>0.025</v>
      </c>
      <c r="H15" s="18">
        <f t="shared" si="0"/>
        <v>0.0025000000000000005</v>
      </c>
      <c r="I15" s="22" t="s">
        <v>57</v>
      </c>
      <c r="J15" s="2">
        <v>0.08</v>
      </c>
      <c r="K15" s="18">
        <f t="shared" si="1"/>
        <v>0.008</v>
      </c>
      <c r="L15" s="18">
        <f t="shared" si="4"/>
        <v>0.04</v>
      </c>
      <c r="M15" s="18">
        <f t="shared" si="1"/>
        <v>0.004</v>
      </c>
      <c r="N15" s="22"/>
      <c r="O15" s="2">
        <v>0.06</v>
      </c>
      <c r="P15" s="18">
        <f t="shared" si="2"/>
        <v>0.006</v>
      </c>
      <c r="Q15" s="18">
        <f t="shared" si="5"/>
        <v>0.06</v>
      </c>
      <c r="R15" s="18">
        <f t="shared" si="2"/>
        <v>0.006</v>
      </c>
    </row>
    <row r="16" spans="2:18" ht="12.75">
      <c r="B16" s="16" t="s">
        <v>88</v>
      </c>
      <c r="C16" s="20">
        <v>0.1</v>
      </c>
      <c r="D16" s="20" t="s">
        <v>57</v>
      </c>
      <c r="E16" s="18">
        <v>0.04</v>
      </c>
      <c r="F16" s="18">
        <f t="shared" si="0"/>
        <v>0.004</v>
      </c>
      <c r="G16" s="18">
        <f t="shared" si="3"/>
        <v>0.02</v>
      </c>
      <c r="H16" s="18">
        <f t="shared" si="0"/>
        <v>0.002</v>
      </c>
      <c r="I16" s="22" t="s">
        <v>57</v>
      </c>
      <c r="J16" s="2">
        <v>0.08</v>
      </c>
      <c r="K16" s="18">
        <f t="shared" si="1"/>
        <v>0.008</v>
      </c>
      <c r="L16" s="18">
        <f t="shared" si="4"/>
        <v>0.04</v>
      </c>
      <c r="M16" s="18">
        <f t="shared" si="1"/>
        <v>0.004</v>
      </c>
      <c r="N16" s="22"/>
      <c r="O16" s="2">
        <v>0.06</v>
      </c>
      <c r="P16" s="18">
        <f t="shared" si="2"/>
        <v>0.006</v>
      </c>
      <c r="Q16" s="18">
        <f t="shared" si="5"/>
        <v>0.06</v>
      </c>
      <c r="R16" s="18">
        <f t="shared" si="2"/>
        <v>0.006</v>
      </c>
    </row>
    <row r="17" spans="2:18" ht="12.75">
      <c r="B17" s="16" t="s">
        <v>89</v>
      </c>
      <c r="C17" s="20">
        <v>0.1</v>
      </c>
      <c r="D17" s="20" t="s">
        <v>57</v>
      </c>
      <c r="E17" s="18">
        <v>0.05</v>
      </c>
      <c r="F17" s="18">
        <f t="shared" si="0"/>
        <v>0.005000000000000001</v>
      </c>
      <c r="G17" s="18">
        <f t="shared" si="3"/>
        <v>0.025</v>
      </c>
      <c r="H17" s="18">
        <f t="shared" si="0"/>
        <v>0.0025000000000000005</v>
      </c>
      <c r="I17" s="22" t="s">
        <v>57</v>
      </c>
      <c r="J17" s="2">
        <v>0.07</v>
      </c>
      <c r="K17" s="18">
        <f t="shared" si="1"/>
        <v>0.007000000000000001</v>
      </c>
      <c r="L17" s="18">
        <f t="shared" si="4"/>
        <v>0.035</v>
      </c>
      <c r="M17" s="18">
        <f t="shared" si="1"/>
        <v>0.0035000000000000005</v>
      </c>
      <c r="N17" s="22"/>
      <c r="O17" s="2">
        <v>0.06</v>
      </c>
      <c r="P17" s="18">
        <f t="shared" si="2"/>
        <v>0.006</v>
      </c>
      <c r="Q17" s="18">
        <f t="shared" si="5"/>
        <v>0.06</v>
      </c>
      <c r="R17" s="18">
        <f t="shared" si="2"/>
        <v>0.006</v>
      </c>
    </row>
    <row r="18" spans="2:18" ht="12.75">
      <c r="B18" s="16" t="s">
        <v>90</v>
      </c>
      <c r="C18" s="20">
        <v>0</v>
      </c>
      <c r="D18" s="20"/>
      <c r="E18" s="18">
        <v>0.06</v>
      </c>
      <c r="F18" s="18">
        <f t="shared" si="0"/>
        <v>0</v>
      </c>
      <c r="G18" s="18">
        <f t="shared" si="3"/>
        <v>0.06</v>
      </c>
      <c r="H18" s="18">
        <f t="shared" si="0"/>
        <v>0</v>
      </c>
      <c r="I18" s="22" t="s">
        <v>57</v>
      </c>
      <c r="J18" s="2">
        <v>0.08</v>
      </c>
      <c r="K18" s="18">
        <f t="shared" si="1"/>
        <v>0</v>
      </c>
      <c r="L18" s="18">
        <f t="shared" si="4"/>
        <v>0.04</v>
      </c>
      <c r="M18" s="18">
        <f t="shared" si="1"/>
        <v>0</v>
      </c>
      <c r="N18" s="22"/>
      <c r="O18" s="2">
        <v>0.16</v>
      </c>
      <c r="P18" s="18">
        <f t="shared" si="2"/>
        <v>0</v>
      </c>
      <c r="Q18" s="18">
        <f t="shared" si="5"/>
        <v>0.16</v>
      </c>
      <c r="R18" s="18">
        <f t="shared" si="2"/>
        <v>0</v>
      </c>
    </row>
    <row r="19" spans="2:18" ht="12.75">
      <c r="B19" s="16" t="s">
        <v>91</v>
      </c>
      <c r="C19" s="20">
        <v>0.01</v>
      </c>
      <c r="D19" s="20"/>
      <c r="E19" s="18">
        <v>0.08</v>
      </c>
      <c r="F19" s="18">
        <f t="shared" si="0"/>
        <v>0.0008</v>
      </c>
      <c r="G19" s="18">
        <f t="shared" si="3"/>
        <v>0.08</v>
      </c>
      <c r="H19" s="18">
        <f t="shared" si="0"/>
        <v>0.0008</v>
      </c>
      <c r="I19" s="22" t="s">
        <v>57</v>
      </c>
      <c r="J19" s="2">
        <v>0.06</v>
      </c>
      <c r="K19" s="18">
        <f t="shared" si="1"/>
        <v>0.0006</v>
      </c>
      <c r="L19" s="18">
        <f t="shared" si="4"/>
        <v>0.03</v>
      </c>
      <c r="M19" s="18">
        <f t="shared" si="1"/>
        <v>0.0003</v>
      </c>
      <c r="N19" s="22" t="s">
        <v>57</v>
      </c>
      <c r="O19" s="2">
        <v>0.09</v>
      </c>
      <c r="P19" s="18">
        <f t="shared" si="2"/>
        <v>0.0009</v>
      </c>
      <c r="Q19" s="18">
        <f t="shared" si="5"/>
        <v>0.045</v>
      </c>
      <c r="R19" s="18">
        <f t="shared" si="2"/>
        <v>0.00045</v>
      </c>
    </row>
    <row r="20" spans="2:18" ht="12.75">
      <c r="B20" s="16" t="s">
        <v>92</v>
      </c>
      <c r="C20" s="20">
        <v>0</v>
      </c>
      <c r="D20" s="20"/>
      <c r="E20" s="18">
        <v>0.15</v>
      </c>
      <c r="F20" s="18">
        <f t="shared" si="0"/>
        <v>0</v>
      </c>
      <c r="G20" s="18">
        <f t="shared" si="3"/>
        <v>0.15</v>
      </c>
      <c r="H20" s="18">
        <f t="shared" si="0"/>
        <v>0</v>
      </c>
      <c r="I20" s="22" t="s">
        <v>57</v>
      </c>
      <c r="J20" s="2">
        <v>0.11</v>
      </c>
      <c r="K20" s="18">
        <f t="shared" si="1"/>
        <v>0</v>
      </c>
      <c r="L20" s="18">
        <f t="shared" si="4"/>
        <v>0.055</v>
      </c>
      <c r="M20" s="18">
        <f t="shared" si="1"/>
        <v>0</v>
      </c>
      <c r="N20" s="22" t="s">
        <v>57</v>
      </c>
      <c r="O20" s="2">
        <v>0.09</v>
      </c>
      <c r="P20" s="18">
        <f t="shared" si="2"/>
        <v>0</v>
      </c>
      <c r="Q20" s="18">
        <f t="shared" si="5"/>
        <v>0.045</v>
      </c>
      <c r="R20" s="18">
        <f t="shared" si="2"/>
        <v>0</v>
      </c>
    </row>
    <row r="21" spans="2:18" ht="12.75">
      <c r="B21" s="16" t="s">
        <v>93</v>
      </c>
      <c r="C21" s="20">
        <v>0.001</v>
      </c>
      <c r="D21" s="20"/>
      <c r="E21" s="18">
        <v>0.19</v>
      </c>
      <c r="F21" s="18">
        <f t="shared" si="0"/>
        <v>0.00019</v>
      </c>
      <c r="G21" s="18">
        <f t="shared" si="3"/>
        <v>0.19</v>
      </c>
      <c r="H21" s="18">
        <f t="shared" si="0"/>
        <v>0.00019</v>
      </c>
      <c r="I21" s="22"/>
      <c r="J21" s="2">
        <v>0.2</v>
      </c>
      <c r="K21" s="18">
        <f t="shared" si="1"/>
        <v>0.0002</v>
      </c>
      <c r="L21" s="18">
        <f t="shared" si="4"/>
        <v>0.2</v>
      </c>
      <c r="M21" s="18">
        <f t="shared" si="1"/>
        <v>0.0002</v>
      </c>
      <c r="N21" s="22"/>
      <c r="O21" s="2">
        <v>0.25</v>
      </c>
      <c r="P21" s="18">
        <f t="shared" si="2"/>
        <v>0.00025</v>
      </c>
      <c r="Q21" s="18">
        <f t="shared" si="5"/>
        <v>0.25</v>
      </c>
      <c r="R21" s="18">
        <f t="shared" si="2"/>
        <v>0.00025</v>
      </c>
    </row>
    <row r="22" spans="2:18" ht="12.75">
      <c r="B22" s="16" t="s">
        <v>94</v>
      </c>
      <c r="C22" s="20">
        <v>0.1</v>
      </c>
      <c r="D22" s="20"/>
      <c r="E22" s="18">
        <v>0.06</v>
      </c>
      <c r="F22" s="18">
        <f t="shared" si="0"/>
        <v>0.006</v>
      </c>
      <c r="G22" s="18">
        <f t="shared" si="3"/>
        <v>0.06</v>
      </c>
      <c r="H22" s="18">
        <f t="shared" si="0"/>
        <v>0.006</v>
      </c>
      <c r="I22" s="22"/>
      <c r="J22" s="2">
        <v>0.03</v>
      </c>
      <c r="K22" s="18">
        <f t="shared" si="1"/>
        <v>0.003</v>
      </c>
      <c r="L22" s="18">
        <f t="shared" si="4"/>
        <v>0.03</v>
      </c>
      <c r="M22" s="18">
        <f t="shared" si="1"/>
        <v>0.003</v>
      </c>
      <c r="N22" s="22" t="s">
        <v>57</v>
      </c>
      <c r="O22" s="2">
        <v>0.03</v>
      </c>
      <c r="P22" s="18">
        <f t="shared" si="2"/>
        <v>0.003</v>
      </c>
      <c r="Q22" s="18">
        <f t="shared" si="5"/>
        <v>0.015</v>
      </c>
      <c r="R22" s="18">
        <f t="shared" si="2"/>
        <v>0.0015</v>
      </c>
    </row>
    <row r="23" spans="2:18" ht="12.75">
      <c r="B23" s="16" t="s">
        <v>95</v>
      </c>
      <c r="C23" s="20">
        <v>0</v>
      </c>
      <c r="D23" s="20"/>
      <c r="E23" s="18">
        <v>0.48</v>
      </c>
      <c r="F23" s="18">
        <f t="shared" si="0"/>
        <v>0</v>
      </c>
      <c r="G23" s="18">
        <f t="shared" si="3"/>
        <v>0.48</v>
      </c>
      <c r="H23" s="18">
        <f t="shared" si="0"/>
        <v>0</v>
      </c>
      <c r="I23" s="22"/>
      <c r="J23" s="2">
        <v>0.13</v>
      </c>
      <c r="K23" s="18">
        <f t="shared" si="1"/>
        <v>0</v>
      </c>
      <c r="L23" s="18">
        <f t="shared" si="4"/>
        <v>0.13</v>
      </c>
      <c r="M23" s="18">
        <f t="shared" si="1"/>
        <v>0</v>
      </c>
      <c r="N23" s="22" t="s">
        <v>57</v>
      </c>
      <c r="O23" s="2">
        <v>0.03</v>
      </c>
      <c r="P23" s="18">
        <f t="shared" si="2"/>
        <v>0</v>
      </c>
      <c r="Q23" s="18">
        <f t="shared" si="5"/>
        <v>0.015</v>
      </c>
      <c r="R23" s="18">
        <f t="shared" si="2"/>
        <v>0</v>
      </c>
    </row>
    <row r="24" spans="2:18" ht="12.75">
      <c r="B24" s="16" t="s">
        <v>96</v>
      </c>
      <c r="C24" s="20">
        <v>0.05</v>
      </c>
      <c r="D24" s="20"/>
      <c r="E24" s="18">
        <v>0.03</v>
      </c>
      <c r="F24" s="18">
        <f t="shared" si="0"/>
        <v>0.0015</v>
      </c>
      <c r="G24" s="18">
        <f t="shared" si="3"/>
        <v>0.03</v>
      </c>
      <c r="H24" s="18">
        <f t="shared" si="0"/>
        <v>0.0015</v>
      </c>
      <c r="I24" s="22" t="s">
        <v>57</v>
      </c>
      <c r="J24" s="2">
        <v>0.05</v>
      </c>
      <c r="K24" s="18">
        <f t="shared" si="1"/>
        <v>0.0025000000000000005</v>
      </c>
      <c r="L24" s="18">
        <f t="shared" si="4"/>
        <v>0.025</v>
      </c>
      <c r="M24" s="18">
        <f t="shared" si="1"/>
        <v>0.0012500000000000002</v>
      </c>
      <c r="N24" s="22" t="s">
        <v>57</v>
      </c>
      <c r="O24" s="2">
        <v>0.05</v>
      </c>
      <c r="P24" s="18">
        <f t="shared" si="2"/>
        <v>0.0025000000000000005</v>
      </c>
      <c r="Q24" s="18">
        <f t="shared" si="5"/>
        <v>0.025</v>
      </c>
      <c r="R24" s="18">
        <f t="shared" si="2"/>
        <v>0.0012500000000000002</v>
      </c>
    </row>
    <row r="25" spans="2:18" ht="12.75">
      <c r="B25" s="16" t="s">
        <v>97</v>
      </c>
      <c r="C25" s="20">
        <v>0.5</v>
      </c>
      <c r="D25" s="20"/>
      <c r="E25" s="18">
        <v>0.04</v>
      </c>
      <c r="F25" s="18">
        <f t="shared" si="0"/>
        <v>0.02</v>
      </c>
      <c r="G25" s="18">
        <f t="shared" si="3"/>
        <v>0.04</v>
      </c>
      <c r="H25" s="18">
        <f t="shared" si="0"/>
        <v>0.02</v>
      </c>
      <c r="I25" s="22" t="s">
        <v>57</v>
      </c>
      <c r="J25" s="2">
        <v>0.05</v>
      </c>
      <c r="K25" s="18">
        <f t="shared" si="1"/>
        <v>0.025</v>
      </c>
      <c r="L25" s="18">
        <f t="shared" si="4"/>
        <v>0.025</v>
      </c>
      <c r="M25" s="18">
        <f t="shared" si="1"/>
        <v>0.0125</v>
      </c>
      <c r="N25" s="22" t="s">
        <v>57</v>
      </c>
      <c r="O25" s="2">
        <v>0.06</v>
      </c>
      <c r="P25" s="18">
        <f t="shared" si="2"/>
        <v>0.03</v>
      </c>
      <c r="Q25" s="18">
        <f t="shared" si="5"/>
        <v>0.03</v>
      </c>
      <c r="R25" s="18">
        <f t="shared" si="2"/>
        <v>0.015</v>
      </c>
    </row>
    <row r="26" spans="2:18" ht="12.75">
      <c r="B26" s="16" t="s">
        <v>98</v>
      </c>
      <c r="C26" s="20">
        <v>0</v>
      </c>
      <c r="D26" s="20"/>
      <c r="E26" s="18">
        <v>0.38</v>
      </c>
      <c r="F26" s="18">
        <f t="shared" si="0"/>
        <v>0</v>
      </c>
      <c r="G26" s="18">
        <f t="shared" si="3"/>
        <v>0.38</v>
      </c>
      <c r="H26" s="18">
        <f t="shared" si="0"/>
        <v>0</v>
      </c>
      <c r="I26" s="22" t="s">
        <v>57</v>
      </c>
      <c r="J26" s="2">
        <v>0.05</v>
      </c>
      <c r="K26" s="18">
        <f t="shared" si="1"/>
        <v>0</v>
      </c>
      <c r="L26" s="18">
        <f t="shared" si="4"/>
        <v>0.025</v>
      </c>
      <c r="M26" s="18">
        <f t="shared" si="1"/>
        <v>0</v>
      </c>
      <c r="N26" s="22" t="s">
        <v>57</v>
      </c>
      <c r="O26" s="2">
        <v>0.1</v>
      </c>
      <c r="P26" s="18">
        <f t="shared" si="2"/>
        <v>0</v>
      </c>
      <c r="Q26" s="18">
        <f t="shared" si="5"/>
        <v>0.05</v>
      </c>
      <c r="R26" s="18">
        <f t="shared" si="2"/>
        <v>0</v>
      </c>
    </row>
    <row r="27" spans="2:18" ht="12.75">
      <c r="B27" s="16" t="s">
        <v>99</v>
      </c>
      <c r="C27" s="20">
        <v>0.1</v>
      </c>
      <c r="D27" s="20"/>
      <c r="E27" s="18">
        <v>0.07</v>
      </c>
      <c r="F27" s="18">
        <f t="shared" si="0"/>
        <v>0.007000000000000001</v>
      </c>
      <c r="G27" s="18">
        <f t="shared" si="3"/>
        <v>0.07</v>
      </c>
      <c r="H27" s="18">
        <f t="shared" si="0"/>
        <v>0.007000000000000001</v>
      </c>
      <c r="I27" s="22" t="s">
        <v>57</v>
      </c>
      <c r="J27" s="2">
        <v>0.05</v>
      </c>
      <c r="K27" s="18">
        <f t="shared" si="1"/>
        <v>0.005000000000000001</v>
      </c>
      <c r="L27" s="18">
        <f t="shared" si="4"/>
        <v>0.025</v>
      </c>
      <c r="M27" s="18">
        <f t="shared" si="1"/>
        <v>0.0025000000000000005</v>
      </c>
      <c r="N27" s="22"/>
      <c r="O27" s="2">
        <v>0.05</v>
      </c>
      <c r="P27" s="18">
        <f t="shared" si="2"/>
        <v>0.005000000000000001</v>
      </c>
      <c r="Q27" s="18">
        <f t="shared" si="5"/>
        <v>0.05</v>
      </c>
      <c r="R27" s="18">
        <f t="shared" si="2"/>
        <v>0.005000000000000001</v>
      </c>
    </row>
    <row r="28" spans="2:18" ht="12.75">
      <c r="B28" s="16" t="s">
        <v>100</v>
      </c>
      <c r="C28" s="20">
        <v>0.1</v>
      </c>
      <c r="D28" s="20" t="s">
        <v>57</v>
      </c>
      <c r="E28" s="18">
        <v>0.03</v>
      </c>
      <c r="F28" s="18">
        <f t="shared" si="0"/>
        <v>0.003</v>
      </c>
      <c r="G28" s="18">
        <f t="shared" si="3"/>
        <v>0.015</v>
      </c>
      <c r="H28" s="18">
        <f t="shared" si="0"/>
        <v>0.0015</v>
      </c>
      <c r="I28" s="22" t="s">
        <v>57</v>
      </c>
      <c r="J28" s="2">
        <v>0.05</v>
      </c>
      <c r="K28" s="18">
        <f t="shared" si="1"/>
        <v>0.005000000000000001</v>
      </c>
      <c r="L28" s="18">
        <f t="shared" si="4"/>
        <v>0.025</v>
      </c>
      <c r="M28" s="18">
        <f t="shared" si="1"/>
        <v>0.0025000000000000005</v>
      </c>
      <c r="N28" s="22"/>
      <c r="O28" s="2">
        <v>0.06</v>
      </c>
      <c r="P28" s="18">
        <f t="shared" si="2"/>
        <v>0.006</v>
      </c>
      <c r="Q28" s="18">
        <f t="shared" si="5"/>
        <v>0.06</v>
      </c>
      <c r="R28" s="18">
        <f t="shared" si="2"/>
        <v>0.006</v>
      </c>
    </row>
    <row r="29" spans="2:18" ht="12.75">
      <c r="B29" s="16" t="s">
        <v>101</v>
      </c>
      <c r="C29" s="20">
        <v>0.1</v>
      </c>
      <c r="D29" s="20"/>
      <c r="E29" s="18">
        <v>0.04</v>
      </c>
      <c r="F29" s="18">
        <f t="shared" si="0"/>
        <v>0.004</v>
      </c>
      <c r="G29" s="18">
        <f t="shared" si="3"/>
        <v>0.04</v>
      </c>
      <c r="H29" s="18">
        <f t="shared" si="0"/>
        <v>0.004</v>
      </c>
      <c r="I29" s="22" t="s">
        <v>57</v>
      </c>
      <c r="J29" s="2">
        <v>0.04</v>
      </c>
      <c r="K29" s="18">
        <f aca="true" t="shared" si="6" ref="K29:M35">IF(J29="","",J29*$C29)</f>
        <v>0.004</v>
      </c>
      <c r="L29" s="18">
        <f t="shared" si="4"/>
        <v>0.02</v>
      </c>
      <c r="M29" s="18">
        <f t="shared" si="6"/>
        <v>0.002</v>
      </c>
      <c r="N29" s="22"/>
      <c r="O29" s="2">
        <v>0.06</v>
      </c>
      <c r="P29" s="18">
        <f aca="true" t="shared" si="7" ref="P29:R35">IF(O29="","",O29*$C29)</f>
        <v>0.006</v>
      </c>
      <c r="Q29" s="18">
        <f t="shared" si="5"/>
        <v>0.06</v>
      </c>
      <c r="R29" s="18">
        <f t="shared" si="7"/>
        <v>0.006</v>
      </c>
    </row>
    <row r="30" spans="2:18" ht="12.75">
      <c r="B30" s="16" t="s">
        <v>102</v>
      </c>
      <c r="C30" s="20">
        <v>0.1</v>
      </c>
      <c r="D30" s="20" t="s">
        <v>57</v>
      </c>
      <c r="E30" s="18">
        <v>0.04</v>
      </c>
      <c r="F30" s="18">
        <f t="shared" si="0"/>
        <v>0.004</v>
      </c>
      <c r="G30" s="18">
        <f t="shared" si="3"/>
        <v>0.02</v>
      </c>
      <c r="H30" s="18">
        <f t="shared" si="0"/>
        <v>0.002</v>
      </c>
      <c r="I30" s="22" t="s">
        <v>57</v>
      </c>
      <c r="J30" s="2">
        <v>0.06</v>
      </c>
      <c r="K30" s="18">
        <f t="shared" si="6"/>
        <v>0.006</v>
      </c>
      <c r="L30" s="18">
        <f aca="true" t="shared" si="8" ref="L30:L35">IF(J30=0,"",IF(I30="nd",J30/2,J30))</f>
        <v>0.03</v>
      </c>
      <c r="M30" s="18">
        <f t="shared" si="6"/>
        <v>0.003</v>
      </c>
      <c r="N30" s="22"/>
      <c r="O30" s="2">
        <v>0.05</v>
      </c>
      <c r="P30" s="18">
        <f t="shared" si="7"/>
        <v>0.005000000000000001</v>
      </c>
      <c r="Q30" s="18">
        <f aca="true" t="shared" si="9" ref="Q30:Q35">IF(O30=0,"",IF(N30="nd",O30/2,O30))</f>
        <v>0.05</v>
      </c>
      <c r="R30" s="18">
        <f t="shared" si="7"/>
        <v>0.005000000000000001</v>
      </c>
    </row>
    <row r="31" spans="2:18" ht="12.75">
      <c r="B31" s="16" t="s">
        <v>103</v>
      </c>
      <c r="C31" s="20">
        <v>0</v>
      </c>
      <c r="D31" s="20"/>
      <c r="E31" s="18">
        <v>0.17</v>
      </c>
      <c r="F31" s="18">
        <f t="shared" si="0"/>
        <v>0</v>
      </c>
      <c r="G31" s="18">
        <f t="shared" si="3"/>
        <v>0.17</v>
      </c>
      <c r="H31" s="18">
        <f t="shared" si="0"/>
        <v>0</v>
      </c>
      <c r="I31" s="22" t="s">
        <v>57</v>
      </c>
      <c r="J31" s="2">
        <v>0.1</v>
      </c>
      <c r="K31" s="18">
        <f t="shared" si="6"/>
        <v>0</v>
      </c>
      <c r="L31" s="18">
        <f t="shared" si="8"/>
        <v>0.05</v>
      </c>
      <c r="M31" s="18">
        <f t="shared" si="6"/>
        <v>0</v>
      </c>
      <c r="N31" s="22"/>
      <c r="O31" s="2">
        <v>0.15</v>
      </c>
      <c r="P31" s="18">
        <f t="shared" si="7"/>
        <v>0</v>
      </c>
      <c r="Q31" s="18">
        <f t="shared" si="9"/>
        <v>0.15</v>
      </c>
      <c r="R31" s="18">
        <f t="shared" si="7"/>
        <v>0</v>
      </c>
    </row>
    <row r="32" spans="2:18" ht="12.75">
      <c r="B32" s="16" t="s">
        <v>104</v>
      </c>
      <c r="C32" s="20">
        <v>0.01</v>
      </c>
      <c r="D32" s="20"/>
      <c r="E32" s="18">
        <v>0.09</v>
      </c>
      <c r="F32" s="18">
        <f t="shared" si="0"/>
        <v>0.0009</v>
      </c>
      <c r="G32" s="18">
        <f t="shared" si="3"/>
        <v>0.09</v>
      </c>
      <c r="H32" s="18">
        <f t="shared" si="0"/>
        <v>0.0009</v>
      </c>
      <c r="I32" s="22" t="s">
        <v>57</v>
      </c>
      <c r="J32" s="2">
        <v>0.04</v>
      </c>
      <c r="K32" s="18">
        <f t="shared" si="6"/>
        <v>0.0004</v>
      </c>
      <c r="L32" s="18">
        <f t="shared" si="8"/>
        <v>0.02</v>
      </c>
      <c r="M32" s="18">
        <f t="shared" si="6"/>
        <v>0.0002</v>
      </c>
      <c r="N32" s="22"/>
      <c r="O32" s="2">
        <v>0.06</v>
      </c>
      <c r="P32" s="18">
        <f t="shared" si="7"/>
        <v>0.0006</v>
      </c>
      <c r="Q32" s="18">
        <f t="shared" si="9"/>
        <v>0.06</v>
      </c>
      <c r="R32" s="18">
        <f t="shared" si="7"/>
        <v>0.0006</v>
      </c>
    </row>
    <row r="33" spans="2:18" ht="12.75">
      <c r="B33" s="16" t="s">
        <v>105</v>
      </c>
      <c r="C33" s="20">
        <v>0.01</v>
      </c>
      <c r="D33" s="20"/>
      <c r="E33" s="18">
        <v>0.03</v>
      </c>
      <c r="F33" s="18">
        <f t="shared" si="0"/>
        <v>0.0003</v>
      </c>
      <c r="G33" s="18">
        <f t="shared" si="3"/>
        <v>0.03</v>
      </c>
      <c r="H33" s="18">
        <f t="shared" si="0"/>
        <v>0.0003</v>
      </c>
      <c r="I33" s="22" t="s">
        <v>57</v>
      </c>
      <c r="J33" s="2">
        <v>0.09</v>
      </c>
      <c r="K33" s="18">
        <f t="shared" si="6"/>
        <v>0.0009</v>
      </c>
      <c r="L33" s="18">
        <f t="shared" si="8"/>
        <v>0.045</v>
      </c>
      <c r="M33" s="18">
        <f t="shared" si="6"/>
        <v>0.00045</v>
      </c>
      <c r="N33" s="22"/>
      <c r="O33" s="2">
        <v>0.05</v>
      </c>
      <c r="P33" s="18">
        <f t="shared" si="7"/>
        <v>0.0005</v>
      </c>
      <c r="Q33" s="18">
        <f t="shared" si="9"/>
        <v>0.05</v>
      </c>
      <c r="R33" s="18">
        <f t="shared" si="7"/>
        <v>0.0005</v>
      </c>
    </row>
    <row r="34" spans="2:18" ht="12.75">
      <c r="B34" s="16" t="s">
        <v>106</v>
      </c>
      <c r="C34" s="20">
        <v>0</v>
      </c>
      <c r="D34" s="20"/>
      <c r="E34" s="18">
        <v>0.12</v>
      </c>
      <c r="F34" s="18">
        <f t="shared" si="0"/>
        <v>0</v>
      </c>
      <c r="G34" s="18">
        <f t="shared" si="3"/>
        <v>0.12</v>
      </c>
      <c r="H34" s="18">
        <f t="shared" si="0"/>
        <v>0</v>
      </c>
      <c r="I34" s="22" t="s">
        <v>57</v>
      </c>
      <c r="J34" s="2">
        <v>0.04</v>
      </c>
      <c r="K34" s="18">
        <f t="shared" si="6"/>
        <v>0</v>
      </c>
      <c r="L34" s="18">
        <f t="shared" si="8"/>
        <v>0.02</v>
      </c>
      <c r="M34" s="18">
        <f t="shared" si="6"/>
        <v>0</v>
      </c>
      <c r="N34" s="22"/>
      <c r="O34" s="2">
        <v>0.11</v>
      </c>
      <c r="P34" s="18">
        <f t="shared" si="7"/>
        <v>0</v>
      </c>
      <c r="Q34" s="18">
        <f t="shared" si="9"/>
        <v>0.11</v>
      </c>
      <c r="R34" s="18">
        <f t="shared" si="7"/>
        <v>0</v>
      </c>
    </row>
    <row r="35" spans="2:18" ht="12.75">
      <c r="B35" s="16" t="s">
        <v>107</v>
      </c>
      <c r="C35" s="20">
        <v>0.001</v>
      </c>
      <c r="D35" s="20"/>
      <c r="E35" s="18">
        <v>0.11</v>
      </c>
      <c r="F35" s="18">
        <f t="shared" si="0"/>
        <v>0.00011</v>
      </c>
      <c r="G35" s="18">
        <f t="shared" si="3"/>
        <v>0.11</v>
      </c>
      <c r="H35" s="18">
        <f t="shared" si="0"/>
        <v>0.00011</v>
      </c>
      <c r="I35" s="22" t="s">
        <v>57</v>
      </c>
      <c r="J35" s="2">
        <v>0.12</v>
      </c>
      <c r="K35" s="18">
        <f t="shared" si="6"/>
        <v>0.00012</v>
      </c>
      <c r="L35" s="18">
        <f t="shared" si="8"/>
        <v>0.06</v>
      </c>
      <c r="M35" s="18">
        <f t="shared" si="6"/>
        <v>6E-05</v>
      </c>
      <c r="N35" s="22"/>
      <c r="O35" s="2">
        <v>0.14</v>
      </c>
      <c r="P35" s="18">
        <f t="shared" si="7"/>
        <v>0.00014000000000000001</v>
      </c>
      <c r="Q35" s="18">
        <f t="shared" si="9"/>
        <v>0.14</v>
      </c>
      <c r="R35" s="18">
        <f t="shared" si="7"/>
        <v>0.00014000000000000001</v>
      </c>
    </row>
    <row r="36" spans="5:17" ht="12.75">
      <c r="E36" s="25"/>
      <c r="G36" s="25"/>
      <c r="I36" s="26"/>
      <c r="J36" s="25"/>
      <c r="K36" s="25"/>
      <c r="L36" s="25"/>
      <c r="M36" s="25"/>
      <c r="N36" s="26"/>
      <c r="O36" s="25"/>
      <c r="Q36" s="25"/>
    </row>
    <row r="37" spans="2:18" ht="12.75">
      <c r="B37" s="16" t="s">
        <v>108</v>
      </c>
      <c r="E37" s="25">
        <v>150.9</v>
      </c>
      <c r="F37" s="25">
        <v>150.9</v>
      </c>
      <c r="G37" s="25">
        <v>150.9</v>
      </c>
      <c r="H37" s="25">
        <v>150.9</v>
      </c>
      <c r="I37" s="26"/>
      <c r="J37" s="25">
        <v>154.9</v>
      </c>
      <c r="K37" s="25">
        <v>154.9</v>
      </c>
      <c r="L37" s="25">
        <v>154.9</v>
      </c>
      <c r="M37" s="25">
        <v>154.9</v>
      </c>
      <c r="N37" s="26"/>
      <c r="O37" s="25">
        <v>160.4</v>
      </c>
      <c r="P37" s="25">
        <v>160.4</v>
      </c>
      <c r="Q37" s="25">
        <v>160.4</v>
      </c>
      <c r="R37" s="25">
        <v>160.4</v>
      </c>
    </row>
    <row r="38" spans="2:18" ht="12.75">
      <c r="B38" s="16" t="s">
        <v>109</v>
      </c>
      <c r="E38" s="25">
        <v>8.6</v>
      </c>
      <c r="F38" s="25">
        <v>8.6</v>
      </c>
      <c r="G38" s="25">
        <v>8.6</v>
      </c>
      <c r="H38" s="25">
        <v>8.6</v>
      </c>
      <c r="I38" s="26"/>
      <c r="J38" s="25">
        <v>8.6</v>
      </c>
      <c r="K38" s="25">
        <v>8.6</v>
      </c>
      <c r="L38" s="25">
        <v>8.6</v>
      </c>
      <c r="M38" s="25">
        <v>8.6</v>
      </c>
      <c r="N38" s="26"/>
      <c r="O38" s="25">
        <v>8.8</v>
      </c>
      <c r="P38" s="25">
        <v>8.8</v>
      </c>
      <c r="Q38" s="25">
        <v>8.8</v>
      </c>
      <c r="R38" s="25">
        <v>8.8</v>
      </c>
    </row>
    <row r="39" spans="5:18" ht="12.75">
      <c r="E39" s="25"/>
      <c r="F39" s="2"/>
      <c r="G39" s="25"/>
      <c r="H39" s="2"/>
      <c r="I39" s="9"/>
      <c r="J39" s="25"/>
      <c r="K39" s="2"/>
      <c r="L39" s="25"/>
      <c r="M39" s="2"/>
      <c r="N39" s="26"/>
      <c r="O39" s="25"/>
      <c r="P39" s="25"/>
      <c r="Q39" s="25"/>
      <c r="R39" s="25"/>
    </row>
    <row r="40" spans="2:18" ht="12" customHeight="1">
      <c r="B40" s="16" t="s">
        <v>110</v>
      </c>
      <c r="C40" s="18"/>
      <c r="D40" s="18"/>
      <c r="E40" s="18">
        <f>SUM(E35,E34,E31,E26,E23,E21,E20,E18,E14,E12)</f>
        <v>1.8</v>
      </c>
      <c r="F40" s="18">
        <f>SUM(F11:F35)</f>
        <v>0.11680000000000001</v>
      </c>
      <c r="G40" s="18">
        <f>SUM(G35,G34,G31,G26,G23,G21,G20,G18,G14,G12)</f>
        <v>1.8</v>
      </c>
      <c r="H40" s="18">
        <f>SUM(H11:H35)</f>
        <v>0.07880000000000001</v>
      </c>
      <c r="I40" s="22"/>
      <c r="J40" s="18">
        <f>SUM(J35,J34,J31,J26,J23,J21,J20,J18,J14,J12)</f>
        <v>0.95</v>
      </c>
      <c r="K40" s="18">
        <f>SUM(K11:K35)</f>
        <v>0.16072000000000009</v>
      </c>
      <c r="L40" s="18">
        <f>SUM(L35,L34,L31,L26,L23,L21,L20,L18,L14,L12)</f>
        <v>0.6400000000000001</v>
      </c>
      <c r="M40" s="18">
        <f>SUM(M11:M35)</f>
        <v>0.08196000000000003</v>
      </c>
      <c r="N40" s="22"/>
      <c r="O40" s="18">
        <f>SUM(O35,O34,O31,O26,O23,O21,O20,O18,O14,O12)</f>
        <v>1.12</v>
      </c>
      <c r="P40" s="18">
        <f>SUM(P11:P35)</f>
        <v>0.14289000000000002</v>
      </c>
      <c r="Q40" s="18">
        <f>SUM(Q35,Q34,Q31,Q26,Q23,Q21,Q20,Q18,Q14,Q12)</f>
        <v>0.9650000000000002</v>
      </c>
      <c r="R40" s="18">
        <f>SUM(R11:R35)</f>
        <v>0.09219000000000002</v>
      </c>
    </row>
    <row r="41" spans="2:18" ht="12.75">
      <c r="B41" s="16" t="s">
        <v>111</v>
      </c>
      <c r="C41" s="18"/>
      <c r="D41" s="35">
        <f>(F41-H41)*2/F41*100</f>
        <v>65.06849315068494</v>
      </c>
      <c r="E41" s="18">
        <f>E40/E37/0.0283*(21-7)/(21-E38)</f>
        <v>0.4758862758703677</v>
      </c>
      <c r="F41" s="18">
        <f>F40/F37/0.0283*(21-7)/(21-F38)</f>
        <v>0.030879731678699417</v>
      </c>
      <c r="G41" s="18">
        <f>G40/G37/0.0283*(21-7)/(21-G38)</f>
        <v>0.4758862758703677</v>
      </c>
      <c r="H41" s="18">
        <f>H40/H37/0.0283*(21-7)/(21-H38)</f>
        <v>0.020833243632547207</v>
      </c>
      <c r="I41" s="35">
        <f>(K41-M41)*2/K41*100</f>
        <v>98.00895968143357</v>
      </c>
      <c r="J41" s="18">
        <f>J40/J37/0.0283*(21-7)/(21-J38)</f>
        <v>0.24467641158237052</v>
      </c>
      <c r="K41" s="18">
        <f>K40/K37/0.0283*(21-7)/(21-K38)</f>
        <v>0.04139409775738802</v>
      </c>
      <c r="L41" s="18">
        <f>L40/L37/0.0283*(21-7)/(21-L38)</f>
        <v>0.16483463517128125</v>
      </c>
      <c r="M41" s="18">
        <f>M40/M37/0.0283*(21-7)/(21-M38)</f>
        <v>0.02110913546662221</v>
      </c>
      <c r="N41" s="35">
        <f>(P41-R41)*2/P41*100</f>
        <v>70.96367835397855</v>
      </c>
      <c r="O41" s="18">
        <f>O40/O37/0.0283*(21-7)/(21-O38)</f>
        <v>0.2831362190018206</v>
      </c>
      <c r="P41" s="18">
        <f>P40/P37/0.0283*(21-7)/(21-P38)</f>
        <v>0.03612261994033049</v>
      </c>
      <c r="Q41" s="18">
        <f>Q40/Q37/0.0283*(21-7)/(21-Q38)</f>
        <v>0.24395218869353297</v>
      </c>
      <c r="R41" s="18">
        <f>R40/R37/0.0283*(21-7)/(21-R38)</f>
        <v>0.023305650026587365</v>
      </c>
    </row>
    <row r="42" spans="5:17" ht="12.75">
      <c r="E42" s="27"/>
      <c r="G42" s="27"/>
      <c r="I42" s="28"/>
      <c r="J42" s="27"/>
      <c r="K42" s="27"/>
      <c r="L42" s="27"/>
      <c r="M42" s="27"/>
      <c r="N42" s="28"/>
      <c r="O42" s="27"/>
      <c r="Q42" s="27"/>
    </row>
    <row r="43" spans="2:23" s="25" customFormat="1" ht="12.75">
      <c r="B43" s="25" t="s">
        <v>118</v>
      </c>
      <c r="C43" s="27">
        <f>AVERAGE(H41,M41,R41)</f>
        <v>0.021749343041918928</v>
      </c>
      <c r="F43" s="18"/>
      <c r="H43" s="18"/>
      <c r="I43" s="26"/>
      <c r="N43" s="26"/>
      <c r="P43" s="17"/>
      <c r="R43" s="17"/>
      <c r="S43" s="16"/>
      <c r="T43" s="16"/>
      <c r="U43" s="16"/>
      <c r="V43" s="16"/>
      <c r="W43" s="16"/>
    </row>
    <row r="44" spans="2:3" ht="12.75">
      <c r="B44" s="16" t="s">
        <v>119</v>
      </c>
      <c r="C44" s="27">
        <f>AVERAGE(G41,L41,Q41)</f>
        <v>0.29489103324506066</v>
      </c>
    </row>
    <row r="45" spans="5:18" ht="12.75">
      <c r="E45" s="16"/>
      <c r="G45" s="16"/>
      <c r="I45" s="20"/>
      <c r="J45" s="16"/>
      <c r="K45" s="16"/>
      <c r="L45" s="16"/>
      <c r="M45" s="16"/>
      <c r="N45" s="20"/>
      <c r="O45" s="16"/>
      <c r="P45" s="16"/>
      <c r="Q45" s="16"/>
      <c r="R45" s="16"/>
    </row>
    <row r="46" spans="5:18" ht="12.75">
      <c r="E46" s="16"/>
      <c r="G46" s="16"/>
      <c r="I46" s="20"/>
      <c r="J46" s="16"/>
      <c r="K46" s="16"/>
      <c r="L46" s="16"/>
      <c r="M46" s="16"/>
      <c r="N46" s="20"/>
      <c r="O46" s="16"/>
      <c r="P46" s="16"/>
      <c r="Q46" s="16"/>
      <c r="R46" s="16"/>
    </row>
    <row r="47" spans="5:18" ht="12.75">
      <c r="E47" s="16"/>
      <c r="G47" s="16"/>
      <c r="I47" s="20"/>
      <c r="J47" s="16"/>
      <c r="K47" s="16"/>
      <c r="L47" s="16"/>
      <c r="M47" s="16"/>
      <c r="N47" s="20"/>
      <c r="O47" s="16"/>
      <c r="P47" s="16"/>
      <c r="Q47" s="16"/>
      <c r="R47" s="16"/>
    </row>
    <row r="48" spans="5:18" ht="12.75">
      <c r="E48" s="16"/>
      <c r="G48" s="16"/>
      <c r="I48" s="20"/>
      <c r="J48" s="16"/>
      <c r="K48" s="16"/>
      <c r="L48" s="16"/>
      <c r="M48" s="16"/>
      <c r="N48" s="20"/>
      <c r="O48" s="16"/>
      <c r="P48" s="16"/>
      <c r="Q48" s="16"/>
      <c r="R48" s="16"/>
    </row>
    <row r="49" spans="5:18" ht="12.75">
      <c r="E49" s="16"/>
      <c r="G49" s="16"/>
      <c r="I49" s="20"/>
      <c r="J49" s="16"/>
      <c r="K49" s="16"/>
      <c r="L49" s="16"/>
      <c r="M49" s="16"/>
      <c r="N49" s="20"/>
      <c r="O49" s="16"/>
      <c r="P49" s="16"/>
      <c r="Q49" s="16"/>
      <c r="R49" s="16"/>
    </row>
    <row r="50" spans="5:18" ht="12.75">
      <c r="E50" s="16"/>
      <c r="G50" s="16"/>
      <c r="I50" s="20"/>
      <c r="J50" s="16"/>
      <c r="K50" s="16"/>
      <c r="L50" s="16"/>
      <c r="M50" s="16"/>
      <c r="N50" s="20"/>
      <c r="O50" s="16"/>
      <c r="P50" s="16"/>
      <c r="Q50" s="16"/>
      <c r="R50" s="16"/>
    </row>
    <row r="51" spans="5:18" ht="12.75">
      <c r="E51" s="16"/>
      <c r="G51" s="16"/>
      <c r="I51" s="20"/>
      <c r="J51" s="16"/>
      <c r="K51" s="16"/>
      <c r="L51" s="16"/>
      <c r="M51" s="16"/>
      <c r="N51" s="20"/>
      <c r="O51" s="16"/>
      <c r="P51" s="16"/>
      <c r="Q51" s="16"/>
      <c r="R51" s="16"/>
    </row>
    <row r="52" spans="5:18" ht="12.75">
      <c r="E52" s="16"/>
      <c r="G52" s="16"/>
      <c r="I52" s="20"/>
      <c r="J52" s="16"/>
      <c r="K52" s="16"/>
      <c r="L52" s="16"/>
      <c r="M52" s="16"/>
      <c r="N52" s="20"/>
      <c r="O52" s="16"/>
      <c r="P52" s="16"/>
      <c r="Q52" s="16"/>
      <c r="R52" s="16"/>
    </row>
    <row r="53" spans="5:18" ht="12.75">
      <c r="E53" s="16"/>
      <c r="G53" s="16"/>
      <c r="I53" s="20"/>
      <c r="J53" s="16"/>
      <c r="K53" s="16"/>
      <c r="L53" s="16"/>
      <c r="M53" s="16"/>
      <c r="N53" s="20"/>
      <c r="O53" s="16"/>
      <c r="P53" s="16"/>
      <c r="Q53" s="16"/>
      <c r="R53" s="16"/>
    </row>
    <row r="54" spans="5:18" ht="12.75">
      <c r="E54" s="16"/>
      <c r="G54" s="16"/>
      <c r="I54" s="20"/>
      <c r="J54" s="16"/>
      <c r="K54" s="16"/>
      <c r="L54" s="16"/>
      <c r="M54" s="16"/>
      <c r="N54" s="20"/>
      <c r="O54" s="16"/>
      <c r="P54" s="16"/>
      <c r="Q54" s="16"/>
      <c r="R54" s="16"/>
    </row>
    <row r="55" spans="5:18" ht="12.75">
      <c r="E55" s="16"/>
      <c r="G55" s="16"/>
      <c r="I55" s="20"/>
      <c r="J55" s="16"/>
      <c r="K55" s="16"/>
      <c r="L55" s="16"/>
      <c r="M55" s="16"/>
      <c r="N55" s="20"/>
      <c r="O55" s="16"/>
      <c r="P55" s="16"/>
      <c r="Q55" s="16"/>
      <c r="R55" s="16"/>
    </row>
    <row r="56" spans="5:18" ht="12.75">
      <c r="E56" s="16"/>
      <c r="G56" s="16"/>
      <c r="I56" s="20"/>
      <c r="J56" s="16"/>
      <c r="K56" s="16"/>
      <c r="L56" s="16"/>
      <c r="M56" s="16"/>
      <c r="N56" s="20"/>
      <c r="O56" s="16"/>
      <c r="P56" s="16"/>
      <c r="Q56" s="16"/>
      <c r="R56" s="16"/>
    </row>
    <row r="57" spans="5:18" ht="12.75">
      <c r="E57" s="16"/>
      <c r="G57" s="16"/>
      <c r="I57" s="20"/>
      <c r="J57" s="16"/>
      <c r="K57" s="16"/>
      <c r="L57" s="16"/>
      <c r="M57" s="16"/>
      <c r="N57" s="20"/>
      <c r="O57" s="16"/>
      <c r="P57" s="16"/>
      <c r="Q57" s="16"/>
      <c r="R57" s="16"/>
    </row>
    <row r="58" spans="5:18" ht="12.75">
      <c r="E58" s="16"/>
      <c r="G58" s="16"/>
      <c r="I58" s="20"/>
      <c r="J58" s="16"/>
      <c r="K58" s="16"/>
      <c r="L58" s="16"/>
      <c r="M58" s="16"/>
      <c r="N58" s="20"/>
      <c r="O58" s="16"/>
      <c r="P58" s="16"/>
      <c r="Q58" s="16"/>
      <c r="R58" s="16"/>
    </row>
    <row r="59" spans="5:18" ht="12.75">
      <c r="E59" s="16"/>
      <c r="G59" s="16"/>
      <c r="I59" s="20"/>
      <c r="J59" s="16"/>
      <c r="K59" s="16"/>
      <c r="L59" s="16"/>
      <c r="M59" s="16"/>
      <c r="N59" s="20"/>
      <c r="O59" s="16"/>
      <c r="P59" s="16"/>
      <c r="Q59" s="16"/>
      <c r="R59" s="16"/>
    </row>
    <row r="60" spans="5:18" ht="12.75">
      <c r="E60" s="16"/>
      <c r="G60" s="16"/>
      <c r="I60" s="20"/>
      <c r="J60" s="16"/>
      <c r="K60" s="16"/>
      <c r="L60" s="16"/>
      <c r="M60" s="16"/>
      <c r="N60" s="20"/>
      <c r="O60" s="16"/>
      <c r="P60" s="16"/>
      <c r="Q60" s="16"/>
      <c r="R60" s="16"/>
    </row>
    <row r="61" spans="5:18" ht="12.75">
      <c r="E61" s="16"/>
      <c r="G61" s="16"/>
      <c r="I61" s="20"/>
      <c r="J61" s="16"/>
      <c r="K61" s="16"/>
      <c r="L61" s="16"/>
      <c r="M61" s="16"/>
      <c r="N61" s="20"/>
      <c r="O61" s="16"/>
      <c r="P61" s="16"/>
      <c r="Q61" s="16"/>
      <c r="R61" s="16"/>
    </row>
    <row r="62" spans="5:18" ht="12.75">
      <c r="E62" s="16"/>
      <c r="G62" s="16"/>
      <c r="I62" s="20"/>
      <c r="J62" s="16"/>
      <c r="K62" s="16"/>
      <c r="L62" s="16"/>
      <c r="M62" s="16"/>
      <c r="N62" s="20"/>
      <c r="O62" s="16"/>
      <c r="P62" s="16"/>
      <c r="Q62" s="16"/>
      <c r="R62" s="16"/>
    </row>
    <row r="63" spans="5:18" ht="12.75">
      <c r="E63" s="16"/>
      <c r="G63" s="16"/>
      <c r="I63" s="20"/>
      <c r="J63" s="16"/>
      <c r="K63" s="16"/>
      <c r="L63" s="16"/>
      <c r="M63" s="16"/>
      <c r="N63" s="20"/>
      <c r="O63" s="16"/>
      <c r="P63" s="16"/>
      <c r="Q63" s="16"/>
      <c r="R63" s="16"/>
    </row>
    <row r="64" spans="5:18" ht="12.75">
      <c r="E64" s="16"/>
      <c r="G64" s="16"/>
      <c r="I64" s="20"/>
      <c r="J64" s="16"/>
      <c r="K64" s="16"/>
      <c r="L64" s="16"/>
      <c r="M64" s="16"/>
      <c r="N64" s="20"/>
      <c r="O64" s="16"/>
      <c r="P64" s="16"/>
      <c r="Q64" s="16"/>
      <c r="R64" s="1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2004-02-25T17:51:59Z</cp:lastPrinted>
  <dcterms:created xsi:type="dcterms:W3CDTF">2000-11-29T14:19:40Z</dcterms:created>
  <dcterms:modified xsi:type="dcterms:W3CDTF">2004-02-25T17:52:04Z</dcterms:modified>
  <cp:category/>
  <cp:version/>
  <cp:contentType/>
  <cp:contentStatus/>
</cp:coreProperties>
</file>