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836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" sheetId="8" r:id="rId8"/>
    <sheet name="df c12" sheetId="9" r:id="rId9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<sst xmlns="http://schemas.openxmlformats.org/spreadsheetml/2006/main" count="1018" uniqueCount="242">
  <si>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</si>
  <si>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</si>
  <si>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</si>
  <si>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</si>
  <si>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</si>
  <si>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</si>
  <si>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</si>
  <si>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</si>
  <si>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</si>
  <si>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</si>
  <si>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</si>
  <si>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</si>
  <si>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</si>
  <si>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</si>
  <si>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</si>
  <si>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</si>
  <si>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</si>
  <si>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</si>
  <si>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</si>
  <si>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</si>
  <si>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</si>
  <si>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</si>
  <si>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</si>
  <si>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</si>
  <si>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</si>
  <si>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</si>
  <si>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</si>
  <si>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</si>
  <si>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</si>
  <si>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</si>
  <si>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</si>
  <si>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</si>
  <si>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</si>
  <si>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</si>
  <si>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</si>
  <si>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</si>
  <si>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</si>
  <si>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</si>
  <si>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</si>
  <si>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</si>
  <si>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</si>
  <si>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</si>
  <si>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</si>
  <si>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</si>
  <si>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</si>
  <si>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</si>
  <si>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</si>
  <si>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</si>
  <si>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</si>
  <si>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</si>
  <si>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g/hr</t>
  </si>
  <si>
    <t>Heating Value</t>
  </si>
  <si>
    <t>Btu/lb</t>
  </si>
  <si>
    <t>Ash</t>
  </si>
  <si>
    <t>Chlorine</t>
  </si>
  <si>
    <t>HCl</t>
  </si>
  <si>
    <t>Cl2</t>
  </si>
  <si>
    <t>DRE</t>
  </si>
  <si>
    <t>Chlorobenzene</t>
  </si>
  <si>
    <t>lb/hr</t>
  </si>
  <si>
    <t>Liquid waste</t>
  </si>
  <si>
    <t>Density</t>
  </si>
  <si>
    <t>Run 1</t>
  </si>
  <si>
    <t>Run 2</t>
  </si>
  <si>
    <t>Run 3</t>
  </si>
  <si>
    <r>
      <t>o</t>
    </r>
    <r>
      <rPr>
        <sz val="10"/>
        <rFont val="Arial"/>
        <family val="2"/>
      </rPr>
      <t>F</t>
    </r>
  </si>
  <si>
    <t>pH</t>
  </si>
  <si>
    <t>gpm</t>
  </si>
  <si>
    <t>psig</t>
  </si>
  <si>
    <t>MM Btu/hr</t>
  </si>
  <si>
    <t>MMBtu/hr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</si>
  <si>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</si>
  <si>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</si>
  <si>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</si>
  <si>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</si>
  <si>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</si>
  <si>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</si>
  <si>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</si>
  <si>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</si>
  <si>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</si>
  <si>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</si>
  <si>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</si>
  <si>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</si>
  <si>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</si>
  <si>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</si>
  <si>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</si>
  <si>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</si>
  <si>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</si>
  <si>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</si>
  <si>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</si>
  <si>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</si>
  <si>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</si>
  <si>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</si>
  <si>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</si>
  <si>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</si>
  <si>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</si>
  <si>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</si>
  <si>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</si>
  <si>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</si>
  <si>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</si>
  <si>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</si>
  <si>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</si>
  <si>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</si>
  <si>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</si>
  <si>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</si>
  <si>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</si>
  <si>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</si>
  <si>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</si>
  <si>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</si>
  <si>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</si>
  <si>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Trial Burn</t>
  </si>
  <si>
    <t>PM, HCl/Cl2</t>
  </si>
  <si>
    <t>Risk Burn</t>
  </si>
  <si>
    <t>POHC Feedrate</t>
  </si>
  <si>
    <t>Emission Rate</t>
  </si>
  <si>
    <t xml:space="preserve">   O2</t>
  </si>
  <si>
    <t xml:space="preserve">   Moisture</t>
  </si>
  <si>
    <t>Copper</t>
  </si>
  <si>
    <t>CO (RA)</t>
  </si>
  <si>
    <t>Chromium</t>
  </si>
  <si>
    <t>Total Chlorine</t>
  </si>
  <si>
    <t>Sampling Train</t>
  </si>
  <si>
    <t>Zinc</t>
  </si>
  <si>
    <t>Trial burn</t>
  </si>
  <si>
    <t>Risk burn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</si>
  <si>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</si>
  <si>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</si>
  <si>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</si>
  <si>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</si>
  <si>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</si>
  <si>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</si>
  <si>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</si>
  <si>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</si>
  <si>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</si>
  <si>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</si>
  <si>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</si>
  <si>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</si>
  <si>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1,2,3-Tricholoropropane</t>
  </si>
  <si>
    <t>610C1</t>
  </si>
  <si>
    <t>1,2,3-Trichloropropane</t>
  </si>
  <si>
    <t xml:space="preserve">POHC </t>
  </si>
  <si>
    <t>PCDD/PCDF (ng in sample)</t>
  </si>
  <si>
    <t>Detected in sample volume (ng)</t>
  </si>
  <si>
    <t>Liq waste</t>
  </si>
  <si>
    <t>Combustion Chamber Temp (min)</t>
  </si>
  <si>
    <t>Combustion Pressure</t>
  </si>
  <si>
    <t>in. WC</t>
  </si>
  <si>
    <t>Waste Injection Pressure</t>
  </si>
  <si>
    <t>Atomizing Steam Header</t>
  </si>
  <si>
    <t>Scrubber pH</t>
  </si>
  <si>
    <t>Scrubber Recir Rate</t>
  </si>
  <si>
    <t>water Injection Rate</t>
  </si>
  <si>
    <t>kg/L</t>
  </si>
  <si>
    <t>&gt;</t>
  </si>
  <si>
    <t>Water Injection Rate</t>
  </si>
  <si>
    <t>LAD980622104</t>
  </si>
  <si>
    <t>Norco Chemical Plant-West Site Shell Oil Company</t>
  </si>
  <si>
    <t>Norco</t>
  </si>
  <si>
    <t>LA</t>
  </si>
  <si>
    <t>Designed and built by Bieglow-Liptak Corp. Equiped with a mason premix pilot with a Hauck spark ignitor. This burner is also equiped with a natural gas firing system and six liquid waste injection guns NCIN-2 is an induced draft organic choloride incinerator consisting of a combustion chamber, flue gas cooler, and scrubbing train. Induced draft blower is 16000 acfm at 90oF and 20 inc W.C. vacuum. Discharge pressure is 2 inc. W.C. Powered by a 150 hp electric motor</t>
  </si>
  <si>
    <t>WHB/QS/AA/CS</t>
  </si>
  <si>
    <t>Waste heat boiler, water quench, acid absorber, caustic scrubber.  The system was designed by Shell Oil Company and manufactured by various suppliers</t>
  </si>
  <si>
    <t>Allyl Chloride Heavy Ends (ACHE) which is a waste stream produced on site.</t>
  </si>
  <si>
    <t>Natural gas</t>
  </si>
  <si>
    <t>Tier I for all metals</t>
  </si>
  <si>
    <t>Shell Chemical Company</t>
  </si>
  <si>
    <t xml:space="preserve">METCO Environmental </t>
  </si>
  <si>
    <t>Trial burn, low temp, no water injection, low waste feed</t>
  </si>
  <si>
    <t>PM, HCl/Cl2, CO, DREs</t>
  </si>
  <si>
    <t>Trial burn, upper oper temp, max waste, max water injection</t>
  </si>
  <si>
    <t>Risk burn, reasonable upper bound on normal operation</t>
  </si>
  <si>
    <t>PM, HCl/Cl2, CO, PCDD/Fs</t>
  </si>
  <si>
    <t>Unit 1</t>
  </si>
  <si>
    <t>Source of Emissions Survey of Shell Chemical Company NCIN 1 Stack, February 1998.</t>
  </si>
  <si>
    <t>February 10-11, 1998</t>
  </si>
  <si>
    <t>Risk Burn, February 1998.</t>
  </si>
  <si>
    <t>February 2-5, 1998</t>
  </si>
  <si>
    <t>610C12</t>
  </si>
  <si>
    <t>610C10 Trial burn</t>
  </si>
  <si>
    <t>610C11 Trial burn</t>
  </si>
  <si>
    <t>610C12 Risk burn</t>
  </si>
  <si>
    <t xml:space="preserve">610C10 </t>
  </si>
  <si>
    <t>610C11</t>
  </si>
  <si>
    <t>610C10</t>
  </si>
  <si>
    <t>Report Name/Date</t>
  </si>
  <si>
    <t>Report Prepare</t>
  </si>
  <si>
    <t>Testing Firm</t>
  </si>
  <si>
    <t>Testing Dates</t>
  </si>
  <si>
    <t>Condition Descr</t>
  </si>
  <si>
    <t>Content</t>
  </si>
  <si>
    <t>PM, HCl, and HCl Removal Efficiency Compliance Emissions Sampling of Incinerator NCIN-1, Shell Chemical Co, NORCO, LA, December 1991, SwL Project No. 54-9112-065</t>
  </si>
  <si>
    <t>Southwestern Laboratories, Environmental Analytical Services Div.</t>
  </si>
  <si>
    <t>Cond Descr</t>
  </si>
  <si>
    <t>Air compliance test, NORMAL OPERATIONS</t>
  </si>
  <si>
    <t>R1</t>
  </si>
  <si>
    <t>R2</t>
  </si>
  <si>
    <t>R3</t>
  </si>
  <si>
    <t/>
  </si>
  <si>
    <t>PM/Halogens</t>
  </si>
  <si>
    <t>Feedrate</t>
  </si>
  <si>
    <t>Heating value</t>
  </si>
  <si>
    <t>wt %</t>
  </si>
  <si>
    <t>Gas Flowrate</t>
  </si>
  <si>
    <t>Feedrate MTECs</t>
  </si>
  <si>
    <t>Condition Description</t>
  </si>
  <si>
    <t>Combustor Type</t>
  </si>
  <si>
    <t>Combustor Class</t>
  </si>
  <si>
    <t>Stack Gas Emissions 2</t>
  </si>
  <si>
    <t>Stack Gas Emissions 1</t>
  </si>
  <si>
    <t>Feedstream 1</t>
  </si>
  <si>
    <t>Feedstream 2</t>
  </si>
  <si>
    <t>Phase I ID No.</t>
  </si>
  <si>
    <t>Feedstream</t>
  </si>
  <si>
    <t>Number of Sister Facilities</t>
  </si>
  <si>
    <t>APCS Detailed Acronym</t>
  </si>
  <si>
    <t>APCS General Class</t>
  </si>
  <si>
    <t>WHB,WQ,LEWS</t>
  </si>
  <si>
    <t>Cond Dates</t>
  </si>
  <si>
    <t>E1</t>
  </si>
  <si>
    <t>E2</t>
  </si>
  <si>
    <t>Liq</t>
  </si>
  <si>
    <t>source</t>
  </si>
  <si>
    <t>cond</t>
  </si>
  <si>
    <t>emiss 1</t>
  </si>
  <si>
    <t>emiss 2</t>
  </si>
  <si>
    <t>feed 1</t>
  </si>
  <si>
    <t>feed 2</t>
  </si>
  <si>
    <t>process</t>
  </si>
  <si>
    <t>df c12</t>
  </si>
  <si>
    <t>Onsite incinerator</t>
  </si>
  <si>
    <t>Liquid injection</t>
  </si>
  <si>
    <t>Feedstream Number</t>
  </si>
  <si>
    <t>Feed Class</t>
  </si>
  <si>
    <t>F1</t>
  </si>
  <si>
    <t>Liq HW</t>
  </si>
  <si>
    <t>F2</t>
  </si>
  <si>
    <t>Feed Class 2</t>
  </si>
  <si>
    <t>Estimated Firing Rate</t>
  </si>
  <si>
    <t>Manganese</t>
  </si>
  <si>
    <t>Full ND</t>
  </si>
  <si>
    <t>n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</si>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</sst>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/dd/yy"/>
    <numFmt numFmtId="178" formatCode="0.0E+00"/>
    <numFmt numFmtId="179" formatCode="0E+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1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D28" sqref="D28"/>
    </sheetView>
  </sheetViews>
  <sheetFormatPr defaultColWidth="9.140625" defaultRowHeight="12.75"/>
  <sheetData>
    <row r="1" ht="12.75">
      <c r="A1" t="s">
        <v>221</v>
      </c>
    </row>
    <row r="2" ht="12.75">
      <c r="A2" t="s">
        <v>222</v>
      </c>
    </row>
    <row r="3" ht="12.75">
      <c r="A3" t="s">
        <v>223</v>
      </c>
    </row>
    <row r="4" ht="12.75">
      <c r="A4" t="s">
        <v>224</v>
      </c>
    </row>
    <row r="5" ht="12.75">
      <c r="A5" t="s">
        <v>225</v>
      </c>
    </row>
    <row r="6" ht="12.75">
      <c r="A6" t="s">
        <v>226</v>
      </c>
    </row>
    <row r="7" ht="12.75">
      <c r="A7" t="s">
        <v>227</v>
      </c>
    </row>
    <row r="8" ht="12.75">
      <c r="A8" t="s">
        <v>228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B1">
      <selection activeCell="C17" sqref="C17"/>
    </sheetView>
  </sheetViews>
  <sheetFormatPr defaultColWidth="9.140625" defaultRowHeight="12.75"/>
  <cols>
    <col min="1" max="1" width="2.421875" style="1" hidden="1" customWidth="1"/>
    <col min="2" max="2" width="23.8515625" style="1" customWidth="1"/>
    <col min="3" max="3" width="61.7109375" style="1" customWidth="1"/>
    <col min="4" max="16384" width="8.8515625" style="1" customWidth="1"/>
  </cols>
  <sheetData>
    <row r="1" spans="2:12" ht="12.75">
      <c r="B1" s="8" t="s">
        <v>93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2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2.75">
      <c r="B3" s="20" t="s">
        <v>211</v>
      </c>
      <c r="C3" s="21">
        <v>610</v>
      </c>
      <c r="D3" s="20"/>
      <c r="E3" s="20"/>
      <c r="F3" s="20"/>
      <c r="G3" s="20"/>
      <c r="H3" s="20"/>
      <c r="I3" s="20"/>
      <c r="J3" s="20"/>
      <c r="K3" s="20"/>
      <c r="L3" s="20"/>
    </row>
    <row r="4" spans="2:12" ht="12.75">
      <c r="B4" s="20" t="s">
        <v>0</v>
      </c>
      <c r="C4" s="20" t="s">
        <v>155</v>
      </c>
      <c r="D4" s="20"/>
      <c r="E4" s="20"/>
      <c r="F4" s="20"/>
      <c r="G4" s="20"/>
      <c r="H4" s="20"/>
      <c r="I4" s="20"/>
      <c r="J4" s="20"/>
      <c r="K4" s="20"/>
      <c r="L4" s="20"/>
    </row>
    <row r="5" spans="2:12" ht="12.75">
      <c r="B5" s="20" t="s">
        <v>1</v>
      </c>
      <c r="C5" s="20" t="s">
        <v>156</v>
      </c>
      <c r="D5" s="20"/>
      <c r="E5" s="20"/>
      <c r="F5" s="20"/>
      <c r="G5" s="20"/>
      <c r="H5" s="20"/>
      <c r="I5" s="20"/>
      <c r="J5" s="20"/>
      <c r="K5" s="20"/>
      <c r="L5" s="20"/>
    </row>
    <row r="6" spans="2:12" ht="12.75"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2:12" ht="12.75">
      <c r="B7" s="20" t="s">
        <v>3</v>
      </c>
      <c r="C7" s="20" t="s">
        <v>157</v>
      </c>
      <c r="D7" s="20"/>
      <c r="E7" s="20"/>
      <c r="F7" s="20"/>
      <c r="G7" s="20"/>
      <c r="H7" s="20"/>
      <c r="I7" s="20"/>
      <c r="J7" s="20"/>
      <c r="K7" s="20"/>
      <c r="L7" s="20"/>
    </row>
    <row r="8" spans="2:12" ht="12.75">
      <c r="B8" s="20" t="s">
        <v>4</v>
      </c>
      <c r="C8" s="20" t="s">
        <v>158</v>
      </c>
      <c r="D8" s="20"/>
      <c r="E8" s="20"/>
      <c r="F8" s="20"/>
      <c r="G8" s="20"/>
      <c r="H8" s="20"/>
      <c r="I8" s="20"/>
      <c r="J8" s="20"/>
      <c r="K8" s="20"/>
      <c r="L8" s="20"/>
    </row>
    <row r="9" spans="2:12" ht="12.75">
      <c r="B9" s="20" t="s">
        <v>5</v>
      </c>
      <c r="C9" s="20" t="s">
        <v>172</v>
      </c>
      <c r="D9" s="20"/>
      <c r="E9" s="20"/>
      <c r="F9" s="20"/>
      <c r="G9" s="20"/>
      <c r="H9" s="20"/>
      <c r="I9" s="20"/>
      <c r="J9" s="20"/>
      <c r="K9" s="20"/>
      <c r="L9" s="20"/>
    </row>
    <row r="10" spans="2:12" ht="12.75">
      <c r="B10" s="20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2:12" ht="12.75">
      <c r="B11" s="20" t="s">
        <v>213</v>
      </c>
      <c r="C11" s="21">
        <v>0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2:12" ht="12.75">
      <c r="B12" s="20" t="s">
        <v>206</v>
      </c>
      <c r="C12" s="20" t="s">
        <v>229</v>
      </c>
      <c r="D12" s="20"/>
      <c r="E12" s="20"/>
      <c r="F12" s="20"/>
      <c r="G12" s="20"/>
      <c r="H12" s="20"/>
      <c r="I12" s="20"/>
      <c r="J12" s="20"/>
      <c r="K12" s="20"/>
      <c r="L12" s="20"/>
    </row>
    <row r="13" spans="2:12" ht="12.75">
      <c r="B13" s="20" t="s">
        <v>205</v>
      </c>
      <c r="C13" s="20" t="s">
        <v>230</v>
      </c>
      <c r="D13" s="20"/>
      <c r="E13" s="20"/>
      <c r="F13" s="20"/>
      <c r="G13" s="20"/>
      <c r="H13" s="20"/>
      <c r="I13" s="20"/>
      <c r="J13" s="20"/>
      <c r="K13" s="20"/>
      <c r="L13" s="20"/>
    </row>
    <row r="14" spans="2:12" s="60" customFormat="1" ht="89.25">
      <c r="B14" s="59" t="s">
        <v>81</v>
      </c>
      <c r="C14" s="59" t="s">
        <v>159</v>
      </c>
      <c r="D14" s="59"/>
      <c r="E14" s="59"/>
      <c r="F14" s="59"/>
      <c r="G14" s="59"/>
      <c r="H14" s="59"/>
      <c r="I14" s="59"/>
      <c r="J14" s="59"/>
      <c r="K14" s="59"/>
      <c r="L14" s="59"/>
    </row>
    <row r="15" spans="2:12" s="60" customFormat="1" ht="12.75">
      <c r="B15" s="59" t="s">
        <v>89</v>
      </c>
      <c r="C15" s="61"/>
      <c r="D15" s="59"/>
      <c r="E15" s="59"/>
      <c r="F15" s="59"/>
      <c r="G15" s="59"/>
      <c r="H15" s="59"/>
      <c r="I15" s="59"/>
      <c r="J15" s="59"/>
      <c r="K15" s="59"/>
      <c r="L15" s="59"/>
    </row>
    <row r="16" spans="2:12" s="60" customFormat="1" ht="12.75">
      <c r="B16" s="20" t="s">
        <v>94</v>
      </c>
      <c r="C16" s="59"/>
      <c r="F16" s="59"/>
      <c r="G16" s="59"/>
      <c r="H16" s="59"/>
      <c r="I16" s="59"/>
      <c r="J16" s="59"/>
      <c r="K16" s="59"/>
      <c r="L16" s="59"/>
    </row>
    <row r="17" spans="2:12" s="60" customFormat="1" ht="12.75">
      <c r="B17" s="59" t="s">
        <v>214</v>
      </c>
      <c r="C17" s="59" t="s">
        <v>160</v>
      </c>
      <c r="D17" s="59"/>
      <c r="E17" s="59"/>
      <c r="F17" s="59"/>
      <c r="G17" s="59"/>
      <c r="H17" s="59"/>
      <c r="I17" s="59"/>
      <c r="J17" s="59"/>
      <c r="K17" s="59"/>
      <c r="L17" s="59"/>
    </row>
    <row r="18" spans="2:12" s="60" customFormat="1" ht="12.75">
      <c r="B18" s="59" t="s">
        <v>215</v>
      </c>
      <c r="C18" s="59" t="s">
        <v>216</v>
      </c>
      <c r="D18" s="59"/>
      <c r="E18" s="59"/>
      <c r="F18" s="59"/>
      <c r="G18" s="59"/>
      <c r="H18" s="59"/>
      <c r="I18" s="59"/>
      <c r="J18" s="59"/>
      <c r="K18" s="59"/>
      <c r="L18" s="59"/>
    </row>
    <row r="19" spans="2:12" ht="38.25">
      <c r="B19" s="59" t="s">
        <v>7</v>
      </c>
      <c r="C19" s="59" t="s">
        <v>161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2:12" ht="12.75">
      <c r="B20" s="20" t="s">
        <v>86</v>
      </c>
      <c r="C20" s="20" t="s">
        <v>220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2:12" ht="25.5">
      <c r="B21" s="20" t="s">
        <v>95</v>
      </c>
      <c r="C21" s="65" t="s">
        <v>162</v>
      </c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2.75">
      <c r="B22" s="20" t="s">
        <v>87</v>
      </c>
      <c r="C22" s="20" t="s">
        <v>163</v>
      </c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2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ht="12.75">
      <c r="B24" s="20" t="s">
        <v>8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</row>
    <row r="25" spans="2:12" ht="12.75">
      <c r="B25" s="20" t="s">
        <v>9</v>
      </c>
      <c r="C25" s="63">
        <v>2.5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2:12" ht="12.75">
      <c r="B26" s="20" t="s">
        <v>10</v>
      </c>
      <c r="C26" s="21">
        <v>100</v>
      </c>
      <c r="D26" s="20"/>
      <c r="E26" s="20"/>
      <c r="F26" s="20"/>
      <c r="G26" s="20"/>
      <c r="H26" s="20"/>
      <c r="I26" s="20"/>
      <c r="J26" s="20"/>
      <c r="K26" s="20"/>
      <c r="L26" s="20"/>
    </row>
    <row r="27" spans="2:12" ht="12.75">
      <c r="B27" s="20" t="s">
        <v>90</v>
      </c>
      <c r="C27" s="22">
        <v>17.674896596671978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4.25" customHeight="1">
      <c r="B28" s="20" t="s">
        <v>91</v>
      </c>
      <c r="C28" s="21">
        <v>130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2:12" ht="12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ht="12.75">
      <c r="B30" s="20" t="s">
        <v>11</v>
      </c>
      <c r="C30" s="20" t="s">
        <v>164</v>
      </c>
      <c r="D30" s="20"/>
      <c r="E30" s="20"/>
      <c r="F30" s="20"/>
      <c r="G30" s="20"/>
      <c r="H30" s="20"/>
      <c r="I30" s="20"/>
      <c r="J30" s="20"/>
      <c r="K30" s="20"/>
      <c r="L30" s="20"/>
    </row>
    <row r="31" spans="2:12" ht="12.75">
      <c r="B31" s="20" t="s">
        <v>128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ht="14.2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B1">
      <selection activeCell="C17" sqref="C17"/>
    </sheetView>
  </sheetViews>
  <sheetFormatPr defaultColWidth="9.140625" defaultRowHeight="12.75"/>
  <cols>
    <col min="1" max="1" width="2.00390625" style="0" hidden="1" customWidth="1"/>
    <col min="2" max="2" width="19.28125" style="0" customWidth="1"/>
    <col min="3" max="3" width="63.140625" style="67" customWidth="1"/>
  </cols>
  <sheetData>
    <row r="1" ht="12.75">
      <c r="B1" s="8" t="s">
        <v>204</v>
      </c>
    </row>
    <row r="3" spans="2:12" s="1" customFormat="1" ht="12.75">
      <c r="B3" s="8" t="s">
        <v>183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s="1" customFormat="1" ht="12.75">
      <c r="B4" s="8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s="1" customFormat="1" ht="25.5">
      <c r="B5" s="66" t="s">
        <v>184</v>
      </c>
      <c r="C5" s="65" t="s">
        <v>173</v>
      </c>
      <c r="D5" s="20"/>
      <c r="E5" s="20"/>
      <c r="F5" s="20"/>
      <c r="G5" s="20"/>
      <c r="H5" s="20"/>
      <c r="I5" s="20"/>
      <c r="J5" s="20"/>
      <c r="K5" s="20"/>
      <c r="L5" s="20"/>
    </row>
    <row r="6" spans="2:12" s="1" customFormat="1" ht="12.75">
      <c r="B6" s="20" t="s">
        <v>185</v>
      </c>
      <c r="C6" s="20" t="s">
        <v>165</v>
      </c>
      <c r="D6" s="20"/>
      <c r="E6" s="20"/>
      <c r="F6" s="20"/>
      <c r="G6" s="20"/>
      <c r="H6" s="20"/>
      <c r="I6" s="20"/>
      <c r="J6" s="20"/>
      <c r="K6" s="20"/>
      <c r="L6" s="20"/>
    </row>
    <row r="7" spans="2:12" s="1" customFormat="1" ht="12.75">
      <c r="B7" s="20" t="s">
        <v>186</v>
      </c>
      <c r="C7" s="20" t="s">
        <v>166</v>
      </c>
      <c r="D7" s="20"/>
      <c r="E7" s="20"/>
      <c r="F7" s="20"/>
      <c r="G7" s="20"/>
      <c r="H7" s="20"/>
      <c r="I7" s="20"/>
      <c r="J7" s="20"/>
      <c r="K7" s="20"/>
      <c r="L7" s="20"/>
    </row>
    <row r="8" spans="2:12" s="1" customFormat="1" ht="12.75">
      <c r="B8" s="20" t="s">
        <v>187</v>
      </c>
      <c r="C8" s="23">
        <v>35835</v>
      </c>
      <c r="D8" s="20"/>
      <c r="E8" s="20"/>
      <c r="F8" s="20"/>
      <c r="G8" s="20"/>
      <c r="H8" s="20"/>
      <c r="I8" s="20"/>
      <c r="J8" s="20"/>
      <c r="K8" s="20"/>
      <c r="L8" s="20"/>
    </row>
    <row r="9" spans="2:12" s="1" customFormat="1" ht="12.75">
      <c r="B9" s="20" t="s">
        <v>217</v>
      </c>
      <c r="C9" s="75">
        <v>35835</v>
      </c>
      <c r="D9" s="20"/>
      <c r="E9" s="20"/>
      <c r="F9" s="20"/>
      <c r="G9" s="20"/>
      <c r="H9" s="20"/>
      <c r="I9" s="20"/>
      <c r="J9" s="20"/>
      <c r="K9" s="20"/>
      <c r="L9" s="20"/>
    </row>
    <row r="10" spans="2:12" s="1" customFormat="1" ht="12.75">
      <c r="B10" s="20" t="s">
        <v>188</v>
      </c>
      <c r="C10" s="20" t="s">
        <v>167</v>
      </c>
      <c r="D10" s="20"/>
      <c r="E10" s="20"/>
      <c r="F10" s="20"/>
      <c r="G10" s="20"/>
      <c r="H10" s="20"/>
      <c r="I10" s="20"/>
      <c r="J10" s="20"/>
      <c r="K10" s="20"/>
      <c r="L10" s="20"/>
    </row>
    <row r="11" spans="2:12" s="1" customFormat="1" ht="12.75">
      <c r="B11" s="20" t="s">
        <v>189</v>
      </c>
      <c r="C11" s="23" t="s">
        <v>168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2:12" s="1" customFormat="1" ht="12.75">
      <c r="B12" s="20"/>
      <c r="C12" s="23"/>
      <c r="D12" s="20"/>
      <c r="E12" s="20"/>
      <c r="F12" s="20"/>
      <c r="G12" s="20"/>
      <c r="H12" s="20"/>
      <c r="I12" s="20"/>
      <c r="J12" s="20"/>
      <c r="K12" s="20"/>
      <c r="L12" s="20"/>
    </row>
    <row r="13" spans="2:12" s="1" customFormat="1" ht="12.75">
      <c r="B13" s="8" t="s">
        <v>182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2:12" s="1" customFormat="1" ht="12.75">
      <c r="B14" s="8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2:12" s="1" customFormat="1" ht="25.5">
      <c r="B15" s="66" t="s">
        <v>184</v>
      </c>
      <c r="C15" s="65" t="s">
        <v>173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2:12" s="1" customFormat="1" ht="12.75">
      <c r="B16" s="20" t="s">
        <v>185</v>
      </c>
      <c r="C16" s="20" t="s">
        <v>165</v>
      </c>
      <c r="D16" s="20"/>
      <c r="E16" s="20"/>
      <c r="F16" s="20"/>
      <c r="G16" s="20"/>
      <c r="H16" s="20"/>
      <c r="I16" s="20"/>
      <c r="J16" s="20"/>
      <c r="K16" s="20"/>
      <c r="L16" s="20"/>
    </row>
    <row r="17" spans="2:12" s="1" customFormat="1" ht="12.75">
      <c r="B17" s="20" t="s">
        <v>186</v>
      </c>
      <c r="C17" s="20" t="s">
        <v>166</v>
      </c>
      <c r="D17" s="20"/>
      <c r="E17" s="20"/>
      <c r="F17" s="20"/>
      <c r="G17" s="20"/>
      <c r="H17" s="20"/>
      <c r="I17" s="20"/>
      <c r="J17" s="20"/>
      <c r="K17" s="20"/>
      <c r="L17" s="20"/>
    </row>
    <row r="18" spans="2:12" s="1" customFormat="1" ht="12.75">
      <c r="B18" s="20" t="s">
        <v>187</v>
      </c>
      <c r="C18" s="23" t="s">
        <v>174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2:12" s="1" customFormat="1" ht="12.75">
      <c r="B19" s="20" t="s">
        <v>217</v>
      </c>
      <c r="C19" s="75">
        <v>35837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2:12" s="1" customFormat="1" ht="12.75">
      <c r="B20" s="20" t="s">
        <v>188</v>
      </c>
      <c r="C20" s="23" t="s">
        <v>169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2:12" s="1" customFormat="1" ht="12.75">
      <c r="B21" s="20" t="s">
        <v>189</v>
      </c>
      <c r="C21" s="23" t="s">
        <v>168</v>
      </c>
      <c r="D21" s="20"/>
      <c r="E21" s="20"/>
      <c r="F21" s="20"/>
      <c r="G21" s="20"/>
      <c r="H21" s="20"/>
      <c r="I21" s="20"/>
      <c r="J21" s="20"/>
      <c r="K21" s="20"/>
      <c r="L21" s="20"/>
    </row>
    <row r="22" spans="2:12" s="1" customFormat="1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2:12" s="1" customFormat="1" ht="12.75">
      <c r="B23" s="8" t="s">
        <v>177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s="1" customFormat="1" ht="12.75">
      <c r="B24" s="8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s="1" customFormat="1" ht="12.75">
      <c r="B25" s="66" t="s">
        <v>184</v>
      </c>
      <c r="C25" s="20" t="s">
        <v>175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2:12" s="1" customFormat="1" ht="12.75">
      <c r="B26" s="20" t="s">
        <v>185</v>
      </c>
      <c r="C26" s="20" t="s">
        <v>165</v>
      </c>
      <c r="D26" s="20"/>
      <c r="E26" s="20"/>
      <c r="F26" s="20"/>
      <c r="G26" s="20"/>
      <c r="H26" s="20"/>
      <c r="I26" s="20"/>
      <c r="J26" s="20"/>
      <c r="K26" s="20"/>
      <c r="L26" s="20"/>
    </row>
    <row r="27" spans="2:12" s="1" customFormat="1" ht="12.75">
      <c r="B27" s="20" t="s">
        <v>186</v>
      </c>
      <c r="C27" s="20" t="s">
        <v>166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2:12" s="1" customFormat="1" ht="12.75">
      <c r="B28" s="20" t="s">
        <v>187</v>
      </c>
      <c r="C28" s="23" t="s">
        <v>176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2:12" s="1" customFormat="1" ht="12.75">
      <c r="B29" s="20" t="s">
        <v>217</v>
      </c>
      <c r="C29" s="75">
        <v>35831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2:12" s="1" customFormat="1" ht="12.75">
      <c r="B30" s="20" t="s">
        <v>188</v>
      </c>
      <c r="C30" s="60" t="s">
        <v>170</v>
      </c>
      <c r="D30" s="20"/>
      <c r="E30" s="20"/>
      <c r="F30" s="20"/>
      <c r="G30" s="20"/>
      <c r="H30" s="20"/>
      <c r="I30" s="20"/>
      <c r="J30" s="20"/>
      <c r="K30" s="20"/>
      <c r="L30" s="20"/>
    </row>
    <row r="31" spans="2:12" s="1" customFormat="1" ht="12.75">
      <c r="B31" s="20" t="s">
        <v>189</v>
      </c>
      <c r="C31" s="59" t="s">
        <v>171</v>
      </c>
      <c r="D31" s="20"/>
      <c r="E31" s="20"/>
      <c r="F31" s="20"/>
      <c r="G31" s="20"/>
      <c r="H31" s="20"/>
      <c r="I31" s="20"/>
      <c r="J31" s="20"/>
      <c r="K31" s="20"/>
      <c r="L31" s="20"/>
    </row>
    <row r="33" ht="12.75">
      <c r="B33" s="8" t="s">
        <v>138</v>
      </c>
    </row>
    <row r="35" spans="2:3" s="68" customFormat="1" ht="38.25">
      <c r="B35" s="68" t="s">
        <v>184</v>
      </c>
      <c r="C35" s="69" t="s">
        <v>190</v>
      </c>
    </row>
    <row r="36" spans="2:3" ht="12.75">
      <c r="B36" t="s">
        <v>185</v>
      </c>
      <c r="C36" s="67" t="s">
        <v>191</v>
      </c>
    </row>
    <row r="37" spans="2:3" ht="12.75">
      <c r="B37" t="s">
        <v>186</v>
      </c>
      <c r="C37" s="67" t="s">
        <v>191</v>
      </c>
    </row>
    <row r="38" spans="2:3" ht="12.75">
      <c r="B38" t="s">
        <v>192</v>
      </c>
      <c r="C38" s="67" t="s">
        <v>193</v>
      </c>
    </row>
    <row r="39" spans="2:3" ht="12.75">
      <c r="B39" t="s">
        <v>187</v>
      </c>
      <c r="C39" s="77">
        <v>33583</v>
      </c>
    </row>
    <row r="40" spans="2:3" ht="12.75">
      <c r="B40" t="s">
        <v>217</v>
      </c>
      <c r="C40" s="76">
        <v>33573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B83">
      <selection activeCell="C17" sqref="C17"/>
    </sheetView>
  </sheetViews>
  <sheetFormatPr defaultColWidth="9.140625" defaultRowHeight="12.75"/>
  <cols>
    <col min="1" max="1" width="1.57421875" style="25" hidden="1" customWidth="1"/>
    <col min="2" max="2" width="18.8515625" style="25" customWidth="1"/>
    <col min="3" max="3" width="11.8515625" style="25" customWidth="1"/>
    <col min="4" max="4" width="8.8515625" style="10" customWidth="1"/>
    <col min="5" max="5" width="6.140625" style="10" customWidth="1"/>
    <col min="6" max="6" width="3.140625" style="10" customWidth="1"/>
    <col min="7" max="7" width="9.421875" style="25" customWidth="1"/>
    <col min="8" max="8" width="2.7109375" style="25" customWidth="1"/>
    <col min="9" max="9" width="9.7109375" style="26" customWidth="1"/>
    <col min="10" max="10" width="2.8515625" style="25" customWidth="1"/>
    <col min="11" max="11" width="10.00390625" style="25" customWidth="1"/>
    <col min="12" max="12" width="2.57421875" style="25" customWidth="1"/>
    <col min="13" max="13" width="8.8515625" style="25" customWidth="1"/>
    <col min="14" max="14" width="2.140625" style="25" customWidth="1"/>
    <col min="15" max="16384" width="8.8515625" style="25" customWidth="1"/>
  </cols>
  <sheetData>
    <row r="1" spans="2:3" ht="12.75">
      <c r="B1" s="24" t="s">
        <v>208</v>
      </c>
      <c r="C1" s="24"/>
    </row>
    <row r="2" spans="2:12" ht="12.75">
      <c r="B2" s="27"/>
      <c r="C2" s="27"/>
      <c r="G2" s="27"/>
      <c r="H2" s="27"/>
      <c r="I2" s="28"/>
      <c r="J2" s="27"/>
      <c r="K2" s="27"/>
      <c r="L2" s="27"/>
    </row>
    <row r="3" spans="2:5" ht="12.75">
      <c r="B3" s="20"/>
      <c r="C3" s="20" t="s">
        <v>109</v>
      </c>
      <c r="D3" s="10" t="s">
        <v>12</v>
      </c>
      <c r="E3" s="10" t="s">
        <v>82</v>
      </c>
    </row>
    <row r="4" spans="2:12" ht="12.75">
      <c r="B4" s="20"/>
      <c r="C4" s="20"/>
      <c r="G4" s="27"/>
      <c r="H4" s="27"/>
      <c r="I4" s="28"/>
      <c r="J4" s="27"/>
      <c r="K4" s="27"/>
      <c r="L4" s="27"/>
    </row>
    <row r="5" spans="1:13" ht="12.75">
      <c r="A5" s="25">
        <v>1</v>
      </c>
      <c r="B5" s="29" t="s">
        <v>183</v>
      </c>
      <c r="C5" s="29" t="s">
        <v>110</v>
      </c>
      <c r="G5" s="27" t="s">
        <v>194</v>
      </c>
      <c r="H5" s="27"/>
      <c r="I5" s="28" t="s">
        <v>195</v>
      </c>
      <c r="J5" s="27"/>
      <c r="K5" s="27" t="s">
        <v>196</v>
      </c>
      <c r="L5" s="27"/>
      <c r="M5" s="25" t="s">
        <v>48</v>
      </c>
    </row>
    <row r="6" spans="2:12" ht="12.75">
      <c r="B6" s="10"/>
      <c r="C6" s="10"/>
      <c r="D6" s="20"/>
      <c r="E6" s="20"/>
      <c r="F6" s="20"/>
      <c r="G6" s="20"/>
      <c r="H6" s="20"/>
      <c r="I6" s="30"/>
      <c r="J6" s="20"/>
      <c r="K6" s="20"/>
      <c r="L6" s="27"/>
    </row>
    <row r="7" spans="2:13" ht="12.75">
      <c r="B7" s="10" t="s">
        <v>13</v>
      </c>
      <c r="C7" s="10" t="s">
        <v>218</v>
      </c>
      <c r="D7" s="10" t="s">
        <v>14</v>
      </c>
      <c r="E7" s="10" t="s">
        <v>15</v>
      </c>
      <c r="G7" s="20">
        <v>0.0065</v>
      </c>
      <c r="H7" s="20"/>
      <c r="I7" s="30">
        <v>0.0059</v>
      </c>
      <c r="J7" s="20"/>
      <c r="K7" s="20">
        <v>0.0097</v>
      </c>
      <c r="L7" s="27"/>
      <c r="M7" s="31">
        <f>AVERAGE(K7,I7,G7)</f>
        <v>0.007366666666666666</v>
      </c>
    </row>
    <row r="8" spans="2:13" ht="12.75">
      <c r="B8" s="10" t="s">
        <v>118</v>
      </c>
      <c r="C8" s="10" t="s">
        <v>218</v>
      </c>
      <c r="D8" s="10" t="s">
        <v>16</v>
      </c>
      <c r="E8" s="10" t="s">
        <v>15</v>
      </c>
      <c r="F8" s="10" t="s">
        <v>29</v>
      </c>
      <c r="G8" s="33">
        <v>0.2</v>
      </c>
      <c r="H8" s="33" t="s">
        <v>29</v>
      </c>
      <c r="I8" s="34">
        <v>0.2</v>
      </c>
      <c r="J8" s="33" t="s">
        <v>29</v>
      </c>
      <c r="K8" s="33">
        <v>0.2</v>
      </c>
      <c r="L8" s="27"/>
      <c r="M8" s="36">
        <f>AVERAGE(K8,I8,G8)</f>
        <v>0.20000000000000004</v>
      </c>
    </row>
    <row r="9" spans="2:13" ht="12.75">
      <c r="B9" s="10" t="s">
        <v>55</v>
      </c>
      <c r="C9" s="10"/>
      <c r="D9" s="10" t="s">
        <v>16</v>
      </c>
      <c r="E9" s="10" t="s">
        <v>240</v>
      </c>
      <c r="G9" s="33">
        <v>190</v>
      </c>
      <c r="H9" s="33"/>
      <c r="I9" s="34">
        <v>194.5</v>
      </c>
      <c r="J9" s="33"/>
      <c r="K9" s="33">
        <v>223.9</v>
      </c>
      <c r="L9" s="27"/>
      <c r="M9" s="32"/>
    </row>
    <row r="10" spans="2:13" ht="12.75">
      <c r="B10" s="10" t="s">
        <v>56</v>
      </c>
      <c r="C10" s="10"/>
      <c r="D10" s="10" t="s">
        <v>16</v>
      </c>
      <c r="E10" s="10" t="s">
        <v>240</v>
      </c>
      <c r="G10" s="33">
        <v>18.3</v>
      </c>
      <c r="H10" s="33"/>
      <c r="I10" s="34">
        <v>17.6</v>
      </c>
      <c r="J10" s="33"/>
      <c r="K10" s="33">
        <v>14.3</v>
      </c>
      <c r="L10" s="27"/>
      <c r="M10" s="35"/>
    </row>
    <row r="11" spans="2:13" ht="12.75">
      <c r="B11" s="10"/>
      <c r="C11" s="10"/>
      <c r="G11" s="33"/>
      <c r="H11" s="33"/>
      <c r="I11" s="34"/>
      <c r="J11" s="33"/>
      <c r="K11" s="33"/>
      <c r="L11" s="27"/>
      <c r="M11" s="35"/>
    </row>
    <row r="12" spans="2:13" ht="12.75">
      <c r="B12" s="10" t="s">
        <v>88</v>
      </c>
      <c r="C12" s="10" t="s">
        <v>58</v>
      </c>
      <c r="G12" s="33"/>
      <c r="H12" s="33"/>
      <c r="I12" s="34"/>
      <c r="J12" s="33"/>
      <c r="K12" s="33"/>
      <c r="L12" s="27"/>
      <c r="M12" s="35"/>
    </row>
    <row r="13" spans="2:13" ht="12.75">
      <c r="B13" s="10" t="s">
        <v>113</v>
      </c>
      <c r="C13" s="10"/>
      <c r="D13" s="10" t="s">
        <v>59</v>
      </c>
      <c r="G13" s="33">
        <v>19.99</v>
      </c>
      <c r="H13" s="33"/>
      <c r="I13" s="34">
        <v>20.01</v>
      </c>
      <c r="J13" s="33"/>
      <c r="K13" s="33">
        <v>20</v>
      </c>
      <c r="L13" s="27"/>
      <c r="M13" s="35"/>
    </row>
    <row r="14" spans="2:13" ht="12.75">
      <c r="B14" s="10" t="s">
        <v>114</v>
      </c>
      <c r="C14" s="10" t="s">
        <v>219</v>
      </c>
      <c r="D14" s="10" t="s">
        <v>59</v>
      </c>
      <c r="F14" s="10" t="s">
        <v>29</v>
      </c>
      <c r="G14" s="37">
        <v>5.62E-05</v>
      </c>
      <c r="H14" s="33" t="s">
        <v>29</v>
      </c>
      <c r="I14" s="37">
        <v>3.52E-05</v>
      </c>
      <c r="J14" s="33" t="s">
        <v>29</v>
      </c>
      <c r="K14" s="37">
        <v>7.02E-05</v>
      </c>
      <c r="L14" s="27"/>
      <c r="M14" s="38"/>
    </row>
    <row r="15" spans="2:13" ht="12.75">
      <c r="B15" s="10" t="s">
        <v>57</v>
      </c>
      <c r="C15" s="10" t="s">
        <v>219</v>
      </c>
      <c r="D15" s="10" t="s">
        <v>18</v>
      </c>
      <c r="F15" s="10" t="s">
        <v>153</v>
      </c>
      <c r="G15" s="33">
        <v>99.9997</v>
      </c>
      <c r="H15" s="33" t="s">
        <v>153</v>
      </c>
      <c r="I15" s="34">
        <v>99.9998</v>
      </c>
      <c r="J15" s="33" t="s">
        <v>153</v>
      </c>
      <c r="K15" s="33">
        <v>99.9996</v>
      </c>
      <c r="L15" s="27"/>
      <c r="M15" s="35"/>
    </row>
    <row r="16" spans="2:13" ht="12.75">
      <c r="B16" s="10"/>
      <c r="C16" s="10"/>
      <c r="G16" s="33"/>
      <c r="H16" s="33"/>
      <c r="I16" s="34"/>
      <c r="J16" s="33"/>
      <c r="K16" s="33"/>
      <c r="L16" s="27"/>
      <c r="M16" s="35"/>
    </row>
    <row r="17" spans="2:13" ht="12.75">
      <c r="B17" s="10" t="s">
        <v>88</v>
      </c>
      <c r="C17" s="10" t="s">
        <v>137</v>
      </c>
      <c r="G17" s="33"/>
      <c r="H17" s="33"/>
      <c r="I17" s="34"/>
      <c r="J17" s="33"/>
      <c r="K17" s="33"/>
      <c r="L17" s="27"/>
      <c r="M17" s="35"/>
    </row>
    <row r="18" spans="2:13" ht="12.75">
      <c r="B18" s="10" t="s">
        <v>113</v>
      </c>
      <c r="C18" s="10"/>
      <c r="D18" s="10" t="s">
        <v>59</v>
      </c>
      <c r="G18" s="33">
        <v>43.542</v>
      </c>
      <c r="H18" s="33"/>
      <c r="I18" s="34">
        <v>43.46</v>
      </c>
      <c r="J18" s="33"/>
      <c r="K18" s="33">
        <v>47.835</v>
      </c>
      <c r="L18" s="27"/>
      <c r="M18" s="35"/>
    </row>
    <row r="19" spans="2:13" ht="12.75">
      <c r="B19" s="10" t="s">
        <v>114</v>
      </c>
      <c r="C19" s="10" t="s">
        <v>219</v>
      </c>
      <c r="D19" s="10" t="s">
        <v>59</v>
      </c>
      <c r="F19" s="10" t="s">
        <v>29</v>
      </c>
      <c r="G19" s="37">
        <v>3.88E-05</v>
      </c>
      <c r="H19" s="33" t="s">
        <v>29</v>
      </c>
      <c r="I19" s="37">
        <v>1.14E-05</v>
      </c>
      <c r="J19" s="33" t="s">
        <v>29</v>
      </c>
      <c r="K19" s="37">
        <v>1.26E-05</v>
      </c>
      <c r="L19" s="27"/>
      <c r="M19" s="38"/>
    </row>
    <row r="20" spans="2:13" ht="12.75">
      <c r="B20" s="10" t="s">
        <v>57</v>
      </c>
      <c r="C20" s="10" t="s">
        <v>219</v>
      </c>
      <c r="D20" s="10" t="s">
        <v>18</v>
      </c>
      <c r="F20" s="10" t="s">
        <v>153</v>
      </c>
      <c r="G20" s="33">
        <v>99.9999</v>
      </c>
      <c r="H20" s="33" t="s">
        <v>153</v>
      </c>
      <c r="I20" s="34">
        <v>99.9999</v>
      </c>
      <c r="J20" s="33" t="s">
        <v>153</v>
      </c>
      <c r="K20" s="34">
        <v>99.9999</v>
      </c>
      <c r="L20" s="33"/>
      <c r="M20" s="34"/>
    </row>
    <row r="21" spans="2:13" ht="12.75">
      <c r="B21" s="10"/>
      <c r="C21" s="10"/>
      <c r="G21" s="33"/>
      <c r="H21" s="33"/>
      <c r="I21" s="34"/>
      <c r="J21" s="33"/>
      <c r="K21" s="33"/>
      <c r="L21" s="27"/>
      <c r="M21" s="35"/>
    </row>
    <row r="22" spans="2:13" ht="12.75">
      <c r="B22" s="10" t="s">
        <v>121</v>
      </c>
      <c r="C22" s="10" t="s">
        <v>111</v>
      </c>
      <c r="D22" s="10" t="s">
        <v>218</v>
      </c>
      <c r="L22" s="27"/>
      <c r="M22" s="36"/>
    </row>
    <row r="23" spans="2:13" ht="12.75">
      <c r="B23" s="10" t="s">
        <v>97</v>
      </c>
      <c r="C23" s="10"/>
      <c r="D23" s="10" t="s">
        <v>17</v>
      </c>
      <c r="G23" s="33">
        <v>16116</v>
      </c>
      <c r="H23" s="33"/>
      <c r="I23" s="34">
        <v>16548</v>
      </c>
      <c r="J23" s="14"/>
      <c r="K23" s="33">
        <v>15702</v>
      </c>
      <c r="L23" s="27"/>
      <c r="M23" s="35">
        <v>16122</v>
      </c>
    </row>
    <row r="24" spans="2:13" ht="12.75">
      <c r="B24" s="10" t="s">
        <v>115</v>
      </c>
      <c r="C24" s="10"/>
      <c r="D24" s="10" t="s">
        <v>18</v>
      </c>
      <c r="G24" s="33">
        <v>13.4</v>
      </c>
      <c r="H24" s="33"/>
      <c r="I24" s="34">
        <v>13.3</v>
      </c>
      <c r="J24" s="33"/>
      <c r="K24" s="33">
        <v>13.2</v>
      </c>
      <c r="M24" s="32">
        <v>13.3</v>
      </c>
    </row>
    <row r="25" spans="2:13" ht="12.75">
      <c r="B25" s="10" t="s">
        <v>116</v>
      </c>
      <c r="C25" s="10"/>
      <c r="D25" s="10" t="s">
        <v>18</v>
      </c>
      <c r="G25" s="33">
        <v>7.59</v>
      </c>
      <c r="H25" s="33"/>
      <c r="I25" s="34">
        <v>7.52</v>
      </c>
      <c r="J25" s="33"/>
      <c r="K25" s="33">
        <v>8.07</v>
      </c>
      <c r="M25" s="36">
        <v>7.73</v>
      </c>
    </row>
    <row r="26" spans="2:13" ht="12.75">
      <c r="B26" s="10" t="s">
        <v>96</v>
      </c>
      <c r="C26" s="10"/>
      <c r="D26" s="10" t="s">
        <v>19</v>
      </c>
      <c r="G26" s="33">
        <v>97</v>
      </c>
      <c r="H26" s="33"/>
      <c r="I26" s="34">
        <v>98</v>
      </c>
      <c r="J26" s="33"/>
      <c r="K26" s="33">
        <v>100</v>
      </c>
      <c r="M26" s="36">
        <v>98</v>
      </c>
    </row>
    <row r="27" spans="2:13" ht="12.75">
      <c r="B27" s="10"/>
      <c r="C27" s="10"/>
      <c r="G27" s="33"/>
      <c r="H27" s="33"/>
      <c r="I27" s="34"/>
      <c r="J27" s="33"/>
      <c r="K27" s="33"/>
      <c r="M27" s="36"/>
    </row>
    <row r="28" spans="2:13" ht="12.75">
      <c r="B28" s="10" t="s">
        <v>121</v>
      </c>
      <c r="C28" s="10" t="s">
        <v>57</v>
      </c>
      <c r="D28" s="10" t="s">
        <v>219</v>
      </c>
      <c r="G28" s="33"/>
      <c r="H28" s="33"/>
      <c r="I28" s="34"/>
      <c r="J28" s="33"/>
      <c r="K28" s="33"/>
      <c r="M28" s="36"/>
    </row>
    <row r="29" spans="2:13" ht="12.75">
      <c r="B29" s="10" t="s">
        <v>97</v>
      </c>
      <c r="C29" s="10"/>
      <c r="D29" s="10" t="s">
        <v>17</v>
      </c>
      <c r="G29" s="33">
        <v>16116</v>
      </c>
      <c r="H29" s="33"/>
      <c r="I29" s="34">
        <v>16548</v>
      </c>
      <c r="J29" s="33"/>
      <c r="K29" s="33">
        <v>15702</v>
      </c>
      <c r="M29" s="35">
        <f>AVERAGE(K29,G29,I29)</f>
        <v>16122</v>
      </c>
    </row>
    <row r="30" spans="2:13" ht="12.75">
      <c r="B30" s="10" t="s">
        <v>115</v>
      </c>
      <c r="C30" s="10"/>
      <c r="D30" s="10" t="s">
        <v>18</v>
      </c>
      <c r="G30" s="33"/>
      <c r="H30" s="33"/>
      <c r="I30" s="34"/>
      <c r="J30" s="33"/>
      <c r="K30" s="33"/>
      <c r="M30" s="36"/>
    </row>
    <row r="31" spans="2:13" ht="12.75">
      <c r="B31" s="10" t="s">
        <v>116</v>
      </c>
      <c r="C31" s="10"/>
      <c r="D31" s="10" t="s">
        <v>18</v>
      </c>
      <c r="G31" s="33"/>
      <c r="H31" s="33"/>
      <c r="I31" s="34"/>
      <c r="J31" s="33"/>
      <c r="K31" s="33"/>
      <c r="M31" s="36"/>
    </row>
    <row r="32" spans="2:13" ht="12.75">
      <c r="B32" s="10" t="s">
        <v>96</v>
      </c>
      <c r="C32" s="10"/>
      <c r="D32" s="10" t="s">
        <v>19</v>
      </c>
      <c r="G32" s="33"/>
      <c r="H32" s="33"/>
      <c r="I32" s="34"/>
      <c r="J32" s="33"/>
      <c r="K32" s="33"/>
      <c r="M32" s="36"/>
    </row>
    <row r="33" spans="2:13" ht="12.75">
      <c r="B33" s="10"/>
      <c r="C33" s="10"/>
      <c r="G33" s="33"/>
      <c r="H33" s="33"/>
      <c r="I33" s="34"/>
      <c r="J33" s="33"/>
      <c r="K33" s="33"/>
      <c r="L33" s="27"/>
      <c r="M33" s="35"/>
    </row>
    <row r="34" spans="2:13" ht="12.75">
      <c r="B34" s="10" t="s">
        <v>55</v>
      </c>
      <c r="C34" s="10" t="s">
        <v>218</v>
      </c>
      <c r="D34" s="10" t="s">
        <v>16</v>
      </c>
      <c r="E34" s="10" t="s">
        <v>15</v>
      </c>
      <c r="G34" s="11">
        <f>G9*(21-7)/(21-G$24)</f>
        <v>350</v>
      </c>
      <c r="H34" s="11"/>
      <c r="I34" s="11">
        <f>I9*(21-7)/(21-I$24)</f>
        <v>353.6363636363637</v>
      </c>
      <c r="J34" s="11"/>
      <c r="K34" s="11">
        <f>K9*(21-7)/(21-K$24)</f>
        <v>401.8717948717948</v>
      </c>
      <c r="L34" s="11"/>
      <c r="M34" s="32">
        <f>AVERAGE(K34,I34,G34)</f>
        <v>368.50271950271946</v>
      </c>
    </row>
    <row r="35" spans="2:13" ht="12.75">
      <c r="B35" s="10" t="s">
        <v>56</v>
      </c>
      <c r="C35" s="10" t="s">
        <v>218</v>
      </c>
      <c r="D35" s="10" t="s">
        <v>16</v>
      </c>
      <c r="E35" s="10" t="s">
        <v>15</v>
      </c>
      <c r="G35" s="11">
        <f>G10*(21-7)/(21-G$24)</f>
        <v>33.71052631578947</v>
      </c>
      <c r="H35" s="11"/>
      <c r="I35" s="11">
        <f>I10*(21-7)/(21-I$24)</f>
        <v>32.00000000000001</v>
      </c>
      <c r="J35" s="11"/>
      <c r="K35" s="11">
        <f>K10*(21-7)/(21-K$24)</f>
        <v>25.666666666666668</v>
      </c>
      <c r="L35" s="11"/>
      <c r="M35" s="32">
        <f>AVERAGE(K35,I35,G35)</f>
        <v>30.45906432748538</v>
      </c>
    </row>
    <row r="36" spans="2:13" ht="12.75">
      <c r="B36" s="10" t="s">
        <v>120</v>
      </c>
      <c r="C36" s="10" t="s">
        <v>218</v>
      </c>
      <c r="D36" s="10" t="s">
        <v>16</v>
      </c>
      <c r="E36" s="10" t="s">
        <v>15</v>
      </c>
      <c r="G36" s="12">
        <f>G34+G35*2</f>
        <v>417.42105263157896</v>
      </c>
      <c r="H36" s="12"/>
      <c r="I36" s="12">
        <f>I34+I35*2</f>
        <v>417.6363636363637</v>
      </c>
      <c r="J36" s="12"/>
      <c r="K36" s="12">
        <f>K34+K35*2</f>
        <v>453.2051282051281</v>
      </c>
      <c r="L36" s="12"/>
      <c r="M36" s="32">
        <f>AVERAGE(K36,I36,G36)</f>
        <v>429.4208481576902</v>
      </c>
    </row>
    <row r="37" spans="2:13" ht="13.5" customHeight="1">
      <c r="B37" s="10"/>
      <c r="C37" s="10"/>
      <c r="G37" s="33"/>
      <c r="H37" s="33"/>
      <c r="I37" s="34"/>
      <c r="J37" s="33"/>
      <c r="K37" s="33"/>
      <c r="M37" s="36"/>
    </row>
    <row r="38" spans="1:13" ht="12.75">
      <c r="A38" s="25">
        <v>2</v>
      </c>
      <c r="B38" s="29" t="s">
        <v>182</v>
      </c>
      <c r="C38" s="29" t="s">
        <v>110</v>
      </c>
      <c r="G38" s="27" t="s">
        <v>194</v>
      </c>
      <c r="H38" s="27"/>
      <c r="I38" s="28" t="s">
        <v>195</v>
      </c>
      <c r="J38" s="27"/>
      <c r="K38" s="27" t="s">
        <v>196</v>
      </c>
      <c r="L38" s="27"/>
      <c r="M38" s="25" t="s">
        <v>48</v>
      </c>
    </row>
    <row r="39" spans="2:13" ht="12.75">
      <c r="B39" s="10"/>
      <c r="C39" s="10"/>
      <c r="G39" s="33"/>
      <c r="H39" s="33"/>
      <c r="I39" s="34"/>
      <c r="J39" s="33"/>
      <c r="K39" s="33"/>
      <c r="M39" s="36"/>
    </row>
    <row r="40" spans="2:13" ht="12.75">
      <c r="B40" s="10" t="s">
        <v>13</v>
      </c>
      <c r="C40" s="10" t="s">
        <v>218</v>
      </c>
      <c r="D40" s="10" t="s">
        <v>14</v>
      </c>
      <c r="E40" s="10" t="s">
        <v>15</v>
      </c>
      <c r="G40" s="33">
        <v>0.006</v>
      </c>
      <c r="H40" s="33"/>
      <c r="I40" s="34">
        <v>0.0076</v>
      </c>
      <c r="J40" s="33"/>
      <c r="K40" s="33">
        <v>0.0086</v>
      </c>
      <c r="M40" s="31">
        <f>AVERAGE(K40,I40,G40)</f>
        <v>0.0073999999999999995</v>
      </c>
    </row>
    <row r="41" spans="2:13" ht="12.75">
      <c r="B41" s="10" t="s">
        <v>118</v>
      </c>
      <c r="C41" s="10" t="s">
        <v>218</v>
      </c>
      <c r="D41" s="10" t="s">
        <v>16</v>
      </c>
      <c r="E41" s="10" t="s">
        <v>15</v>
      </c>
      <c r="G41" s="33">
        <v>0.8</v>
      </c>
      <c r="H41" s="33"/>
      <c r="I41" s="34">
        <v>0.9</v>
      </c>
      <c r="J41" s="33"/>
      <c r="K41" s="33">
        <v>1.2</v>
      </c>
      <c r="M41" s="36">
        <f>AVERAGE(K41,I41,G41)</f>
        <v>0.9666666666666668</v>
      </c>
    </row>
    <row r="42" spans="2:13" ht="12.75">
      <c r="B42" s="10" t="s">
        <v>55</v>
      </c>
      <c r="C42" s="10"/>
      <c r="D42" s="10" t="s">
        <v>16</v>
      </c>
      <c r="E42" s="10" t="s">
        <v>240</v>
      </c>
      <c r="G42" s="33">
        <v>84.9</v>
      </c>
      <c r="H42" s="33"/>
      <c r="I42" s="34">
        <v>96.6</v>
      </c>
      <c r="J42" s="33"/>
      <c r="K42" s="33">
        <v>63</v>
      </c>
      <c r="M42" s="36"/>
    </row>
    <row r="43" spans="2:13" ht="12.75">
      <c r="B43" s="10" t="s">
        <v>56</v>
      </c>
      <c r="C43" s="10"/>
      <c r="D43" s="10" t="s">
        <v>16</v>
      </c>
      <c r="E43" s="10" t="s">
        <v>240</v>
      </c>
      <c r="G43" s="33">
        <v>1.3</v>
      </c>
      <c r="H43" s="33"/>
      <c r="I43" s="34">
        <v>1.6</v>
      </c>
      <c r="J43" s="33"/>
      <c r="K43" s="33">
        <v>1.2</v>
      </c>
      <c r="M43" s="32"/>
    </row>
    <row r="44" spans="2:13" ht="12.75">
      <c r="B44" s="10"/>
      <c r="C44" s="10"/>
      <c r="G44" s="33"/>
      <c r="H44" s="33"/>
      <c r="I44" s="34"/>
      <c r="J44" s="33"/>
      <c r="K44" s="33"/>
      <c r="M44" s="32"/>
    </row>
    <row r="45" spans="2:13" ht="12.75">
      <c r="B45" s="10" t="s">
        <v>140</v>
      </c>
      <c r="C45" s="10" t="s">
        <v>58</v>
      </c>
      <c r="G45" s="33"/>
      <c r="H45" s="33"/>
      <c r="I45" s="34"/>
      <c r="J45" s="33"/>
      <c r="K45" s="33"/>
      <c r="M45" s="36"/>
    </row>
    <row r="46" spans="2:13" ht="12.75">
      <c r="B46" s="10" t="s">
        <v>113</v>
      </c>
      <c r="C46" s="10"/>
      <c r="D46" s="10" t="s">
        <v>59</v>
      </c>
      <c r="G46" s="33">
        <v>20.01</v>
      </c>
      <c r="H46" s="33"/>
      <c r="I46" s="34">
        <v>20</v>
      </c>
      <c r="J46" s="33"/>
      <c r="K46" s="33">
        <v>19.99</v>
      </c>
      <c r="M46" s="36"/>
    </row>
    <row r="47" spans="2:13" ht="12.75">
      <c r="B47" s="10" t="s">
        <v>114</v>
      </c>
      <c r="C47" s="10" t="s">
        <v>219</v>
      </c>
      <c r="D47" s="10" t="s">
        <v>59</v>
      </c>
      <c r="F47" s="10" t="s">
        <v>29</v>
      </c>
      <c r="G47" s="37">
        <v>2.27E-05</v>
      </c>
      <c r="H47" s="10" t="s">
        <v>29</v>
      </c>
      <c r="I47" s="37">
        <v>1.17E-05</v>
      </c>
      <c r="J47" s="10" t="s">
        <v>29</v>
      </c>
      <c r="K47" s="37">
        <v>8.46E-06</v>
      </c>
      <c r="L47" s="10"/>
      <c r="M47" s="38"/>
    </row>
    <row r="48" spans="2:13" ht="12.75">
      <c r="B48" s="10" t="s">
        <v>57</v>
      </c>
      <c r="C48" s="10" t="s">
        <v>219</v>
      </c>
      <c r="D48" s="10" t="s">
        <v>18</v>
      </c>
      <c r="F48" s="10" t="s">
        <v>29</v>
      </c>
      <c r="G48" s="33">
        <v>99.9999</v>
      </c>
      <c r="H48" s="10" t="s">
        <v>29</v>
      </c>
      <c r="I48" s="33">
        <v>99.9999</v>
      </c>
      <c r="J48" s="10" t="s">
        <v>29</v>
      </c>
      <c r="K48" s="33">
        <v>99.9999</v>
      </c>
      <c r="L48" s="10"/>
      <c r="M48" s="33"/>
    </row>
    <row r="49" spans="2:13" ht="12.75">
      <c r="B49" s="10"/>
      <c r="C49" s="10"/>
      <c r="G49" s="33"/>
      <c r="H49" s="33"/>
      <c r="I49" s="34"/>
      <c r="J49" s="33"/>
      <c r="K49" s="33"/>
      <c r="M49" s="39"/>
    </row>
    <row r="50" spans="2:13" ht="12.75">
      <c r="B50" s="10" t="s">
        <v>140</v>
      </c>
      <c r="C50" s="10" t="s">
        <v>137</v>
      </c>
      <c r="G50" s="33"/>
      <c r="H50" s="33"/>
      <c r="I50" s="34"/>
      <c r="J50" s="33"/>
      <c r="K50" s="33"/>
      <c r="M50" s="36"/>
    </row>
    <row r="51" spans="2:13" ht="12.75">
      <c r="B51" s="10" t="s">
        <v>113</v>
      </c>
      <c r="C51" s="10"/>
      <c r="D51" s="10" t="s">
        <v>59</v>
      </c>
      <c r="G51" s="33">
        <v>57.284</v>
      </c>
      <c r="H51" s="33"/>
      <c r="I51" s="34">
        <v>53.069</v>
      </c>
      <c r="J51" s="33"/>
      <c r="K51" s="33">
        <v>53.062</v>
      </c>
      <c r="M51" s="36"/>
    </row>
    <row r="52" spans="2:13" ht="12.75">
      <c r="B52" s="10" t="s">
        <v>114</v>
      </c>
      <c r="C52" s="10" t="s">
        <v>219</v>
      </c>
      <c r="D52" s="10" t="s">
        <v>59</v>
      </c>
      <c r="F52" s="10" t="s">
        <v>29</v>
      </c>
      <c r="G52" s="37">
        <v>9.76E-06</v>
      </c>
      <c r="H52" s="10" t="s">
        <v>29</v>
      </c>
      <c r="I52" s="37">
        <v>9.8E-06</v>
      </c>
      <c r="J52" s="10" t="s">
        <v>29</v>
      </c>
      <c r="K52" s="37">
        <v>1.26E-05</v>
      </c>
      <c r="L52" s="10"/>
      <c r="M52" s="38"/>
    </row>
    <row r="53" spans="2:13" ht="12.75">
      <c r="B53" s="10" t="s">
        <v>57</v>
      </c>
      <c r="C53" s="10" t="s">
        <v>219</v>
      </c>
      <c r="D53" s="10" t="s">
        <v>18</v>
      </c>
      <c r="F53" s="10" t="s">
        <v>29</v>
      </c>
      <c r="G53" s="33">
        <v>99.9999</v>
      </c>
      <c r="H53" s="10" t="s">
        <v>29</v>
      </c>
      <c r="I53" s="34">
        <v>99.9999</v>
      </c>
      <c r="J53" s="10" t="s">
        <v>29</v>
      </c>
      <c r="K53" s="33">
        <v>99.9999</v>
      </c>
      <c r="L53" s="10"/>
      <c r="M53" s="36"/>
    </row>
    <row r="54" spans="2:13" ht="12.75">
      <c r="B54" s="10"/>
      <c r="C54" s="10"/>
      <c r="G54" s="33"/>
      <c r="H54" s="33"/>
      <c r="I54" s="34"/>
      <c r="J54" s="33"/>
      <c r="K54" s="33"/>
      <c r="M54" s="36"/>
    </row>
    <row r="55" spans="2:13" ht="12.75">
      <c r="B55" s="10" t="s">
        <v>121</v>
      </c>
      <c r="C55" s="10" t="s">
        <v>111</v>
      </c>
      <c r="D55" s="10" t="s">
        <v>218</v>
      </c>
      <c r="L55" s="27"/>
      <c r="M55" s="36"/>
    </row>
    <row r="56" spans="2:13" ht="12.75">
      <c r="B56" s="10" t="s">
        <v>97</v>
      </c>
      <c r="C56" s="10"/>
      <c r="D56" s="10" t="s">
        <v>17</v>
      </c>
      <c r="G56" s="33">
        <v>15503</v>
      </c>
      <c r="H56" s="33"/>
      <c r="I56" s="34">
        <v>15115</v>
      </c>
      <c r="J56" s="14"/>
      <c r="K56" s="33">
        <v>14000</v>
      </c>
      <c r="L56" s="27"/>
      <c r="M56" s="35">
        <v>14873</v>
      </c>
    </row>
    <row r="57" spans="2:13" ht="12.75">
      <c r="B57" s="10" t="s">
        <v>115</v>
      </c>
      <c r="C57" s="10"/>
      <c r="D57" s="10" t="s">
        <v>18</v>
      </c>
      <c r="G57" s="33">
        <v>8.7</v>
      </c>
      <c r="H57" s="33"/>
      <c r="I57" s="34">
        <v>8.7</v>
      </c>
      <c r="J57" s="33"/>
      <c r="K57" s="33">
        <v>8.6</v>
      </c>
      <c r="M57" s="32">
        <v>8.7</v>
      </c>
    </row>
    <row r="58" spans="2:13" ht="12.75">
      <c r="B58" s="10" t="s">
        <v>116</v>
      </c>
      <c r="C58" s="10"/>
      <c r="D58" s="10" t="s">
        <v>18</v>
      </c>
      <c r="G58" s="33">
        <v>15.55</v>
      </c>
      <c r="H58" s="33"/>
      <c r="I58" s="34">
        <v>15.39</v>
      </c>
      <c r="J58" s="33"/>
      <c r="K58" s="33">
        <v>15.34</v>
      </c>
      <c r="M58" s="36">
        <v>15.43</v>
      </c>
    </row>
    <row r="59" spans="2:13" ht="12.75">
      <c r="B59" s="10" t="s">
        <v>96</v>
      </c>
      <c r="C59" s="10"/>
      <c r="D59" s="10" t="s">
        <v>19</v>
      </c>
      <c r="G59" s="33">
        <v>126</v>
      </c>
      <c r="H59" s="33"/>
      <c r="I59" s="34">
        <v>128</v>
      </c>
      <c r="J59" s="33"/>
      <c r="K59" s="33">
        <v>128</v>
      </c>
      <c r="M59" s="36">
        <v>127</v>
      </c>
    </row>
    <row r="60" spans="2:13" ht="12.75">
      <c r="B60" s="10"/>
      <c r="C60" s="10"/>
      <c r="G60" s="33"/>
      <c r="H60" s="33"/>
      <c r="I60" s="34"/>
      <c r="J60" s="33"/>
      <c r="K60" s="33"/>
      <c r="M60" s="36"/>
    </row>
    <row r="61" spans="2:13" ht="12.75">
      <c r="B61" s="10" t="s">
        <v>121</v>
      </c>
      <c r="C61" s="10" t="s">
        <v>57</v>
      </c>
      <c r="D61" s="10" t="s">
        <v>219</v>
      </c>
      <c r="G61" s="33"/>
      <c r="H61" s="33"/>
      <c r="I61" s="34"/>
      <c r="J61" s="33"/>
      <c r="K61" s="33"/>
      <c r="M61" s="36"/>
    </row>
    <row r="62" spans="2:13" ht="12.75">
      <c r="B62" s="10" t="s">
        <v>97</v>
      </c>
      <c r="C62" s="10"/>
      <c r="D62" s="10" t="s">
        <v>17</v>
      </c>
      <c r="G62" s="33">
        <v>15503</v>
      </c>
      <c r="H62" s="33"/>
      <c r="I62" s="34">
        <v>15115</v>
      </c>
      <c r="J62" s="33"/>
      <c r="K62" s="33">
        <v>14000</v>
      </c>
      <c r="M62" s="35">
        <f>AVERAGE(K62,G62,I62)</f>
        <v>14872.666666666666</v>
      </c>
    </row>
    <row r="63" spans="2:13" ht="12.75">
      <c r="B63" s="10" t="s">
        <v>115</v>
      </c>
      <c r="C63" s="10"/>
      <c r="D63" s="10" t="s">
        <v>18</v>
      </c>
      <c r="G63" s="33"/>
      <c r="H63" s="33"/>
      <c r="I63" s="34"/>
      <c r="J63" s="33"/>
      <c r="K63" s="33"/>
      <c r="M63" s="36"/>
    </row>
    <row r="64" spans="2:13" ht="12.75">
      <c r="B64" s="10" t="s">
        <v>116</v>
      </c>
      <c r="C64" s="10"/>
      <c r="D64" s="10" t="s">
        <v>18</v>
      </c>
      <c r="G64" s="33"/>
      <c r="H64" s="33"/>
      <c r="I64" s="34"/>
      <c r="J64" s="33"/>
      <c r="K64" s="33"/>
      <c r="M64" s="36"/>
    </row>
    <row r="65" spans="2:13" ht="12.75">
      <c r="B65" s="10" t="s">
        <v>96</v>
      </c>
      <c r="C65" s="10"/>
      <c r="D65" s="10" t="s">
        <v>19</v>
      </c>
      <c r="G65" s="33"/>
      <c r="H65" s="33"/>
      <c r="I65" s="34"/>
      <c r="J65" s="33"/>
      <c r="K65" s="33"/>
      <c r="M65" s="36"/>
    </row>
    <row r="66" spans="2:13" ht="12.75">
      <c r="B66" s="10"/>
      <c r="C66" s="10"/>
      <c r="G66" s="33"/>
      <c r="H66" s="33"/>
      <c r="I66" s="34"/>
      <c r="J66" s="33"/>
      <c r="K66" s="33"/>
      <c r="M66" s="32"/>
    </row>
    <row r="67" spans="2:13" ht="12.75">
      <c r="B67" s="10" t="s">
        <v>55</v>
      </c>
      <c r="C67" s="10" t="s">
        <v>218</v>
      </c>
      <c r="D67" s="10" t="s">
        <v>16</v>
      </c>
      <c r="E67" s="10" t="s">
        <v>15</v>
      </c>
      <c r="G67" s="11">
        <f>G42*(21-7)/(21-G$57)</f>
        <v>96.63414634146342</v>
      </c>
      <c r="H67" s="11"/>
      <c r="I67" s="11">
        <f>I42*(21-7)/(21-I$57)</f>
        <v>109.95121951219511</v>
      </c>
      <c r="J67" s="11"/>
      <c r="K67" s="11">
        <f>K42*(21-7)/(21-K$57)</f>
        <v>71.12903225806451</v>
      </c>
      <c r="L67" s="11"/>
      <c r="M67" s="12">
        <f>AVERAGE(G67,I67,K67)</f>
        <v>92.57146603724101</v>
      </c>
    </row>
    <row r="68" spans="2:13" ht="12.75">
      <c r="B68" s="10" t="s">
        <v>56</v>
      </c>
      <c r="C68" s="10" t="s">
        <v>218</v>
      </c>
      <c r="D68" s="10" t="s">
        <v>16</v>
      </c>
      <c r="E68" s="10" t="s">
        <v>15</v>
      </c>
      <c r="G68" s="11">
        <f>G43*(21-7)/(21-G$57)</f>
        <v>1.4796747967479673</v>
      </c>
      <c r="H68" s="11"/>
      <c r="I68" s="11">
        <f>I43*(21-7)/(21-I$57)</f>
        <v>1.821138211382114</v>
      </c>
      <c r="J68" s="11"/>
      <c r="K68" s="11">
        <f>K43*(21-7)/(21-K$57)</f>
        <v>1.3548387096774195</v>
      </c>
      <c r="L68" s="11"/>
      <c r="M68" s="12">
        <f>AVERAGE(G68,I68,K68)</f>
        <v>1.5518839059358338</v>
      </c>
    </row>
    <row r="69" spans="2:13" ht="12.75">
      <c r="B69" s="10" t="s">
        <v>120</v>
      </c>
      <c r="C69" s="10" t="s">
        <v>218</v>
      </c>
      <c r="D69" s="10" t="s">
        <v>16</v>
      </c>
      <c r="E69" s="10" t="s">
        <v>15</v>
      </c>
      <c r="G69" s="12">
        <f>G67+G68*2</f>
        <v>99.59349593495935</v>
      </c>
      <c r="H69" s="12"/>
      <c r="I69" s="12">
        <f>I67+I68*2</f>
        <v>113.59349593495934</v>
      </c>
      <c r="J69" s="12"/>
      <c r="K69" s="12">
        <f>K67+K68*2</f>
        <v>73.83870967741935</v>
      </c>
      <c r="L69" s="12"/>
      <c r="M69" s="12">
        <f>AVERAGE(G69,I69,K69)</f>
        <v>95.67523384911267</v>
      </c>
    </row>
    <row r="70" spans="2:13" ht="12.75">
      <c r="B70" s="10"/>
      <c r="C70" s="10"/>
      <c r="G70" s="33"/>
      <c r="H70" s="33"/>
      <c r="I70" s="34"/>
      <c r="J70" s="33"/>
      <c r="K70" s="33"/>
      <c r="M70" s="32"/>
    </row>
    <row r="71" spans="2:13" ht="12.75">
      <c r="B71" s="10"/>
      <c r="C71" s="10"/>
      <c r="G71" s="33"/>
      <c r="H71" s="33"/>
      <c r="I71" s="34"/>
      <c r="J71" s="33"/>
      <c r="K71" s="33"/>
      <c r="M71" s="32"/>
    </row>
    <row r="72" spans="1:13" ht="12.75">
      <c r="A72" s="25">
        <v>3</v>
      </c>
      <c r="B72" s="29" t="s">
        <v>177</v>
      </c>
      <c r="C72" s="29" t="s">
        <v>112</v>
      </c>
      <c r="G72" s="27" t="s">
        <v>194</v>
      </c>
      <c r="H72" s="27"/>
      <c r="I72" s="28" t="s">
        <v>195</v>
      </c>
      <c r="J72" s="27"/>
      <c r="K72" s="27" t="s">
        <v>196</v>
      </c>
      <c r="L72" s="27"/>
      <c r="M72" s="25" t="s">
        <v>48</v>
      </c>
    </row>
    <row r="73" spans="2:13" ht="12.75">
      <c r="B73" s="29"/>
      <c r="C73" s="29"/>
      <c r="G73" s="27"/>
      <c r="H73" s="27"/>
      <c r="I73" s="28"/>
      <c r="J73" s="27"/>
      <c r="K73" s="27"/>
      <c r="L73" s="27"/>
      <c r="M73" s="36"/>
    </row>
    <row r="74" spans="2:13" ht="12.75">
      <c r="B74" s="10" t="s">
        <v>13</v>
      </c>
      <c r="C74" s="10" t="s">
        <v>218</v>
      </c>
      <c r="D74" s="10" t="s">
        <v>14</v>
      </c>
      <c r="E74" s="10" t="s">
        <v>15</v>
      </c>
      <c r="G74" s="33">
        <v>0.0055</v>
      </c>
      <c r="H74" s="33"/>
      <c r="I74" s="34">
        <v>0.0024</v>
      </c>
      <c r="J74" s="33"/>
      <c r="K74" s="33">
        <v>0.0048</v>
      </c>
      <c r="L74" s="33"/>
      <c r="M74" s="13">
        <f>AVERAGE(G74,I74,K74)</f>
        <v>0.004233333333333333</v>
      </c>
    </row>
    <row r="75" spans="2:13" ht="12.75">
      <c r="B75" s="10" t="s">
        <v>118</v>
      </c>
      <c r="C75" s="10" t="s">
        <v>218</v>
      </c>
      <c r="D75" s="10" t="s">
        <v>16</v>
      </c>
      <c r="E75" s="10" t="s">
        <v>15</v>
      </c>
      <c r="G75" s="33">
        <v>2.1</v>
      </c>
      <c r="H75" s="33"/>
      <c r="I75" s="34">
        <v>0.4</v>
      </c>
      <c r="J75" s="33"/>
      <c r="K75" s="33">
        <v>1.4</v>
      </c>
      <c r="L75" s="33"/>
      <c r="M75" s="12">
        <f>AVERAGE(G75,I75,K75)</f>
        <v>1.3</v>
      </c>
    </row>
    <row r="76" spans="2:13" ht="12.75">
      <c r="B76" s="10" t="s">
        <v>55</v>
      </c>
      <c r="C76" s="10"/>
      <c r="D76" s="10" t="s">
        <v>16</v>
      </c>
      <c r="E76" s="10" t="s">
        <v>240</v>
      </c>
      <c r="G76" s="33">
        <v>33.6</v>
      </c>
      <c r="H76" s="33"/>
      <c r="I76" s="34">
        <v>44.8</v>
      </c>
      <c r="J76" s="33"/>
      <c r="K76" s="33">
        <v>48.6</v>
      </c>
      <c r="L76" s="33"/>
      <c r="M76" s="12"/>
    </row>
    <row r="77" spans="2:13" ht="12.75">
      <c r="B77" s="10" t="s">
        <v>56</v>
      </c>
      <c r="C77" s="10"/>
      <c r="D77" s="10" t="s">
        <v>16</v>
      </c>
      <c r="E77" s="10" t="s">
        <v>240</v>
      </c>
      <c r="G77" s="33">
        <v>3.5</v>
      </c>
      <c r="H77" s="33"/>
      <c r="I77" s="34">
        <v>9.2</v>
      </c>
      <c r="J77" s="33"/>
      <c r="K77" s="33">
        <v>3</v>
      </c>
      <c r="L77" s="33"/>
      <c r="M77" s="12"/>
    </row>
    <row r="78" spans="2:13" ht="12.75">
      <c r="B78" s="10"/>
      <c r="C78" s="10"/>
      <c r="G78" s="33"/>
      <c r="H78" s="33"/>
      <c r="I78" s="34"/>
      <c r="J78" s="33"/>
      <c r="K78" s="33"/>
      <c r="L78" s="33"/>
      <c r="M78" s="12"/>
    </row>
    <row r="79" spans="2:13" ht="12.75">
      <c r="B79" s="10" t="s">
        <v>121</v>
      </c>
      <c r="C79" s="10" t="s">
        <v>111</v>
      </c>
      <c r="D79" s="10" t="s">
        <v>218</v>
      </c>
      <c r="G79" s="33"/>
      <c r="H79" s="33"/>
      <c r="I79" s="34"/>
      <c r="J79" s="33"/>
      <c r="K79" s="33"/>
      <c r="L79" s="33"/>
      <c r="M79" s="12"/>
    </row>
    <row r="80" spans="2:13" ht="12.75">
      <c r="B80" s="10" t="s">
        <v>97</v>
      </c>
      <c r="C80" s="10"/>
      <c r="D80" s="10" t="s">
        <v>17</v>
      </c>
      <c r="G80" s="33">
        <v>15953</v>
      </c>
      <c r="H80" s="33"/>
      <c r="I80" s="34">
        <v>16857</v>
      </c>
      <c r="J80" s="33"/>
      <c r="K80" s="33">
        <v>16088</v>
      </c>
      <c r="L80" s="33"/>
      <c r="M80" s="14">
        <v>16299</v>
      </c>
    </row>
    <row r="81" spans="2:13" ht="12.75">
      <c r="B81" s="10" t="s">
        <v>115</v>
      </c>
      <c r="C81" s="10"/>
      <c r="D81" s="10" t="s">
        <v>18</v>
      </c>
      <c r="G81" s="33">
        <v>8.8</v>
      </c>
      <c r="H81" s="33"/>
      <c r="I81" s="34">
        <v>9.7</v>
      </c>
      <c r="J81" s="33"/>
      <c r="K81" s="33">
        <v>8.7</v>
      </c>
      <c r="L81" s="33"/>
      <c r="M81" s="11">
        <v>9.1</v>
      </c>
    </row>
    <row r="82" spans="2:13" ht="12.75">
      <c r="B82" s="10" t="s">
        <v>116</v>
      </c>
      <c r="C82" s="10"/>
      <c r="D82" s="10" t="s">
        <v>18</v>
      </c>
      <c r="G82" s="33">
        <v>13.55</v>
      </c>
      <c r="H82" s="33"/>
      <c r="I82" s="34">
        <v>9.51</v>
      </c>
      <c r="J82" s="33"/>
      <c r="K82" s="33">
        <v>11.32</v>
      </c>
      <c r="L82" s="33"/>
      <c r="M82" s="11">
        <v>11.46</v>
      </c>
    </row>
    <row r="83" spans="2:13" ht="12.75">
      <c r="B83" s="10" t="s">
        <v>96</v>
      </c>
      <c r="C83" s="10"/>
      <c r="D83" s="10" t="s">
        <v>19</v>
      </c>
      <c r="E83" s="20"/>
      <c r="F83" s="20"/>
      <c r="G83" s="33">
        <v>125</v>
      </c>
      <c r="H83" s="20"/>
      <c r="I83" s="34">
        <v>111</v>
      </c>
      <c r="J83" s="20"/>
      <c r="K83" s="33">
        <v>117</v>
      </c>
      <c r="L83" s="27"/>
      <c r="M83" s="32">
        <v>118</v>
      </c>
    </row>
    <row r="84" spans="2:13" ht="12.75">
      <c r="B84" s="10"/>
      <c r="C84" s="10"/>
      <c r="G84" s="33"/>
      <c r="H84" s="33"/>
      <c r="I84" s="34"/>
      <c r="J84" s="33"/>
      <c r="K84" s="33"/>
      <c r="M84" s="36"/>
    </row>
    <row r="85" spans="2:13" ht="12.75">
      <c r="B85" s="10" t="s">
        <v>121</v>
      </c>
      <c r="C85" s="10" t="s">
        <v>85</v>
      </c>
      <c r="D85" s="10" t="s">
        <v>219</v>
      </c>
      <c r="G85" s="33"/>
      <c r="H85" s="33"/>
      <c r="I85" s="34"/>
      <c r="J85" s="33"/>
      <c r="K85" s="33"/>
      <c r="M85" s="36"/>
    </row>
    <row r="86" spans="2:13" ht="12.75">
      <c r="B86" s="10" t="s">
        <v>97</v>
      </c>
      <c r="C86" s="10"/>
      <c r="D86" s="10" t="s">
        <v>17</v>
      </c>
      <c r="G86" s="33">
        <v>14794</v>
      </c>
      <c r="H86" s="33"/>
      <c r="I86" s="34">
        <v>17148</v>
      </c>
      <c r="J86" s="33"/>
      <c r="K86" s="33">
        <v>16359</v>
      </c>
      <c r="M86" s="32">
        <v>16100</v>
      </c>
    </row>
    <row r="87" spans="2:13" ht="12.75">
      <c r="B87" s="10" t="s">
        <v>115</v>
      </c>
      <c r="C87" s="10"/>
      <c r="D87" s="10" t="s">
        <v>18</v>
      </c>
      <c r="G87" s="33">
        <v>9.7</v>
      </c>
      <c r="H87" s="33"/>
      <c r="I87" s="34">
        <v>9.5</v>
      </c>
      <c r="J87" s="33"/>
      <c r="K87" s="33">
        <v>8.7</v>
      </c>
      <c r="M87" s="32">
        <v>9.3</v>
      </c>
    </row>
    <row r="88" spans="2:13" ht="12.75">
      <c r="B88" s="10" t="s">
        <v>116</v>
      </c>
      <c r="C88" s="10"/>
      <c r="D88" s="10" t="s">
        <v>18</v>
      </c>
      <c r="G88" s="33">
        <v>14.13</v>
      </c>
      <c r="H88" s="33"/>
      <c r="I88" s="34">
        <v>10.45</v>
      </c>
      <c r="J88" s="14"/>
      <c r="K88" s="33">
        <v>12.97</v>
      </c>
      <c r="M88" s="25">
        <v>12.52</v>
      </c>
    </row>
    <row r="89" spans="2:13" ht="12.75">
      <c r="B89" s="10" t="s">
        <v>96</v>
      </c>
      <c r="C89" s="10"/>
      <c r="D89" s="10" t="s">
        <v>19</v>
      </c>
      <c r="G89" s="33">
        <v>123</v>
      </c>
      <c r="H89" s="33"/>
      <c r="I89" s="34">
        <v>112</v>
      </c>
      <c r="J89" s="33"/>
      <c r="K89" s="33">
        <v>117</v>
      </c>
      <c r="M89" s="25">
        <v>117</v>
      </c>
    </row>
    <row r="90" spans="2:13" ht="12.75">
      <c r="B90" s="10"/>
      <c r="C90" s="10"/>
      <c r="G90" s="33"/>
      <c r="H90" s="33"/>
      <c r="I90" s="34"/>
      <c r="J90" s="33"/>
      <c r="K90" s="33"/>
      <c r="L90" s="33"/>
      <c r="M90" s="12"/>
    </row>
    <row r="91" spans="2:13" ht="12.75">
      <c r="B91" s="10" t="s">
        <v>55</v>
      </c>
      <c r="C91" s="10" t="s">
        <v>218</v>
      </c>
      <c r="D91" s="10" t="s">
        <v>16</v>
      </c>
      <c r="E91" s="10" t="s">
        <v>15</v>
      </c>
      <c r="G91" s="11">
        <f>G76*(21-7)/(21-G$81)</f>
        <v>38.55737704918033</v>
      </c>
      <c r="H91" s="33"/>
      <c r="I91" s="11">
        <f>I76*(21-7)/(21-I$81)</f>
        <v>55.504424778761056</v>
      </c>
      <c r="J91" s="33"/>
      <c r="K91" s="11">
        <f>K76*(21-7)/(21-K$81)</f>
        <v>55.3170731707317</v>
      </c>
      <c r="L91" s="33"/>
      <c r="M91" s="12">
        <f>AVERAGE(G91,I91,K91)</f>
        <v>49.79295833289103</v>
      </c>
    </row>
    <row r="92" spans="2:13" ht="12.75">
      <c r="B92" s="10" t="s">
        <v>56</v>
      </c>
      <c r="C92" s="10" t="s">
        <v>218</v>
      </c>
      <c r="D92" s="10" t="s">
        <v>16</v>
      </c>
      <c r="E92" s="10" t="s">
        <v>15</v>
      </c>
      <c r="G92" s="11">
        <f>G77*(21-7)/(21-G$81)</f>
        <v>4.016393442622951</v>
      </c>
      <c r="H92" s="33"/>
      <c r="I92" s="11">
        <f>I77*(21-7)/(21-I$81)</f>
        <v>11.398230088495573</v>
      </c>
      <c r="J92" s="33"/>
      <c r="K92" s="11">
        <f>K77*(21-7)/(21-K$81)</f>
        <v>3.4146341463414633</v>
      </c>
      <c r="L92" s="33"/>
      <c r="M92" s="12">
        <f>AVERAGE(G92,I92,K92)</f>
        <v>6.276419225819996</v>
      </c>
    </row>
    <row r="93" spans="2:13" ht="12.75">
      <c r="B93" s="10" t="s">
        <v>120</v>
      </c>
      <c r="C93" s="10" t="s">
        <v>218</v>
      </c>
      <c r="D93" s="10" t="s">
        <v>16</v>
      </c>
      <c r="E93" s="10" t="s">
        <v>15</v>
      </c>
      <c r="G93" s="12">
        <f>G91+G92*2</f>
        <v>46.59016393442623</v>
      </c>
      <c r="H93" s="33"/>
      <c r="I93" s="12">
        <f>I91+I92*2</f>
        <v>78.3008849557522</v>
      </c>
      <c r="J93" s="33"/>
      <c r="K93" s="12">
        <f>K91+K92*2</f>
        <v>62.14634146341463</v>
      </c>
      <c r="L93" s="33"/>
      <c r="M93" s="12">
        <f>AVERAGE(G93,I93,K93)</f>
        <v>62.34579678453102</v>
      </c>
    </row>
    <row r="94" spans="2:11" ht="12.75">
      <c r="B94" s="10"/>
      <c r="C94" s="10"/>
      <c r="G94" s="33"/>
      <c r="H94" s="33"/>
      <c r="I94" s="34"/>
      <c r="J94" s="33"/>
      <c r="K94" s="33"/>
    </row>
    <row r="95" spans="2:11" ht="12.75">
      <c r="B95" s="10"/>
      <c r="C95" s="10"/>
      <c r="G95" s="33"/>
      <c r="H95" s="33"/>
      <c r="I95" s="34"/>
      <c r="J95" s="33"/>
      <c r="K95" s="33"/>
    </row>
    <row r="96" spans="2:3" ht="12.75">
      <c r="B96" s="10"/>
      <c r="C96" s="10"/>
    </row>
    <row r="97" spans="2:11" ht="12.75">
      <c r="B97" s="29"/>
      <c r="C97" s="29"/>
      <c r="G97" s="27"/>
      <c r="H97" s="27"/>
      <c r="I97" s="28"/>
      <c r="J97" s="27"/>
      <c r="K97" s="27"/>
    </row>
    <row r="98" spans="2:11" ht="12.75">
      <c r="B98" s="10"/>
      <c r="C98" s="10"/>
      <c r="D98" s="20"/>
      <c r="E98" s="20"/>
      <c r="F98" s="20"/>
      <c r="G98" s="20"/>
      <c r="H98" s="20"/>
      <c r="I98" s="30"/>
      <c r="J98" s="20"/>
      <c r="K98" s="20"/>
    </row>
    <row r="99" spans="2:11" ht="12.75">
      <c r="B99" s="10"/>
      <c r="C99" s="10"/>
      <c r="G99" s="33"/>
      <c r="H99" s="33"/>
      <c r="I99" s="34"/>
      <c r="J99" s="33"/>
      <c r="K99" s="33"/>
    </row>
    <row r="100" spans="2:11" ht="12.75">
      <c r="B100" s="10"/>
      <c r="C100" s="10"/>
      <c r="G100" s="33"/>
      <c r="H100" s="33"/>
      <c r="I100" s="34"/>
      <c r="J100" s="33"/>
      <c r="K100" s="33"/>
    </row>
    <row r="101" spans="2:11" ht="12.75">
      <c r="B101" s="10"/>
      <c r="C101" s="10"/>
      <c r="G101" s="33"/>
      <c r="H101" s="33"/>
      <c r="I101" s="34"/>
      <c r="J101" s="33"/>
      <c r="K101" s="33"/>
    </row>
    <row r="102" spans="2:11" ht="12.75">
      <c r="B102" s="10"/>
      <c r="C102" s="10"/>
      <c r="G102" s="33"/>
      <c r="H102" s="33"/>
      <c r="I102" s="34"/>
      <c r="J102" s="33"/>
      <c r="K102" s="33"/>
    </row>
    <row r="103" spans="2:11" ht="12.75">
      <c r="B103" s="10"/>
      <c r="C103" s="10"/>
      <c r="G103" s="33"/>
      <c r="H103" s="33"/>
      <c r="I103" s="34"/>
      <c r="J103" s="33"/>
      <c r="K103" s="33"/>
    </row>
    <row r="104" spans="2:11" ht="12.75">
      <c r="B104" s="10"/>
      <c r="C104" s="10"/>
      <c r="G104" s="33"/>
      <c r="H104" s="33"/>
      <c r="I104" s="34"/>
      <c r="J104" s="33"/>
      <c r="K104" s="33"/>
    </row>
    <row r="105" spans="2:11" ht="12.75">
      <c r="B105" s="10"/>
      <c r="C105" s="10"/>
      <c r="G105" s="33"/>
      <c r="H105" s="33"/>
      <c r="I105" s="34"/>
      <c r="J105" s="33"/>
      <c r="K105" s="33"/>
    </row>
    <row r="106" spans="2:11" ht="12.75">
      <c r="B106" s="10"/>
      <c r="C106" s="10"/>
      <c r="G106" s="33"/>
      <c r="H106" s="33"/>
      <c r="I106" s="34"/>
      <c r="J106" s="33"/>
      <c r="K106" s="33"/>
    </row>
    <row r="107" spans="2:11" ht="12.75">
      <c r="B107" s="10"/>
      <c r="C107" s="10"/>
      <c r="G107" s="33"/>
      <c r="H107" s="33"/>
      <c r="I107" s="34"/>
      <c r="J107" s="14"/>
      <c r="K107" s="33"/>
    </row>
    <row r="108" spans="2:11" ht="12.75">
      <c r="B108" s="10"/>
      <c r="C108" s="10"/>
      <c r="G108" s="33"/>
      <c r="H108" s="33"/>
      <c r="I108" s="34"/>
      <c r="J108" s="33"/>
      <c r="K108" s="33"/>
    </row>
    <row r="109" spans="2:11" ht="12.75">
      <c r="B109" s="10"/>
      <c r="C109" s="10"/>
      <c r="G109" s="33"/>
      <c r="H109" s="33"/>
      <c r="I109" s="34"/>
      <c r="J109" s="33"/>
      <c r="K109" s="33"/>
    </row>
    <row r="110" spans="2:11" ht="12.75">
      <c r="B110" s="10"/>
      <c r="C110" s="10"/>
      <c r="G110" s="33"/>
      <c r="H110" s="33"/>
      <c r="I110" s="34"/>
      <c r="J110" s="33"/>
      <c r="K110" s="33"/>
    </row>
    <row r="111" spans="2:3" ht="12.75">
      <c r="B111" s="10"/>
      <c r="C111" s="10"/>
    </row>
    <row r="112" spans="2:11" ht="12.75">
      <c r="B112" s="10"/>
      <c r="C112" s="10"/>
      <c r="G112" s="33"/>
      <c r="H112" s="33"/>
      <c r="I112" s="34"/>
      <c r="J112" s="33"/>
      <c r="K112" s="33"/>
    </row>
    <row r="113" spans="2:11" ht="12.75">
      <c r="B113" s="10"/>
      <c r="C113" s="10"/>
      <c r="G113" s="33"/>
      <c r="H113" s="33"/>
      <c r="I113" s="34"/>
      <c r="J113" s="14"/>
      <c r="K113" s="33"/>
    </row>
    <row r="114" spans="2:11" ht="12.75">
      <c r="B114" s="10"/>
      <c r="C114" s="10"/>
      <c r="G114" s="33"/>
      <c r="H114" s="33"/>
      <c r="I114" s="34"/>
      <c r="J114" s="33"/>
      <c r="K114" s="33"/>
    </row>
    <row r="115" spans="2:11" ht="12.75">
      <c r="B115" s="10"/>
      <c r="C115" s="10"/>
      <c r="G115" s="33"/>
      <c r="H115" s="33"/>
      <c r="I115" s="34"/>
      <c r="J115" s="33"/>
      <c r="K115" s="33"/>
    </row>
    <row r="116" spans="2:11" ht="12.75">
      <c r="B116" s="10"/>
      <c r="C116" s="10"/>
      <c r="G116" s="33"/>
      <c r="H116" s="33"/>
      <c r="I116" s="34"/>
      <c r="J116" s="33"/>
      <c r="K116" s="33"/>
    </row>
    <row r="117" spans="7:11" ht="12.75">
      <c r="G117" s="38"/>
      <c r="K117" s="38"/>
    </row>
    <row r="119" spans="2:3" ht="12.75">
      <c r="B119" s="24"/>
      <c r="C119" s="24"/>
    </row>
    <row r="120" spans="2:3" ht="12.75">
      <c r="B120" s="10"/>
      <c r="C120" s="10"/>
    </row>
    <row r="121" spans="2:3" ht="12.75">
      <c r="B121" s="29"/>
      <c r="C121" s="29"/>
    </row>
    <row r="122" spans="2:3" ht="12.75">
      <c r="B122" s="10"/>
      <c r="C122" s="10"/>
    </row>
    <row r="123" spans="2:9" ht="12.75">
      <c r="B123" s="10"/>
      <c r="C123" s="10"/>
      <c r="G123" s="33"/>
      <c r="I123" s="34"/>
    </row>
    <row r="124" spans="2:9" ht="12.75">
      <c r="B124" s="10"/>
      <c r="C124" s="10"/>
      <c r="G124" s="33"/>
      <c r="I124" s="34"/>
    </row>
    <row r="125" spans="7:9" ht="12.75">
      <c r="G125" s="33"/>
      <c r="I125" s="34"/>
    </row>
    <row r="126" spans="2:11" ht="12.75">
      <c r="B126" s="10"/>
      <c r="C126" s="10"/>
      <c r="G126" s="33"/>
      <c r="H126" s="27"/>
      <c r="I126" s="34"/>
      <c r="J126" s="27"/>
      <c r="K126" s="33"/>
    </row>
    <row r="127" spans="7:9" ht="12.75">
      <c r="G127" s="33"/>
      <c r="I127" s="34"/>
    </row>
    <row r="128" spans="2:9" ht="12.75">
      <c r="B128" s="10"/>
      <c r="C128" s="10"/>
      <c r="G128" s="33"/>
      <c r="I128" s="34"/>
    </row>
    <row r="129" spans="2:9" ht="12.75">
      <c r="B129" s="10"/>
      <c r="C129" s="10"/>
      <c r="G129" s="33"/>
      <c r="I129" s="34"/>
    </row>
    <row r="130" spans="2:9" ht="12.75">
      <c r="B130" s="10"/>
      <c r="C130" s="10"/>
      <c r="G130" s="33"/>
      <c r="I130" s="34"/>
    </row>
    <row r="131" spans="2:9" ht="12.75">
      <c r="B131" s="10"/>
      <c r="C131" s="10"/>
      <c r="G131" s="33"/>
      <c r="I131" s="34"/>
    </row>
    <row r="132" spans="7:9" ht="12.75">
      <c r="G132" s="33"/>
      <c r="I132" s="34"/>
    </row>
    <row r="133" spans="2:11" ht="12.75">
      <c r="B133" s="24"/>
      <c r="C133" s="24"/>
      <c r="G133" s="27"/>
      <c r="H133" s="27"/>
      <c r="I133" s="28"/>
      <c r="J133" s="27"/>
      <c r="K133" s="27"/>
    </row>
    <row r="136" spans="7:11" ht="12.75">
      <c r="G136" s="38"/>
      <c r="K136" s="38"/>
    </row>
    <row r="137" spans="7:11" ht="12.75">
      <c r="G137" s="38"/>
      <c r="K137" s="38"/>
    </row>
    <row r="138" spans="7:11" ht="12.75">
      <c r="G138" s="38"/>
      <c r="K138" s="38"/>
    </row>
    <row r="139" spans="7:11" ht="12.75">
      <c r="G139" s="38"/>
      <c r="K139" s="38"/>
    </row>
    <row r="140" spans="7:11" ht="12.75">
      <c r="G140" s="38"/>
      <c r="K140" s="38"/>
    </row>
    <row r="141" spans="7:11" ht="12.75">
      <c r="G141" s="38"/>
      <c r="K141" s="38"/>
    </row>
    <row r="142" spans="7:11" ht="12.75">
      <c r="G142" s="38"/>
      <c r="K142" s="38"/>
    </row>
    <row r="143" spans="7:11" ht="12.75">
      <c r="G143" s="38"/>
      <c r="K143" s="38"/>
    </row>
    <row r="144" spans="7:11" ht="12.75">
      <c r="G144" s="38"/>
      <c r="K144" s="38"/>
    </row>
    <row r="145" spans="7:11" ht="12.75">
      <c r="G145" s="38"/>
      <c r="K145" s="38"/>
    </row>
    <row r="146" spans="7:11" ht="12.75">
      <c r="G146" s="38"/>
      <c r="K146" s="38"/>
    </row>
    <row r="147" spans="7:11" ht="12.75">
      <c r="G147" s="38"/>
      <c r="K147" s="38"/>
    </row>
    <row r="149" spans="7:11" ht="12.75">
      <c r="G149" s="38"/>
      <c r="K149" s="3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5"/>
  <sheetViews>
    <sheetView workbookViewId="0" topLeftCell="B1">
      <selection activeCell="C17" sqref="C17"/>
    </sheetView>
  </sheetViews>
  <sheetFormatPr defaultColWidth="9.140625" defaultRowHeight="12.75"/>
  <cols>
    <col min="1" max="1" width="2.8515625" style="0" hidden="1" customWidth="1"/>
    <col min="2" max="2" width="19.00390625" style="0" customWidth="1"/>
    <col min="3" max="3" width="12.00390625" style="0" customWidth="1"/>
    <col min="5" max="5" width="4.28125" style="0" customWidth="1"/>
    <col min="6" max="6" width="2.00390625" style="0" customWidth="1"/>
    <col min="7" max="7" width="10.140625" style="0" customWidth="1"/>
    <col min="8" max="8" width="2.421875" style="0" customWidth="1"/>
    <col min="10" max="10" width="1.8515625" style="0" customWidth="1"/>
    <col min="12" max="12" width="1.8515625" style="0" customWidth="1"/>
    <col min="13" max="13" width="10.00390625" style="0" customWidth="1"/>
    <col min="14" max="14" width="2.710937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8" t="s">
        <v>207</v>
      </c>
    </row>
    <row r="2" ht="12.75">
      <c r="B2" s="8"/>
    </row>
    <row r="4" spans="2:13" ht="12.75">
      <c r="B4" s="8" t="s">
        <v>138</v>
      </c>
      <c r="G4" s="74" t="s">
        <v>194</v>
      </c>
      <c r="H4" s="74"/>
      <c r="I4" s="74" t="s">
        <v>195</v>
      </c>
      <c r="J4" s="74"/>
      <c r="K4" s="74" t="s">
        <v>196</v>
      </c>
      <c r="L4" s="74"/>
      <c r="M4" s="74" t="s">
        <v>48</v>
      </c>
    </row>
    <row r="6" spans="1:24" s="70" customFormat="1" ht="12.75">
      <c r="A6" s="70" t="s">
        <v>138</v>
      </c>
      <c r="B6" s="70" t="s">
        <v>13</v>
      </c>
      <c r="C6" s="70" t="s">
        <v>218</v>
      </c>
      <c r="D6" s="70" t="s">
        <v>14</v>
      </c>
      <c r="E6" s="70" t="s">
        <v>15</v>
      </c>
      <c r="F6" s="71" t="s">
        <v>197</v>
      </c>
      <c r="G6" s="72">
        <v>0.0062877868246048</v>
      </c>
      <c r="H6" s="72" t="s">
        <v>197</v>
      </c>
      <c r="I6" s="72">
        <v>0.005973719771046234</v>
      </c>
      <c r="J6" s="72" t="s">
        <v>197</v>
      </c>
      <c r="K6" s="72">
        <v>0.006970432819762122</v>
      </c>
      <c r="L6" s="72" t="s">
        <v>197</v>
      </c>
      <c r="M6" s="72">
        <f>AVERAGE(G6,I6,K6)</f>
        <v>0.006410646471804385</v>
      </c>
      <c r="N6" s="72" t="s">
        <v>197</v>
      </c>
      <c r="O6" s="72"/>
      <c r="P6" s="72" t="s">
        <v>197</v>
      </c>
      <c r="Q6" s="72"/>
      <c r="R6" s="72" t="s">
        <v>197</v>
      </c>
      <c r="S6" s="72"/>
      <c r="T6" s="72" t="s">
        <v>197</v>
      </c>
      <c r="U6" s="72"/>
      <c r="V6" s="71" t="s">
        <v>197</v>
      </c>
      <c r="W6" s="71"/>
      <c r="X6" s="70">
        <v>0.006410646471804386</v>
      </c>
    </row>
    <row r="7" spans="1:24" s="70" customFormat="1" ht="12.75">
      <c r="A7" s="70" t="s">
        <v>138</v>
      </c>
      <c r="B7" s="70" t="s">
        <v>55</v>
      </c>
      <c r="C7" s="70" t="s">
        <v>218</v>
      </c>
      <c r="D7" s="70" t="s">
        <v>16</v>
      </c>
      <c r="E7" s="70" t="s">
        <v>15</v>
      </c>
      <c r="F7" s="71" t="s">
        <v>197</v>
      </c>
      <c r="G7" s="73">
        <v>18.08016772663027</v>
      </c>
      <c r="H7" s="73" t="s">
        <v>197</v>
      </c>
      <c r="I7" s="73">
        <v>16.007276357900423</v>
      </c>
      <c r="J7" s="73" t="s">
        <v>197</v>
      </c>
      <c r="K7" s="73">
        <v>17.24138274223132</v>
      </c>
      <c r="L7" s="71" t="s">
        <v>197</v>
      </c>
      <c r="M7" s="73">
        <f>AVERAGE(G7,I7,K7)</f>
        <v>17.109608942254003</v>
      </c>
      <c r="N7" s="71" t="s">
        <v>197</v>
      </c>
      <c r="O7" s="71"/>
      <c r="P7" s="71" t="s">
        <v>197</v>
      </c>
      <c r="Q7" s="71"/>
      <c r="R7" s="71" t="s">
        <v>197</v>
      </c>
      <c r="S7" s="71"/>
      <c r="T7" s="71" t="s">
        <v>197</v>
      </c>
      <c r="U7" s="71"/>
      <c r="V7" s="71" t="s">
        <v>197</v>
      </c>
      <c r="W7" s="71"/>
      <c r="X7" s="70">
        <v>17.109608942254003</v>
      </c>
    </row>
    <row r="8" spans="1:24" s="70" customFormat="1" ht="12.75">
      <c r="A8" s="70" t="s">
        <v>138</v>
      </c>
      <c r="B8" s="70" t="s">
        <v>56</v>
      </c>
      <c r="C8" s="70" t="s">
        <v>218</v>
      </c>
      <c r="D8" s="70" t="s">
        <v>16</v>
      </c>
      <c r="E8" s="70" t="s">
        <v>15</v>
      </c>
      <c r="F8" s="71" t="s">
        <v>197</v>
      </c>
      <c r="G8" s="73">
        <v>25.411221014334</v>
      </c>
      <c r="H8" s="73" t="s">
        <v>197</v>
      </c>
      <c r="I8" s="73">
        <v>25.675380816221136</v>
      </c>
      <c r="J8" s="73" t="s">
        <v>197</v>
      </c>
      <c r="K8" s="73">
        <v>21.236068253695283</v>
      </c>
      <c r="L8" s="71" t="s">
        <v>197</v>
      </c>
      <c r="M8" s="73">
        <f>AVERAGE(G8,I8,K8)</f>
        <v>24.10755669475014</v>
      </c>
      <c r="N8" s="71" t="s">
        <v>197</v>
      </c>
      <c r="O8" s="71"/>
      <c r="P8" s="71" t="s">
        <v>197</v>
      </c>
      <c r="Q8" s="71"/>
      <c r="R8" s="71" t="s">
        <v>197</v>
      </c>
      <c r="S8" s="71"/>
      <c r="T8" s="71" t="s">
        <v>197</v>
      </c>
      <c r="U8" s="71"/>
      <c r="V8" s="71" t="s">
        <v>197</v>
      </c>
      <c r="W8" s="71"/>
      <c r="X8" s="70">
        <v>24.10755669475014</v>
      </c>
    </row>
    <row r="9" spans="2:23" s="70" customFormat="1" ht="12.75">
      <c r="B9" s="70" t="s">
        <v>120</v>
      </c>
      <c r="C9" s="78" t="s">
        <v>218</v>
      </c>
      <c r="D9" s="70" t="s">
        <v>16</v>
      </c>
      <c r="E9" s="70" t="s">
        <v>15</v>
      </c>
      <c r="F9" s="71"/>
      <c r="G9" s="73">
        <f>G7+2*G8</f>
        <v>68.90260975529827</v>
      </c>
      <c r="H9" s="73"/>
      <c r="I9" s="73">
        <f>I7+2*I8</f>
        <v>67.3580379903427</v>
      </c>
      <c r="J9" s="73"/>
      <c r="K9" s="73">
        <f>K7+2*K8</f>
        <v>59.71351924962188</v>
      </c>
      <c r="L9" s="71"/>
      <c r="M9" s="73">
        <f>AVERAGE(G9,I9,K9)</f>
        <v>65.32472233175429</v>
      </c>
      <c r="N9" s="71"/>
      <c r="O9" s="71"/>
      <c r="P9" s="71"/>
      <c r="Q9" s="71"/>
      <c r="R9" s="71"/>
      <c r="S9" s="71"/>
      <c r="T9" s="71"/>
      <c r="U9" s="71"/>
      <c r="V9" s="71"/>
      <c r="W9" s="71"/>
    </row>
    <row r="11" spans="2:3" ht="12.75">
      <c r="B11" t="s">
        <v>121</v>
      </c>
      <c r="C11" s="70" t="s">
        <v>198</v>
      </c>
    </row>
    <row r="12" spans="2:63" s="70" customFormat="1" ht="12.75">
      <c r="B12" s="10" t="s">
        <v>97</v>
      </c>
      <c r="C12" s="10"/>
      <c r="D12" s="10" t="s">
        <v>17</v>
      </c>
      <c r="G12" s="73">
        <v>11683.9</v>
      </c>
      <c r="H12" s="73"/>
      <c r="I12" s="73">
        <v>11478.3</v>
      </c>
      <c r="J12" s="73"/>
      <c r="K12" s="73">
        <v>11476.5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</row>
    <row r="13" spans="2:63" s="70" customFormat="1" ht="12.75">
      <c r="B13" s="10" t="s">
        <v>115</v>
      </c>
      <c r="C13" s="10"/>
      <c r="D13" s="10" t="s">
        <v>18</v>
      </c>
      <c r="G13" s="73">
        <v>11</v>
      </c>
      <c r="H13" s="73"/>
      <c r="I13" s="73">
        <v>11</v>
      </c>
      <c r="J13" s="73"/>
      <c r="K13" s="73">
        <v>11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</row>
    <row r="14" spans="1:63" s="70" customFormat="1" ht="12.75">
      <c r="A14" s="70" t="s">
        <v>138</v>
      </c>
      <c r="B14" s="10" t="s">
        <v>116</v>
      </c>
      <c r="C14" s="10"/>
      <c r="D14" s="10" t="s">
        <v>18</v>
      </c>
      <c r="G14" s="73">
        <v>20.83</v>
      </c>
      <c r="H14" s="73"/>
      <c r="I14" s="73">
        <v>21.56</v>
      </c>
      <c r="J14" s="73"/>
      <c r="K14" s="73">
        <v>21.45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</row>
    <row r="15" spans="2:63" s="70" customFormat="1" ht="12.75">
      <c r="B15" s="10" t="s">
        <v>96</v>
      </c>
      <c r="C15" s="10"/>
      <c r="D15" s="10" t="s">
        <v>19</v>
      </c>
      <c r="G15" s="73">
        <v>153</v>
      </c>
      <c r="H15" s="73"/>
      <c r="I15" s="73">
        <v>156</v>
      </c>
      <c r="J15" s="73"/>
      <c r="K15" s="73">
        <v>156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2"/>
  <sheetViews>
    <sheetView workbookViewId="0" topLeftCell="B134">
      <selection activeCell="C17" sqref="C17"/>
    </sheetView>
  </sheetViews>
  <sheetFormatPr defaultColWidth="9.140625" defaultRowHeight="12.75"/>
  <cols>
    <col min="1" max="1" width="9.140625" style="41" hidden="1" customWidth="1"/>
    <col min="2" max="2" width="22.8515625" style="15" customWidth="1"/>
    <col min="3" max="3" width="5.28125" style="15" customWidth="1"/>
    <col min="4" max="4" width="9.28125" style="15" customWidth="1"/>
    <col min="5" max="5" width="4.7109375" style="41" customWidth="1"/>
    <col min="6" max="6" width="11.57421875" style="82" customWidth="1"/>
    <col min="7" max="7" width="3.8515625" style="41" customWidth="1"/>
    <col min="8" max="8" width="9.8515625" style="42" customWidth="1"/>
    <col min="9" max="9" width="4.140625" style="41" customWidth="1"/>
    <col min="10" max="10" width="10.57421875" style="42" customWidth="1"/>
    <col min="11" max="11" width="4.140625" style="41" customWidth="1"/>
    <col min="12" max="12" width="9.8515625" style="42" customWidth="1"/>
    <col min="13" max="13" width="4.140625" style="43" customWidth="1"/>
    <col min="14" max="14" width="13.8515625" style="41" customWidth="1"/>
    <col min="15" max="15" width="4.7109375" style="41" customWidth="1"/>
    <col min="16" max="16" width="13.28125" style="41" customWidth="1"/>
    <col min="17" max="17" width="4.421875" style="41" customWidth="1"/>
    <col min="18" max="18" width="12.8515625" style="41" customWidth="1"/>
    <col min="19" max="19" width="4.00390625" style="41" customWidth="1"/>
    <col min="20" max="20" width="13.00390625" style="41" customWidth="1"/>
    <col min="21" max="21" width="1.57421875" style="41" customWidth="1"/>
    <col min="22" max="22" width="7.57421875" style="41" customWidth="1"/>
    <col min="23" max="16384" width="8.8515625" style="41" customWidth="1"/>
  </cols>
  <sheetData>
    <row r="1" spans="2:3" ht="12.75">
      <c r="B1" s="40" t="s">
        <v>209</v>
      </c>
      <c r="C1" s="40"/>
    </row>
    <row r="4" spans="1:20" ht="12.75">
      <c r="A4" s="41" t="s">
        <v>125</v>
      </c>
      <c r="B4" s="40" t="s">
        <v>181</v>
      </c>
      <c r="C4" s="40" t="s">
        <v>123</v>
      </c>
      <c r="F4" s="82" t="s">
        <v>194</v>
      </c>
      <c r="G4" s="43"/>
      <c r="H4" s="42" t="s">
        <v>195</v>
      </c>
      <c r="I4" s="43"/>
      <c r="J4" s="42" t="s">
        <v>196</v>
      </c>
      <c r="K4" s="43"/>
      <c r="L4" s="43" t="s">
        <v>48</v>
      </c>
      <c r="N4" s="43" t="s">
        <v>194</v>
      </c>
      <c r="O4" s="43"/>
      <c r="P4" s="43" t="s">
        <v>195</v>
      </c>
      <c r="Q4" s="43"/>
      <c r="R4" s="43" t="s">
        <v>196</v>
      </c>
      <c r="S4" s="43"/>
      <c r="T4" s="43" t="s">
        <v>48</v>
      </c>
    </row>
    <row r="6" spans="2:20" ht="12.75">
      <c r="B6" s="15" t="s">
        <v>231</v>
      </c>
      <c r="F6" s="82" t="s">
        <v>233</v>
      </c>
      <c r="H6" s="42" t="s">
        <v>233</v>
      </c>
      <c r="J6" s="42" t="s">
        <v>233</v>
      </c>
      <c r="L6" s="43" t="s">
        <v>233</v>
      </c>
      <c r="N6" s="43" t="s">
        <v>235</v>
      </c>
      <c r="P6" s="43" t="s">
        <v>235</v>
      </c>
      <c r="R6" s="43" t="s">
        <v>235</v>
      </c>
      <c r="T6" s="43" t="s">
        <v>235</v>
      </c>
    </row>
    <row r="7" spans="2:20" ht="12.75">
      <c r="B7" s="15" t="s">
        <v>232</v>
      </c>
      <c r="F7" s="82" t="s">
        <v>234</v>
      </c>
      <c r="H7" s="42" t="s">
        <v>234</v>
      </c>
      <c r="J7" s="42" t="s">
        <v>234</v>
      </c>
      <c r="L7" s="43" t="s">
        <v>234</v>
      </c>
      <c r="N7" s="43" t="s">
        <v>25</v>
      </c>
      <c r="P7" s="43" t="s">
        <v>25</v>
      </c>
      <c r="R7" s="43" t="s">
        <v>25</v>
      </c>
      <c r="T7" s="43" t="s">
        <v>25</v>
      </c>
    </row>
    <row r="8" spans="2:20" ht="12.75">
      <c r="B8" s="10" t="s">
        <v>236</v>
      </c>
      <c r="F8" s="82" t="s">
        <v>80</v>
      </c>
      <c r="H8" s="42" t="s">
        <v>80</v>
      </c>
      <c r="J8" s="42" t="s">
        <v>80</v>
      </c>
      <c r="L8" s="43" t="s">
        <v>80</v>
      </c>
      <c r="N8" s="43" t="s">
        <v>25</v>
      </c>
      <c r="P8" s="43" t="s">
        <v>25</v>
      </c>
      <c r="R8" s="43" t="s">
        <v>25</v>
      </c>
      <c r="T8" s="43" t="s">
        <v>25</v>
      </c>
    </row>
    <row r="9" spans="2:22" ht="12.75">
      <c r="B9" s="15" t="s">
        <v>49</v>
      </c>
      <c r="F9" s="82" t="s">
        <v>143</v>
      </c>
      <c r="H9" s="42" t="s">
        <v>143</v>
      </c>
      <c r="J9" s="42" t="s">
        <v>143</v>
      </c>
      <c r="L9" s="42" t="s">
        <v>143</v>
      </c>
      <c r="M9" s="42"/>
      <c r="N9" s="43" t="s">
        <v>25</v>
      </c>
      <c r="P9" s="43" t="s">
        <v>25</v>
      </c>
      <c r="R9" s="43" t="s">
        <v>25</v>
      </c>
      <c r="T9" s="43" t="s">
        <v>25</v>
      </c>
      <c r="U9" s="42"/>
      <c r="V9" s="42"/>
    </row>
    <row r="10" spans="2:19" ht="12.75">
      <c r="B10" s="15" t="s">
        <v>127</v>
      </c>
      <c r="D10" s="15" t="s">
        <v>59</v>
      </c>
      <c r="F10" s="84">
        <v>5310</v>
      </c>
      <c r="G10" s="81"/>
      <c r="H10" s="17">
        <v>5300</v>
      </c>
      <c r="I10" s="81"/>
      <c r="J10" s="17">
        <v>5315</v>
      </c>
      <c r="K10" s="81"/>
      <c r="L10" s="17">
        <v>5308</v>
      </c>
      <c r="R10" s="44"/>
      <c r="S10" s="44"/>
    </row>
    <row r="11" spans="2:12" ht="12.75">
      <c r="B11" s="15" t="s">
        <v>51</v>
      </c>
      <c r="D11" s="15" t="s">
        <v>52</v>
      </c>
      <c r="F11" s="82">
        <v>8710</v>
      </c>
      <c r="H11" s="42">
        <v>7210</v>
      </c>
      <c r="J11" s="42">
        <v>8970</v>
      </c>
      <c r="L11" s="16">
        <v>8279</v>
      </c>
    </row>
    <row r="12" spans="2:12" ht="12.75">
      <c r="B12" s="15" t="s">
        <v>61</v>
      </c>
      <c r="D12" s="15" t="s">
        <v>152</v>
      </c>
      <c r="F12" s="82">
        <v>1.1844</v>
      </c>
      <c r="H12" s="42">
        <v>1.1836</v>
      </c>
      <c r="J12" s="42">
        <v>1.1863</v>
      </c>
      <c r="L12" s="42">
        <v>1.1848</v>
      </c>
    </row>
    <row r="13" spans="2:14" ht="12.75">
      <c r="B13" s="15" t="s">
        <v>58</v>
      </c>
      <c r="D13" s="15" t="s">
        <v>59</v>
      </c>
      <c r="L13" s="16">
        <v>20</v>
      </c>
      <c r="N13" s="42"/>
    </row>
    <row r="14" spans="2:14" ht="12.75">
      <c r="B14" s="15" t="s">
        <v>139</v>
      </c>
      <c r="D14" s="15" t="s">
        <v>59</v>
      </c>
      <c r="L14" s="16">
        <v>44.946</v>
      </c>
      <c r="N14" s="42"/>
    </row>
    <row r="15" spans="2:21" ht="12.75">
      <c r="B15" s="15" t="s">
        <v>53</v>
      </c>
      <c r="D15" s="15" t="s">
        <v>50</v>
      </c>
      <c r="E15" s="43" t="s">
        <v>29</v>
      </c>
      <c r="F15" s="83">
        <v>1204.308</v>
      </c>
      <c r="G15" s="18" t="s">
        <v>29</v>
      </c>
      <c r="H15" s="16">
        <v>1202.04</v>
      </c>
      <c r="I15" s="18" t="s">
        <v>29</v>
      </c>
      <c r="J15" s="16">
        <v>1205.442</v>
      </c>
      <c r="K15" s="18"/>
      <c r="L15" s="16">
        <v>1203.93</v>
      </c>
      <c r="N15" s="16"/>
      <c r="O15" s="16"/>
      <c r="P15" s="42"/>
      <c r="Q15" s="42"/>
      <c r="R15" s="42"/>
      <c r="S15" s="42"/>
      <c r="T15" s="42"/>
      <c r="U15" s="42"/>
    </row>
    <row r="16" spans="2:21" ht="12.75">
      <c r="B16" s="15" t="s">
        <v>54</v>
      </c>
      <c r="D16" s="15" t="s">
        <v>50</v>
      </c>
      <c r="E16" s="43"/>
      <c r="F16" s="82">
        <v>1484670.902</v>
      </c>
      <c r="G16" s="43"/>
      <c r="H16" s="42">
        <v>1495578.168</v>
      </c>
      <c r="I16" s="43"/>
      <c r="J16" s="42">
        <v>1502703.997</v>
      </c>
      <c r="K16" s="43"/>
      <c r="L16" s="17">
        <v>1494651.021</v>
      </c>
      <c r="N16" s="42"/>
      <c r="O16" s="42"/>
      <c r="P16" s="42"/>
      <c r="Q16" s="42"/>
      <c r="R16" s="42"/>
      <c r="S16" s="42"/>
      <c r="T16" s="42"/>
      <c r="U16" s="42"/>
    </row>
    <row r="17" spans="2:15" ht="12.75">
      <c r="B17" s="15" t="s">
        <v>99</v>
      </c>
      <c r="D17" s="15" t="s">
        <v>50</v>
      </c>
      <c r="E17" s="43" t="s">
        <v>29</v>
      </c>
      <c r="F17" s="82">
        <v>0.265</v>
      </c>
      <c r="G17" s="43" t="s">
        <v>29</v>
      </c>
      <c r="H17" s="42">
        <v>0.264</v>
      </c>
      <c r="I17" s="43" t="s">
        <v>29</v>
      </c>
      <c r="J17" s="42">
        <v>0.265</v>
      </c>
      <c r="K17" s="43"/>
      <c r="L17" s="45">
        <v>0.265</v>
      </c>
      <c r="N17" s="45"/>
      <c r="O17" s="45"/>
    </row>
    <row r="18" spans="2:17" ht="12.75">
      <c r="B18" s="15" t="s">
        <v>100</v>
      </c>
      <c r="D18" s="15" t="s">
        <v>50</v>
      </c>
      <c r="E18" s="43"/>
      <c r="F18" s="82">
        <v>0.915</v>
      </c>
      <c r="G18" s="43"/>
      <c r="H18" s="42">
        <v>1.274</v>
      </c>
      <c r="I18" s="43"/>
      <c r="J18" s="42">
        <v>0.94</v>
      </c>
      <c r="K18" s="43"/>
      <c r="L18" s="45">
        <v>1.043</v>
      </c>
      <c r="N18" s="42"/>
      <c r="O18" s="42"/>
      <c r="P18" s="42"/>
      <c r="Q18" s="42"/>
    </row>
    <row r="19" spans="2:17" ht="12.75">
      <c r="B19" s="15" t="s">
        <v>101</v>
      </c>
      <c r="D19" s="15" t="s">
        <v>50</v>
      </c>
      <c r="E19" s="43" t="s">
        <v>29</v>
      </c>
      <c r="F19" s="82">
        <v>0.096</v>
      </c>
      <c r="G19" s="43" t="s">
        <v>29</v>
      </c>
      <c r="H19" s="42">
        <v>0.096</v>
      </c>
      <c r="I19" s="43" t="s">
        <v>29</v>
      </c>
      <c r="J19" s="42">
        <v>0.096</v>
      </c>
      <c r="K19" s="43"/>
      <c r="L19" s="42">
        <v>0.096</v>
      </c>
      <c r="P19" s="42"/>
      <c r="Q19" s="42"/>
    </row>
    <row r="20" spans="2:17" ht="12.75">
      <c r="B20" s="15" t="s">
        <v>102</v>
      </c>
      <c r="D20" s="15" t="s">
        <v>50</v>
      </c>
      <c r="E20" s="43" t="s">
        <v>29</v>
      </c>
      <c r="F20" s="82">
        <v>0.048</v>
      </c>
      <c r="G20" s="43" t="s">
        <v>29</v>
      </c>
      <c r="H20" s="42">
        <v>0.048</v>
      </c>
      <c r="I20" s="43" t="s">
        <v>29</v>
      </c>
      <c r="J20" s="42">
        <v>0.048</v>
      </c>
      <c r="K20" s="43"/>
      <c r="L20" s="42">
        <v>0.048</v>
      </c>
      <c r="N20" s="42"/>
      <c r="O20" s="42"/>
      <c r="P20" s="42"/>
      <c r="Q20" s="42"/>
    </row>
    <row r="21" spans="2:17" ht="12.75">
      <c r="B21" s="15" t="s">
        <v>103</v>
      </c>
      <c r="D21" s="15" t="s">
        <v>50</v>
      </c>
      <c r="E21" s="43" t="s">
        <v>29</v>
      </c>
      <c r="F21" s="82">
        <v>0.024</v>
      </c>
      <c r="G21" s="43" t="s">
        <v>29</v>
      </c>
      <c r="H21" s="42">
        <v>0.024</v>
      </c>
      <c r="I21" s="43" t="s">
        <v>29</v>
      </c>
      <c r="J21" s="42">
        <v>0.024</v>
      </c>
      <c r="K21" s="43"/>
      <c r="L21" s="42">
        <v>0.024</v>
      </c>
      <c r="N21" s="42"/>
      <c r="O21" s="42"/>
      <c r="P21" s="42"/>
      <c r="Q21" s="42"/>
    </row>
    <row r="22" spans="2:21" ht="12.75">
      <c r="B22" s="15" t="s">
        <v>119</v>
      </c>
      <c r="D22" s="15" t="s">
        <v>50</v>
      </c>
      <c r="E22" s="43"/>
      <c r="F22" s="82">
        <v>0.578</v>
      </c>
      <c r="G22" s="43"/>
      <c r="H22" s="42">
        <v>0.649</v>
      </c>
      <c r="I22" s="43"/>
      <c r="J22" s="42">
        <v>0.579</v>
      </c>
      <c r="K22" s="43"/>
      <c r="L22" s="42">
        <v>0.602</v>
      </c>
      <c r="N22" s="42"/>
      <c r="O22" s="42"/>
      <c r="P22" s="42"/>
      <c r="Q22" s="42"/>
      <c r="T22" s="44"/>
      <c r="U22" s="44"/>
    </row>
    <row r="23" spans="2:21" ht="12.75">
      <c r="B23" s="15" t="s">
        <v>98</v>
      </c>
      <c r="D23" s="15" t="s">
        <v>50</v>
      </c>
      <c r="E23" s="43" t="s">
        <v>29</v>
      </c>
      <c r="F23" s="82">
        <v>0.508</v>
      </c>
      <c r="G23" s="43" t="s">
        <v>29</v>
      </c>
      <c r="H23" s="42">
        <v>5.049</v>
      </c>
      <c r="I23" s="43" t="s">
        <v>29</v>
      </c>
      <c r="J23" s="42">
        <v>4.822</v>
      </c>
      <c r="K23" s="43"/>
      <c r="L23" s="42">
        <v>4.976</v>
      </c>
      <c r="N23" s="42"/>
      <c r="O23" s="42"/>
      <c r="P23" s="42"/>
      <c r="Q23" s="42"/>
      <c r="R23" s="42"/>
      <c r="S23" s="42"/>
      <c r="T23" s="44"/>
      <c r="U23" s="44"/>
    </row>
    <row r="24" spans="2:17" ht="12.75">
      <c r="B24" s="15" t="s">
        <v>104</v>
      </c>
      <c r="D24" s="15" t="s">
        <v>50</v>
      </c>
      <c r="E24" s="43" t="s">
        <v>29</v>
      </c>
      <c r="F24" s="82">
        <v>0.024</v>
      </c>
      <c r="G24" s="43" t="s">
        <v>29</v>
      </c>
      <c r="H24" s="42">
        <v>0.048</v>
      </c>
      <c r="I24" s="43" t="s">
        <v>29</v>
      </c>
      <c r="J24" s="42">
        <v>0.048</v>
      </c>
      <c r="K24" s="43"/>
      <c r="L24" s="45">
        <v>0.04</v>
      </c>
      <c r="N24" s="42"/>
      <c r="O24" s="42"/>
      <c r="P24" s="43"/>
      <c r="Q24" s="43"/>
    </row>
    <row r="25" spans="2:17" ht="12.75">
      <c r="B25" s="15" t="s">
        <v>105</v>
      </c>
      <c r="D25" s="15" t="s">
        <v>50</v>
      </c>
      <c r="E25" s="43" t="s">
        <v>29</v>
      </c>
      <c r="F25" s="82">
        <v>0.674</v>
      </c>
      <c r="G25" s="43" t="s">
        <v>29</v>
      </c>
      <c r="H25" s="42">
        <v>1.034</v>
      </c>
      <c r="I25" s="43" t="s">
        <v>29</v>
      </c>
      <c r="J25" s="42">
        <v>0.844</v>
      </c>
      <c r="K25" s="43"/>
      <c r="L25" s="45">
        <v>0.851</v>
      </c>
      <c r="N25" s="42"/>
      <c r="O25" s="42"/>
      <c r="P25" s="43"/>
      <c r="Q25" s="43"/>
    </row>
    <row r="26" spans="2:17" ht="12.75">
      <c r="B26" s="15" t="s">
        <v>106</v>
      </c>
      <c r="D26" s="15" t="s">
        <v>50</v>
      </c>
      <c r="E26" s="43" t="s">
        <v>29</v>
      </c>
      <c r="F26" s="82">
        <v>0.578</v>
      </c>
      <c r="G26" s="43" t="s">
        <v>29</v>
      </c>
      <c r="H26" s="42">
        <v>0.409</v>
      </c>
      <c r="I26" s="43" t="s">
        <v>29</v>
      </c>
      <c r="J26" s="42">
        <v>0.53</v>
      </c>
      <c r="K26" s="43"/>
      <c r="L26" s="45">
        <v>0.506</v>
      </c>
      <c r="N26" s="42"/>
      <c r="O26" s="42"/>
      <c r="P26" s="43"/>
      <c r="Q26" s="43"/>
    </row>
    <row r="27" spans="2:17" ht="12.75">
      <c r="B27" s="15" t="s">
        <v>107</v>
      </c>
      <c r="D27" s="15" t="s">
        <v>50</v>
      </c>
      <c r="E27" s="43" t="s">
        <v>29</v>
      </c>
      <c r="F27" s="82">
        <v>0.409</v>
      </c>
      <c r="G27" s="43" t="s">
        <v>29</v>
      </c>
      <c r="H27" s="42">
        <v>0.409</v>
      </c>
      <c r="I27" s="43" t="s">
        <v>29</v>
      </c>
      <c r="J27" s="42">
        <v>0.386</v>
      </c>
      <c r="K27" s="43"/>
      <c r="L27" s="42">
        <v>0.401</v>
      </c>
      <c r="N27" s="42"/>
      <c r="O27" s="42"/>
      <c r="P27" s="43"/>
      <c r="Q27" s="43"/>
    </row>
    <row r="28" spans="2:17" ht="12.75">
      <c r="B28" s="15" t="s">
        <v>108</v>
      </c>
      <c r="D28" s="15" t="s">
        <v>50</v>
      </c>
      <c r="E28" s="43" t="s">
        <v>29</v>
      </c>
      <c r="F28" s="82">
        <v>0.217</v>
      </c>
      <c r="G28" s="43" t="s">
        <v>29</v>
      </c>
      <c r="H28" s="42">
        <v>0.216</v>
      </c>
      <c r="I28" s="43" t="s">
        <v>29</v>
      </c>
      <c r="J28" s="42">
        <v>0.217</v>
      </c>
      <c r="K28" s="43"/>
      <c r="L28" s="42">
        <v>0.217</v>
      </c>
      <c r="N28" s="42"/>
      <c r="O28" s="42"/>
      <c r="P28" s="43"/>
      <c r="Q28" s="43"/>
    </row>
    <row r="29" spans="5:17" ht="12.75">
      <c r="E29" s="43"/>
      <c r="G29" s="43"/>
      <c r="I29" s="43"/>
      <c r="K29" s="43"/>
      <c r="N29" s="42"/>
      <c r="O29" s="42"/>
      <c r="P29" s="43"/>
      <c r="Q29" s="43"/>
    </row>
    <row r="30" spans="2:17" ht="12.75">
      <c r="B30" s="15" t="s">
        <v>77</v>
      </c>
      <c r="D30" s="15" t="s">
        <v>17</v>
      </c>
      <c r="E30" s="43"/>
      <c r="F30" s="82">
        <f>'emiss 1'!G23</f>
        <v>16116</v>
      </c>
      <c r="G30" s="43"/>
      <c r="H30" s="42">
        <f>'emiss 1'!I23</f>
        <v>16548</v>
      </c>
      <c r="I30" s="43"/>
      <c r="J30" s="42">
        <f>'emiss 1'!K23</f>
        <v>15702</v>
      </c>
      <c r="K30" s="43"/>
      <c r="L30" s="42">
        <f>'emiss 1'!M23</f>
        <v>16122</v>
      </c>
      <c r="N30" s="42"/>
      <c r="O30" s="42"/>
      <c r="P30" s="43"/>
      <c r="Q30" s="43"/>
    </row>
    <row r="31" spans="2:17" ht="12.75">
      <c r="B31" s="15" t="s">
        <v>78</v>
      </c>
      <c r="D31" s="15" t="s">
        <v>18</v>
      </c>
      <c r="E31" s="43"/>
      <c r="F31" s="82">
        <f>'emiss 1'!G24</f>
        <v>13.4</v>
      </c>
      <c r="G31" s="43"/>
      <c r="H31" s="42">
        <f>'emiss 1'!I24</f>
        <v>13.3</v>
      </c>
      <c r="I31" s="43"/>
      <c r="J31" s="42">
        <f>'emiss 1'!K24</f>
        <v>13.2</v>
      </c>
      <c r="K31" s="43"/>
      <c r="L31" s="42">
        <f>'emiss 1'!M24</f>
        <v>13.3</v>
      </c>
      <c r="N31" s="42"/>
      <c r="O31" s="42"/>
      <c r="P31" s="43"/>
      <c r="Q31" s="43"/>
    </row>
    <row r="32" spans="5:17" ht="12.75">
      <c r="E32" s="43"/>
      <c r="G32" s="43"/>
      <c r="I32" s="43"/>
      <c r="K32" s="43"/>
      <c r="N32" s="42"/>
      <c r="O32" s="42"/>
      <c r="P32" s="43"/>
      <c r="Q32" s="43"/>
    </row>
    <row r="33" spans="2:22" ht="12.75">
      <c r="B33" s="15" t="s">
        <v>126</v>
      </c>
      <c r="D33" s="15" t="s">
        <v>70</v>
      </c>
      <c r="E33" s="43"/>
      <c r="F33" s="83">
        <f>F10*F11/1000000</f>
        <v>46.2501</v>
      </c>
      <c r="G33" s="43"/>
      <c r="H33" s="16">
        <f>H10*H11/1000000</f>
        <v>38.213</v>
      </c>
      <c r="I33" s="43"/>
      <c r="J33" s="16">
        <f>J10*J11/1000000</f>
        <v>47.67555</v>
      </c>
      <c r="K33" s="43"/>
      <c r="L33" s="16">
        <f>L10*L11/1000000</f>
        <v>43.944932</v>
      </c>
      <c r="M33" s="18"/>
      <c r="N33" s="16">
        <f>F33</f>
        <v>46.2501</v>
      </c>
      <c r="O33" s="16"/>
      <c r="P33" s="16">
        <f>H33</f>
        <v>38.213</v>
      </c>
      <c r="Q33" s="43"/>
      <c r="R33" s="16">
        <f>J33</f>
        <v>47.67555</v>
      </c>
      <c r="T33" s="44">
        <f>AVERAGE(N33,P33,R33)</f>
        <v>44.04621666666666</v>
      </c>
      <c r="V33" s="44"/>
    </row>
    <row r="34" spans="2:22" ht="12.75">
      <c r="B34" s="15" t="s">
        <v>237</v>
      </c>
      <c r="D34" s="15" t="s">
        <v>70</v>
      </c>
      <c r="E34" s="43"/>
      <c r="L34" s="41"/>
      <c r="M34" s="18"/>
      <c r="N34" s="44">
        <f>F30/9000*(21-F31)/21*60</f>
        <v>38.883047619047616</v>
      </c>
      <c r="O34" s="43"/>
      <c r="P34" s="44">
        <f>H30/9000*(21-H31)/21*60</f>
        <v>40.45066666666666</v>
      </c>
      <c r="Q34" s="43"/>
      <c r="R34" s="44">
        <f>J30/9000*(21-J31)/21*60</f>
        <v>38.88114285714286</v>
      </c>
      <c r="S34" s="43"/>
      <c r="T34" s="44">
        <f>AVERAGE(N34,P34,R34)</f>
        <v>39.40495238095238</v>
      </c>
      <c r="V34" s="16"/>
    </row>
    <row r="35" spans="5:22" ht="12.75">
      <c r="E35" s="43"/>
      <c r="G35" s="43"/>
      <c r="I35" s="43"/>
      <c r="K35" s="43"/>
      <c r="L35" s="41"/>
      <c r="M35" s="18"/>
      <c r="N35" s="16"/>
      <c r="O35" s="16"/>
      <c r="P35" s="43"/>
      <c r="Q35" s="43"/>
      <c r="V35" s="16"/>
    </row>
    <row r="36" spans="2:22" ht="12.75">
      <c r="B36" s="62" t="s">
        <v>92</v>
      </c>
      <c r="C36" s="62"/>
      <c r="E36" s="43"/>
      <c r="G36" s="43"/>
      <c r="I36" s="43"/>
      <c r="K36" s="43"/>
      <c r="L36" s="41"/>
      <c r="M36" s="18"/>
      <c r="N36" s="16"/>
      <c r="O36" s="16"/>
      <c r="P36" s="43"/>
      <c r="Q36" s="43"/>
      <c r="V36" s="16"/>
    </row>
    <row r="37" spans="2:21" ht="12.75">
      <c r="B37" s="15" t="s">
        <v>53</v>
      </c>
      <c r="D37" s="15" t="s">
        <v>79</v>
      </c>
      <c r="E37" s="43">
        <v>100</v>
      </c>
      <c r="F37" s="83">
        <f>F15/F$30/60/0.0283*(21-7)/(21-F$31)*1000</f>
        <v>81.06942077415029</v>
      </c>
      <c r="G37" s="43" t="s">
        <v>29</v>
      </c>
      <c r="H37" s="16">
        <f>H15/H$30/60/0.0283*(21-7)/(21-H$31)*1000</f>
        <v>77.78091220540684</v>
      </c>
      <c r="I37" s="43" t="s">
        <v>29</v>
      </c>
      <c r="J37" s="16">
        <f>J15/J$30/60/0.0283*(21-7)/(21-J$31)*1000</f>
        <v>81.14973260643524</v>
      </c>
      <c r="K37" s="43"/>
      <c r="L37" s="16">
        <f>L15/L$30/60/0.0283*(21-7)/(21-L$31)*1000</f>
        <v>79.9616862955461</v>
      </c>
      <c r="M37" s="18"/>
      <c r="N37" s="16">
        <f>F37</f>
        <v>81.06942077415029</v>
      </c>
      <c r="O37" s="16"/>
      <c r="P37" s="16">
        <f>H37</f>
        <v>77.78091220540684</v>
      </c>
      <c r="Q37" s="43"/>
      <c r="R37" s="16">
        <f>J37</f>
        <v>81.14973260643524</v>
      </c>
      <c r="T37" s="44">
        <f aca="true" t="shared" si="0" ref="T37:T52">AVERAGE(N37,P37,R37)</f>
        <v>80.00002186199745</v>
      </c>
      <c r="U37" s="16"/>
    </row>
    <row r="38" spans="2:20" ht="12.75">
      <c r="B38" s="15" t="s">
        <v>54</v>
      </c>
      <c r="D38" s="15" t="s">
        <v>71</v>
      </c>
      <c r="E38" s="43"/>
      <c r="F38" s="84">
        <f aca="true" t="shared" si="1" ref="F38:F50">F16/F$30/60/0.0283*(21-7)/(21-F$31)*1000000</f>
        <v>99942381.90344603</v>
      </c>
      <c r="G38" s="19"/>
      <c r="H38" s="17">
        <f aca="true" t="shared" si="2" ref="H38:H50">H16/H$30/60/0.0283*(21-7)/(21-H$31)*1000000</f>
        <v>96775010.96596721</v>
      </c>
      <c r="I38" s="19"/>
      <c r="J38" s="17">
        <f aca="true" t="shared" si="3" ref="J38:J50">J16/J$30/60/0.0283*(21-7)/(21-J$31)*1000000</f>
        <v>101161256.65371826</v>
      </c>
      <c r="K38" s="19"/>
      <c r="L38" s="17">
        <f>L16/L$30/60/0.0283*(21-7)/(21-L$31)*1000000</f>
        <v>99270568.93882509</v>
      </c>
      <c r="M38" s="19"/>
      <c r="N38" s="17">
        <f aca="true" t="shared" si="4" ref="N38:R52">F38</f>
        <v>99942381.90344603</v>
      </c>
      <c r="O38" s="17"/>
      <c r="P38" s="17">
        <f t="shared" si="4"/>
        <v>96775010.96596721</v>
      </c>
      <c r="Q38" s="17"/>
      <c r="R38" s="17">
        <f t="shared" si="4"/>
        <v>101161256.65371826</v>
      </c>
      <c r="S38" s="52"/>
      <c r="T38" s="81">
        <f t="shared" si="0"/>
        <v>99292883.17437716</v>
      </c>
    </row>
    <row r="39" spans="2:20" ht="12.75">
      <c r="B39" s="15" t="s">
        <v>99</v>
      </c>
      <c r="D39" s="15" t="s">
        <v>71</v>
      </c>
      <c r="E39" s="43">
        <v>100</v>
      </c>
      <c r="F39" s="84">
        <f t="shared" si="1"/>
        <v>17.838789167845626</v>
      </c>
      <c r="G39" s="19">
        <v>100</v>
      </c>
      <c r="H39" s="17">
        <f t="shared" si="2"/>
        <v>17.082759993201062</v>
      </c>
      <c r="I39" s="19">
        <v>100</v>
      </c>
      <c r="J39" s="17">
        <f t="shared" si="3"/>
        <v>17.839663078526666</v>
      </c>
      <c r="K39" s="19">
        <v>100</v>
      </c>
      <c r="L39" s="17">
        <f>AVERAGE(J39,H39,F39)</f>
        <v>17.58707074652445</v>
      </c>
      <c r="M39" s="43">
        <v>100</v>
      </c>
      <c r="N39" s="16">
        <f t="shared" si="4"/>
        <v>17.838789167845626</v>
      </c>
      <c r="O39" s="17">
        <v>100</v>
      </c>
      <c r="P39" s="16">
        <f t="shared" si="4"/>
        <v>17.082759993201062</v>
      </c>
      <c r="Q39" s="43">
        <v>100</v>
      </c>
      <c r="R39" s="16">
        <f t="shared" si="4"/>
        <v>17.839663078526666</v>
      </c>
      <c r="S39" s="41">
        <v>100</v>
      </c>
      <c r="T39" s="81">
        <f t="shared" si="0"/>
        <v>17.58707074652445</v>
      </c>
    </row>
    <row r="40" spans="2:20" ht="12.75">
      <c r="B40" s="15" t="s">
        <v>100</v>
      </c>
      <c r="D40" s="15" t="s">
        <v>71</v>
      </c>
      <c r="E40" s="43"/>
      <c r="F40" s="84">
        <f t="shared" si="1"/>
        <v>61.5943097682217</v>
      </c>
      <c r="G40" s="19"/>
      <c r="H40" s="17">
        <f t="shared" si="2"/>
        <v>82.43725845203846</v>
      </c>
      <c r="I40" s="19"/>
      <c r="J40" s="17">
        <f t="shared" si="3"/>
        <v>63.28031431628325</v>
      </c>
      <c r="K40" s="19"/>
      <c r="L40" s="17">
        <f aca="true" t="shared" si="5" ref="L40:L50">AVERAGE(J40,H40,F40)</f>
        <v>69.10396084551446</v>
      </c>
      <c r="N40" s="16">
        <f t="shared" si="4"/>
        <v>61.5943097682217</v>
      </c>
      <c r="O40" s="16"/>
      <c r="P40" s="16">
        <f t="shared" si="4"/>
        <v>82.43725845203846</v>
      </c>
      <c r="Q40" s="43"/>
      <c r="R40" s="16">
        <f t="shared" si="4"/>
        <v>63.28031431628325</v>
      </c>
      <c r="T40" s="81">
        <f t="shared" si="0"/>
        <v>69.10396084551446</v>
      </c>
    </row>
    <row r="41" spans="2:20" ht="12.75">
      <c r="B41" s="15" t="s">
        <v>101</v>
      </c>
      <c r="D41" s="15" t="s">
        <v>71</v>
      </c>
      <c r="E41" s="43">
        <v>100</v>
      </c>
      <c r="F41" s="84">
        <f t="shared" si="1"/>
        <v>6.462353811747849</v>
      </c>
      <c r="G41" s="19">
        <v>100</v>
      </c>
      <c r="H41" s="17">
        <f t="shared" si="2"/>
        <v>6.211912724800388</v>
      </c>
      <c r="I41" s="19">
        <v>100</v>
      </c>
      <c r="J41" s="17">
        <f t="shared" si="3"/>
        <v>6.462670398258717</v>
      </c>
      <c r="K41" s="19">
        <v>100</v>
      </c>
      <c r="L41" s="17">
        <f t="shared" si="5"/>
        <v>6.378978978268985</v>
      </c>
      <c r="M41" s="43">
        <v>100</v>
      </c>
      <c r="N41" s="16">
        <f t="shared" si="4"/>
        <v>6.462353811747849</v>
      </c>
      <c r="O41" s="17">
        <v>100</v>
      </c>
      <c r="P41" s="16">
        <f t="shared" si="4"/>
        <v>6.211912724800388</v>
      </c>
      <c r="Q41" s="43">
        <v>100</v>
      </c>
      <c r="R41" s="16">
        <f t="shared" si="4"/>
        <v>6.462670398258717</v>
      </c>
      <c r="S41" s="41">
        <v>100</v>
      </c>
      <c r="T41" s="81">
        <f t="shared" si="0"/>
        <v>6.378978978268985</v>
      </c>
    </row>
    <row r="42" spans="2:20" ht="12.75">
      <c r="B42" s="15" t="s">
        <v>102</v>
      </c>
      <c r="D42" s="15" t="s">
        <v>71</v>
      </c>
      <c r="E42" s="43">
        <v>100</v>
      </c>
      <c r="F42" s="84">
        <f t="shared" si="1"/>
        <v>3.2311769058739244</v>
      </c>
      <c r="G42" s="19">
        <v>100</v>
      </c>
      <c r="H42" s="17">
        <f t="shared" si="2"/>
        <v>3.105956362400194</v>
      </c>
      <c r="I42" s="19">
        <v>100</v>
      </c>
      <c r="J42" s="17">
        <f t="shared" si="3"/>
        <v>3.2313351991293584</v>
      </c>
      <c r="K42" s="19">
        <v>100</v>
      </c>
      <c r="L42" s="17">
        <f t="shared" si="5"/>
        <v>3.1894894891344925</v>
      </c>
      <c r="M42" s="43">
        <v>100</v>
      </c>
      <c r="N42" s="16">
        <f t="shared" si="4"/>
        <v>3.2311769058739244</v>
      </c>
      <c r="O42" s="17">
        <v>100</v>
      </c>
      <c r="P42" s="16">
        <f t="shared" si="4"/>
        <v>3.105956362400194</v>
      </c>
      <c r="Q42" s="43">
        <v>100</v>
      </c>
      <c r="R42" s="16">
        <f t="shared" si="4"/>
        <v>3.2313351991293584</v>
      </c>
      <c r="S42" s="41">
        <v>100</v>
      </c>
      <c r="T42" s="81">
        <f t="shared" si="0"/>
        <v>3.1894894891344925</v>
      </c>
    </row>
    <row r="43" spans="2:20" ht="12.75">
      <c r="B43" s="15" t="s">
        <v>103</v>
      </c>
      <c r="D43" s="15" t="s">
        <v>71</v>
      </c>
      <c r="E43" s="43">
        <v>100</v>
      </c>
      <c r="F43" s="84">
        <f t="shared" si="1"/>
        <v>1.6155884529369622</v>
      </c>
      <c r="G43" s="19">
        <v>100</v>
      </c>
      <c r="H43" s="17">
        <f t="shared" si="2"/>
        <v>1.552978181200097</v>
      </c>
      <c r="I43" s="19">
        <v>100</v>
      </c>
      <c r="J43" s="17">
        <f t="shared" si="3"/>
        <v>1.6156675995646792</v>
      </c>
      <c r="K43" s="19">
        <v>100</v>
      </c>
      <c r="L43" s="17">
        <f t="shared" si="5"/>
        <v>1.5947447445672462</v>
      </c>
      <c r="M43" s="43">
        <v>100</v>
      </c>
      <c r="N43" s="16">
        <f t="shared" si="4"/>
        <v>1.6155884529369622</v>
      </c>
      <c r="O43" s="17">
        <v>100</v>
      </c>
      <c r="P43" s="16">
        <f t="shared" si="4"/>
        <v>1.552978181200097</v>
      </c>
      <c r="Q43" s="43">
        <v>100</v>
      </c>
      <c r="R43" s="16">
        <f t="shared" si="4"/>
        <v>1.6156675995646792</v>
      </c>
      <c r="S43" s="41">
        <v>100</v>
      </c>
      <c r="T43" s="81">
        <f t="shared" si="0"/>
        <v>1.5947447445672462</v>
      </c>
    </row>
    <row r="44" spans="2:21" ht="12.75">
      <c r="B44" s="15" t="s">
        <v>119</v>
      </c>
      <c r="D44" s="15" t="s">
        <v>71</v>
      </c>
      <c r="E44" s="43"/>
      <c r="F44" s="84">
        <f t="shared" si="1"/>
        <v>38.90875524156516</v>
      </c>
      <c r="G44" s="19"/>
      <c r="H44" s="17">
        <f t="shared" si="2"/>
        <v>41.99511831661928</v>
      </c>
      <c r="I44" s="19"/>
      <c r="J44" s="17">
        <f t="shared" si="3"/>
        <v>38.97798083949789</v>
      </c>
      <c r="K44" s="19"/>
      <c r="L44" s="17">
        <f t="shared" si="5"/>
        <v>39.960618132560775</v>
      </c>
      <c r="N44" s="16">
        <f t="shared" si="4"/>
        <v>38.90875524156516</v>
      </c>
      <c r="O44" s="17"/>
      <c r="P44" s="16">
        <f t="shared" si="4"/>
        <v>41.99511831661928</v>
      </c>
      <c r="Q44" s="43"/>
      <c r="R44" s="16">
        <f t="shared" si="4"/>
        <v>38.97798083949789</v>
      </c>
      <c r="T44" s="81">
        <f t="shared" si="0"/>
        <v>39.960618132560775</v>
      </c>
      <c r="U44" s="16"/>
    </row>
    <row r="45" spans="2:21" ht="12.75">
      <c r="B45" s="15" t="s">
        <v>98</v>
      </c>
      <c r="D45" s="15" t="s">
        <v>71</v>
      </c>
      <c r="E45" s="43">
        <v>100</v>
      </c>
      <c r="F45" s="84">
        <f t="shared" si="1"/>
        <v>34.19662225383237</v>
      </c>
      <c r="G45" s="19">
        <v>100</v>
      </c>
      <c r="H45" s="17">
        <f t="shared" si="2"/>
        <v>326.70778486997034</v>
      </c>
      <c r="I45" s="19">
        <v>100</v>
      </c>
      <c r="J45" s="17">
        <f t="shared" si="3"/>
        <v>324.6145485458701</v>
      </c>
      <c r="K45" s="19">
        <v>100</v>
      </c>
      <c r="L45" s="17">
        <f t="shared" si="5"/>
        <v>228.5063185565576</v>
      </c>
      <c r="M45" s="43">
        <v>100</v>
      </c>
      <c r="N45" s="16">
        <f t="shared" si="4"/>
        <v>34.19662225383237</v>
      </c>
      <c r="O45" s="17">
        <v>100</v>
      </c>
      <c r="P45" s="16">
        <f t="shared" si="4"/>
        <v>326.70778486997034</v>
      </c>
      <c r="Q45" s="43">
        <v>100</v>
      </c>
      <c r="R45" s="16">
        <f t="shared" si="4"/>
        <v>324.6145485458701</v>
      </c>
      <c r="S45" s="41">
        <v>100</v>
      </c>
      <c r="T45" s="81">
        <f t="shared" si="0"/>
        <v>228.5063185565576</v>
      </c>
      <c r="U45" s="16"/>
    </row>
    <row r="46" spans="2:20" ht="12.75">
      <c r="B46" s="15" t="s">
        <v>104</v>
      </c>
      <c r="D46" s="15" t="s">
        <v>71</v>
      </c>
      <c r="E46" s="43">
        <v>100</v>
      </c>
      <c r="F46" s="84">
        <f t="shared" si="1"/>
        <v>1.6155884529369622</v>
      </c>
      <c r="G46" s="19">
        <v>100</v>
      </c>
      <c r="H46" s="17">
        <f t="shared" si="2"/>
        <v>3.105956362400194</v>
      </c>
      <c r="I46" s="19">
        <v>100</v>
      </c>
      <c r="J46" s="17">
        <f t="shared" si="3"/>
        <v>3.2313351991293584</v>
      </c>
      <c r="K46" s="19">
        <v>100</v>
      </c>
      <c r="L46" s="17">
        <f t="shared" si="5"/>
        <v>2.6509600048221715</v>
      </c>
      <c r="M46" s="43">
        <v>100</v>
      </c>
      <c r="N46" s="16">
        <f t="shared" si="4"/>
        <v>1.6155884529369622</v>
      </c>
      <c r="O46" s="17">
        <v>100</v>
      </c>
      <c r="P46" s="16">
        <f t="shared" si="4"/>
        <v>3.105956362400194</v>
      </c>
      <c r="Q46" s="43">
        <v>100</v>
      </c>
      <c r="R46" s="16">
        <f t="shared" si="4"/>
        <v>3.2313351991293584</v>
      </c>
      <c r="S46" s="41">
        <v>100</v>
      </c>
      <c r="T46" s="81">
        <f t="shared" si="0"/>
        <v>2.650960004822171</v>
      </c>
    </row>
    <row r="47" spans="2:20" ht="12.75">
      <c r="B47" s="15" t="s">
        <v>105</v>
      </c>
      <c r="D47" s="15" t="s">
        <v>71</v>
      </c>
      <c r="E47" s="43">
        <v>100</v>
      </c>
      <c r="F47" s="84">
        <f t="shared" si="1"/>
        <v>45.37110905331303</v>
      </c>
      <c r="G47" s="19">
        <v>100</v>
      </c>
      <c r="H47" s="17">
        <f t="shared" si="2"/>
        <v>66.90747664003749</v>
      </c>
      <c r="I47" s="19">
        <v>100</v>
      </c>
      <c r="J47" s="17">
        <f t="shared" si="3"/>
        <v>56.81764391802456</v>
      </c>
      <c r="K47" s="19">
        <v>100</v>
      </c>
      <c r="L47" s="17">
        <f t="shared" si="5"/>
        <v>56.36540987045836</v>
      </c>
      <c r="M47" s="43">
        <v>100</v>
      </c>
      <c r="N47" s="16">
        <f t="shared" si="4"/>
        <v>45.37110905331303</v>
      </c>
      <c r="O47" s="17">
        <v>100</v>
      </c>
      <c r="P47" s="16">
        <f t="shared" si="4"/>
        <v>66.90747664003749</v>
      </c>
      <c r="Q47" s="43">
        <v>100</v>
      </c>
      <c r="R47" s="16">
        <f t="shared" si="4"/>
        <v>56.81764391802456</v>
      </c>
      <c r="S47" s="41">
        <v>100</v>
      </c>
      <c r="T47" s="81">
        <f t="shared" si="0"/>
        <v>56.36540987045836</v>
      </c>
    </row>
    <row r="48" spans="2:20" ht="12.75">
      <c r="B48" s="15" t="s">
        <v>106</v>
      </c>
      <c r="D48" s="15" t="s">
        <v>71</v>
      </c>
      <c r="E48" s="43">
        <v>100</v>
      </c>
      <c r="F48" s="84">
        <f t="shared" si="1"/>
        <v>38.90875524156516</v>
      </c>
      <c r="G48" s="19">
        <v>100</v>
      </c>
      <c r="H48" s="17">
        <f t="shared" si="2"/>
        <v>26.465336504618318</v>
      </c>
      <c r="I48" s="19">
        <v>100</v>
      </c>
      <c r="J48" s="17">
        <f t="shared" si="3"/>
        <v>35.67932615705333</v>
      </c>
      <c r="K48" s="19">
        <v>100</v>
      </c>
      <c r="L48" s="17">
        <f t="shared" si="5"/>
        <v>33.684472634412266</v>
      </c>
      <c r="M48" s="43">
        <v>100</v>
      </c>
      <c r="N48" s="16">
        <f t="shared" si="4"/>
        <v>38.90875524156516</v>
      </c>
      <c r="O48" s="17">
        <v>100</v>
      </c>
      <c r="P48" s="16">
        <f t="shared" si="4"/>
        <v>26.465336504618318</v>
      </c>
      <c r="Q48" s="43">
        <v>100</v>
      </c>
      <c r="R48" s="16">
        <f t="shared" si="4"/>
        <v>35.67932615705333</v>
      </c>
      <c r="S48" s="41">
        <v>100</v>
      </c>
      <c r="T48" s="81">
        <f t="shared" si="0"/>
        <v>33.684472634412266</v>
      </c>
    </row>
    <row r="49" spans="2:21" ht="12.75">
      <c r="B49" s="15" t="s">
        <v>107</v>
      </c>
      <c r="D49" s="15" t="s">
        <v>71</v>
      </c>
      <c r="E49" s="43">
        <v>100</v>
      </c>
      <c r="F49" s="84">
        <f t="shared" si="1"/>
        <v>27.532319885467395</v>
      </c>
      <c r="G49" s="19">
        <v>100</v>
      </c>
      <c r="H49" s="17">
        <f t="shared" si="2"/>
        <v>26.465336504618318</v>
      </c>
      <c r="I49" s="19">
        <v>100</v>
      </c>
      <c r="J49" s="17">
        <f t="shared" si="3"/>
        <v>25.985320559665258</v>
      </c>
      <c r="K49" s="19">
        <v>100</v>
      </c>
      <c r="L49" s="17">
        <f t="shared" si="5"/>
        <v>26.660992316583656</v>
      </c>
      <c r="M49" s="19">
        <v>100</v>
      </c>
      <c r="N49" s="16">
        <f t="shared" si="4"/>
        <v>27.532319885467395</v>
      </c>
      <c r="O49" s="17">
        <v>100</v>
      </c>
      <c r="P49" s="16">
        <f t="shared" si="4"/>
        <v>26.465336504618318</v>
      </c>
      <c r="Q49" s="43">
        <v>100</v>
      </c>
      <c r="R49" s="16">
        <f t="shared" si="4"/>
        <v>25.985320559665258</v>
      </c>
      <c r="S49" s="41">
        <v>100</v>
      </c>
      <c r="T49" s="81">
        <f t="shared" si="0"/>
        <v>26.660992316583656</v>
      </c>
      <c r="U49" s="44"/>
    </row>
    <row r="50" spans="2:21" ht="12.75">
      <c r="B50" s="15" t="s">
        <v>108</v>
      </c>
      <c r="D50" s="15" t="s">
        <v>71</v>
      </c>
      <c r="E50" s="43">
        <v>100</v>
      </c>
      <c r="F50" s="84">
        <f t="shared" si="1"/>
        <v>14.6076122619717</v>
      </c>
      <c r="G50" s="19">
        <v>100</v>
      </c>
      <c r="H50" s="17">
        <f t="shared" si="2"/>
        <v>13.976803630800868</v>
      </c>
      <c r="I50" s="19">
        <v>100</v>
      </c>
      <c r="J50" s="17">
        <f t="shared" si="3"/>
        <v>14.608327879397304</v>
      </c>
      <c r="K50" s="19">
        <v>100</v>
      </c>
      <c r="L50" s="17">
        <f t="shared" si="5"/>
        <v>14.397581257389959</v>
      </c>
      <c r="M50" s="19">
        <v>100</v>
      </c>
      <c r="N50" s="16">
        <f t="shared" si="4"/>
        <v>14.6076122619717</v>
      </c>
      <c r="O50" s="17">
        <v>100</v>
      </c>
      <c r="P50" s="16">
        <f t="shared" si="4"/>
        <v>13.976803630800868</v>
      </c>
      <c r="Q50" s="43">
        <v>100</v>
      </c>
      <c r="R50" s="16">
        <f t="shared" si="4"/>
        <v>14.608327879397304</v>
      </c>
      <c r="S50" s="41">
        <v>100</v>
      </c>
      <c r="T50" s="81">
        <f t="shared" si="0"/>
        <v>14.397581257389959</v>
      </c>
      <c r="U50" s="16"/>
    </row>
    <row r="51" spans="2:21" ht="12.75">
      <c r="B51" s="15" t="s">
        <v>72</v>
      </c>
      <c r="D51" s="15" t="s">
        <v>71</v>
      </c>
      <c r="E51" s="43">
        <v>100</v>
      </c>
      <c r="F51" s="84">
        <f>F45+F43</f>
        <v>35.812210706769335</v>
      </c>
      <c r="G51" s="19">
        <v>100</v>
      </c>
      <c r="H51" s="17">
        <f>H45+H43</f>
        <v>328.26076305117044</v>
      </c>
      <c r="I51" s="19">
        <v>100</v>
      </c>
      <c r="J51" s="17">
        <f>J45+J43</f>
        <v>326.2302161454348</v>
      </c>
      <c r="K51" s="19">
        <v>100</v>
      </c>
      <c r="L51" s="81">
        <f>AVERAGE(F51,H51,J51)</f>
        <v>230.10106330112487</v>
      </c>
      <c r="M51" s="19">
        <v>100</v>
      </c>
      <c r="N51" s="16">
        <f t="shared" si="4"/>
        <v>35.812210706769335</v>
      </c>
      <c r="O51" s="17">
        <v>100</v>
      </c>
      <c r="P51" s="16">
        <f t="shared" si="4"/>
        <v>328.26076305117044</v>
      </c>
      <c r="Q51" s="43">
        <v>100</v>
      </c>
      <c r="R51" s="16">
        <f t="shared" si="4"/>
        <v>326.2302161454348</v>
      </c>
      <c r="S51" s="41">
        <v>100</v>
      </c>
      <c r="T51" s="44">
        <f t="shared" si="0"/>
        <v>230.10106330112487</v>
      </c>
      <c r="U51" s="16"/>
    </row>
    <row r="52" spans="2:21" ht="12.75">
      <c r="B52" s="15" t="s">
        <v>73</v>
      </c>
      <c r="D52" s="15" t="s">
        <v>71</v>
      </c>
      <c r="E52" s="43">
        <f>F42/F52*100</f>
        <v>3.1148604802076574</v>
      </c>
      <c r="F52" s="84">
        <f>F40+F42+F44</f>
        <v>103.73424191566079</v>
      </c>
      <c r="G52" s="19">
        <f>H42/H52*100</f>
        <v>2.4353120243531206</v>
      </c>
      <c r="H52" s="17">
        <f>H40+H42+H44</f>
        <v>127.53833313105794</v>
      </c>
      <c r="I52" s="19">
        <f>J42/J52*100</f>
        <v>3.063178047223995</v>
      </c>
      <c r="J52" s="17">
        <f>J40+J42+J44</f>
        <v>105.4896303549105</v>
      </c>
      <c r="K52" s="19">
        <f>L42/L52*100</f>
        <v>2.8413130434253855</v>
      </c>
      <c r="L52" s="17">
        <f>L40+L42+L44</f>
        <v>112.25406846720972</v>
      </c>
      <c r="M52" s="18">
        <v>3.1148604802076574</v>
      </c>
      <c r="N52" s="16">
        <f t="shared" si="4"/>
        <v>103.73424191566079</v>
      </c>
      <c r="O52" s="16">
        <v>3.1148604802076574</v>
      </c>
      <c r="P52" s="16">
        <f t="shared" si="4"/>
        <v>127.53833313105794</v>
      </c>
      <c r="Q52" s="43">
        <v>3.1148604802076574</v>
      </c>
      <c r="R52" s="16">
        <f t="shared" si="4"/>
        <v>105.4896303549105</v>
      </c>
      <c r="S52" s="41">
        <v>3.1148604802076574</v>
      </c>
      <c r="T52" s="44">
        <f t="shared" si="0"/>
        <v>112.25406846720973</v>
      </c>
      <c r="U52" s="16"/>
    </row>
    <row r="53" spans="5:21" ht="12.75">
      <c r="E53" s="43"/>
      <c r="G53" s="43"/>
      <c r="I53" s="43"/>
      <c r="K53" s="43"/>
      <c r="L53" s="45"/>
      <c r="M53" s="18"/>
      <c r="N53" s="16"/>
      <c r="O53" s="16"/>
      <c r="P53" s="43"/>
      <c r="Q53" s="43"/>
      <c r="T53" s="16"/>
      <c r="U53" s="16"/>
    </row>
    <row r="54" spans="1:20" ht="12.75">
      <c r="A54" s="41" t="s">
        <v>125</v>
      </c>
      <c r="B54" s="40" t="s">
        <v>182</v>
      </c>
      <c r="C54" s="40" t="s">
        <v>123</v>
      </c>
      <c r="F54" s="82" t="s">
        <v>194</v>
      </c>
      <c r="G54" s="43"/>
      <c r="H54" s="42" t="s">
        <v>195</v>
      </c>
      <c r="I54" s="43"/>
      <c r="J54" s="42" t="s">
        <v>196</v>
      </c>
      <c r="K54" s="43"/>
      <c r="L54" s="43" t="s">
        <v>48</v>
      </c>
      <c r="N54" s="43" t="s">
        <v>194</v>
      </c>
      <c r="O54" s="43"/>
      <c r="P54" s="43" t="s">
        <v>195</v>
      </c>
      <c r="Q54" s="43"/>
      <c r="R54" s="43" t="s">
        <v>196</v>
      </c>
      <c r="S54" s="43"/>
      <c r="T54" s="43" t="s">
        <v>48</v>
      </c>
    </row>
    <row r="56" spans="2:20" ht="12.75">
      <c r="B56" s="15" t="s">
        <v>231</v>
      </c>
      <c r="F56" s="82" t="s">
        <v>233</v>
      </c>
      <c r="H56" s="42" t="s">
        <v>233</v>
      </c>
      <c r="J56" s="42" t="s">
        <v>233</v>
      </c>
      <c r="L56" s="43" t="s">
        <v>233</v>
      </c>
      <c r="N56" s="43" t="s">
        <v>235</v>
      </c>
      <c r="P56" s="43" t="s">
        <v>235</v>
      </c>
      <c r="R56" s="43" t="s">
        <v>235</v>
      </c>
      <c r="T56" s="43" t="s">
        <v>235</v>
      </c>
    </row>
    <row r="57" spans="2:20" ht="12.75">
      <c r="B57" s="15" t="s">
        <v>232</v>
      </c>
      <c r="F57" s="82" t="s">
        <v>234</v>
      </c>
      <c r="H57" s="42" t="s">
        <v>234</v>
      </c>
      <c r="J57" s="42" t="s">
        <v>234</v>
      </c>
      <c r="L57" s="43" t="s">
        <v>234</v>
      </c>
      <c r="N57" s="43" t="s">
        <v>25</v>
      </c>
      <c r="P57" s="43" t="s">
        <v>25</v>
      </c>
      <c r="R57" s="43" t="s">
        <v>25</v>
      </c>
      <c r="T57" s="43" t="s">
        <v>25</v>
      </c>
    </row>
    <row r="58" spans="2:20" ht="12.75">
      <c r="B58" s="10" t="s">
        <v>236</v>
      </c>
      <c r="F58" s="82" t="s">
        <v>80</v>
      </c>
      <c r="H58" s="42" t="s">
        <v>80</v>
      </c>
      <c r="J58" s="42" t="s">
        <v>80</v>
      </c>
      <c r="L58" s="43" t="s">
        <v>80</v>
      </c>
      <c r="N58" s="43" t="s">
        <v>25</v>
      </c>
      <c r="P58" s="43" t="s">
        <v>25</v>
      </c>
      <c r="R58" s="43" t="s">
        <v>25</v>
      </c>
      <c r="T58" s="43" t="s">
        <v>25</v>
      </c>
    </row>
    <row r="59" spans="2:21" ht="12.75">
      <c r="B59" s="15" t="s">
        <v>49</v>
      </c>
      <c r="F59" s="82" t="s">
        <v>143</v>
      </c>
      <c r="H59" s="42" t="s">
        <v>143</v>
      </c>
      <c r="J59" s="42" t="s">
        <v>143</v>
      </c>
      <c r="L59" s="42" t="s">
        <v>143</v>
      </c>
      <c r="M59" s="42"/>
      <c r="N59" s="42"/>
      <c r="O59" s="42"/>
      <c r="Q59" s="42"/>
      <c r="R59" s="42"/>
      <c r="S59" s="42"/>
      <c r="T59" s="42"/>
      <c r="U59" s="42"/>
    </row>
    <row r="60" spans="2:15" ht="12.75">
      <c r="B60" s="15" t="s">
        <v>127</v>
      </c>
      <c r="D60" s="15" t="s">
        <v>59</v>
      </c>
      <c r="F60" s="82">
        <v>8302</v>
      </c>
      <c r="H60" s="42">
        <v>8292</v>
      </c>
      <c r="J60" s="42">
        <v>8291</v>
      </c>
      <c r="L60" s="16">
        <v>8295</v>
      </c>
      <c r="O60" s="44"/>
    </row>
    <row r="61" spans="2:15" ht="12.75">
      <c r="B61" s="15" t="s">
        <v>126</v>
      </c>
      <c r="D61" s="15" t="s">
        <v>69</v>
      </c>
      <c r="L61" s="16">
        <v>56</v>
      </c>
      <c r="N61" s="44"/>
      <c r="O61" s="44"/>
    </row>
    <row r="62" spans="2:12" ht="12.75">
      <c r="B62" s="15" t="s">
        <v>51</v>
      </c>
      <c r="D62" s="15" t="s">
        <v>52</v>
      </c>
      <c r="F62" s="82">
        <v>7600</v>
      </c>
      <c r="H62" s="42">
        <v>7320</v>
      </c>
      <c r="J62" s="42">
        <v>7860</v>
      </c>
      <c r="L62" s="16">
        <v>7860</v>
      </c>
    </row>
    <row r="63" spans="2:17" ht="12.75">
      <c r="B63" s="15" t="s">
        <v>61</v>
      </c>
      <c r="D63" s="15" t="s">
        <v>152</v>
      </c>
      <c r="E63" s="43"/>
      <c r="F63" s="82">
        <v>1.1845</v>
      </c>
      <c r="G63" s="43"/>
      <c r="H63" s="42">
        <v>1.858</v>
      </c>
      <c r="I63" s="43"/>
      <c r="J63" s="42">
        <v>1.858</v>
      </c>
      <c r="K63" s="43"/>
      <c r="L63" s="42">
        <v>1.1854</v>
      </c>
      <c r="N63" s="43"/>
      <c r="O63" s="43"/>
      <c r="P63" s="43"/>
      <c r="Q63" s="43"/>
    </row>
    <row r="64" spans="2:17" ht="12.75">
      <c r="B64" s="15" t="s">
        <v>58</v>
      </c>
      <c r="D64" s="15" t="s">
        <v>59</v>
      </c>
      <c r="E64" s="43"/>
      <c r="G64" s="43"/>
      <c r="I64" s="43"/>
      <c r="K64" s="43"/>
      <c r="L64" s="16">
        <v>20</v>
      </c>
      <c r="N64" s="42"/>
      <c r="O64" s="42"/>
      <c r="P64" s="42"/>
      <c r="Q64" s="42"/>
    </row>
    <row r="65" spans="2:17" ht="12.75">
      <c r="B65" s="15" t="s">
        <v>139</v>
      </c>
      <c r="D65" s="15" t="s">
        <v>59</v>
      </c>
      <c r="E65" s="43"/>
      <c r="F65" s="84"/>
      <c r="G65" s="19"/>
      <c r="H65" s="17"/>
      <c r="I65" s="19"/>
      <c r="J65" s="17"/>
      <c r="K65" s="19"/>
      <c r="L65" s="17">
        <v>54.472</v>
      </c>
      <c r="O65" s="42"/>
      <c r="P65" s="42"/>
      <c r="Q65" s="42"/>
    </row>
    <row r="66" spans="2:17" ht="12.75">
      <c r="B66" s="15" t="s">
        <v>53</v>
      </c>
      <c r="D66" s="15" t="s">
        <v>50</v>
      </c>
      <c r="E66" s="43" t="s">
        <v>29</v>
      </c>
      <c r="F66" s="84">
        <v>1882.894</v>
      </c>
      <c r="G66" s="19"/>
      <c r="H66" s="17">
        <v>1880.626</v>
      </c>
      <c r="I66" s="19"/>
      <c r="J66" s="17">
        <v>1880.399</v>
      </c>
      <c r="K66" s="19"/>
      <c r="L66" s="17">
        <v>1881.306</v>
      </c>
      <c r="N66" s="42"/>
      <c r="O66" s="42"/>
      <c r="P66" s="42"/>
      <c r="Q66" s="42"/>
    </row>
    <row r="67" spans="2:17" ht="12.75">
      <c r="B67" s="15" t="s">
        <v>54</v>
      </c>
      <c r="D67" s="15" t="s">
        <v>50</v>
      </c>
      <c r="E67" s="43"/>
      <c r="F67" s="82">
        <v>2197336.831</v>
      </c>
      <c r="G67" s="43"/>
      <c r="H67" s="42">
        <v>2219890.458</v>
      </c>
      <c r="I67" s="43"/>
      <c r="J67" s="42">
        <v>2299351.653</v>
      </c>
      <c r="K67" s="43"/>
      <c r="L67" s="42">
        <v>2238859.647</v>
      </c>
      <c r="N67" s="42"/>
      <c r="O67" s="42"/>
      <c r="P67" s="42"/>
      <c r="Q67" s="42"/>
    </row>
    <row r="68" spans="2:17" ht="12.75">
      <c r="B68" s="15" t="s">
        <v>99</v>
      </c>
      <c r="D68" s="15" t="s">
        <v>50</v>
      </c>
      <c r="E68" s="43" t="s">
        <v>29</v>
      </c>
      <c r="F68" s="82">
        <v>0.414</v>
      </c>
      <c r="G68" s="43"/>
      <c r="H68" s="42">
        <v>0.414</v>
      </c>
      <c r="I68" s="43"/>
      <c r="J68" s="42">
        <v>0.414</v>
      </c>
      <c r="K68" s="43"/>
      <c r="L68" s="16">
        <v>0.414</v>
      </c>
      <c r="N68" s="42"/>
      <c r="O68" s="42"/>
      <c r="P68" s="42"/>
      <c r="Q68" s="42"/>
    </row>
    <row r="69" spans="2:17" ht="12.75">
      <c r="B69" s="15" t="s">
        <v>100</v>
      </c>
      <c r="D69" s="15" t="s">
        <v>50</v>
      </c>
      <c r="E69" s="43"/>
      <c r="F69" s="82">
        <v>1.845</v>
      </c>
      <c r="G69" s="43"/>
      <c r="H69" s="42">
        <v>2.031</v>
      </c>
      <c r="I69" s="43"/>
      <c r="J69" s="42">
        <v>2.068</v>
      </c>
      <c r="K69" s="43"/>
      <c r="L69" s="16">
        <v>1.981</v>
      </c>
      <c r="N69" s="42"/>
      <c r="O69" s="42"/>
      <c r="P69" s="42"/>
      <c r="Q69" s="42"/>
    </row>
    <row r="70" spans="2:17" ht="12.75">
      <c r="B70" s="15" t="s">
        <v>101</v>
      </c>
      <c r="D70" s="15" t="s">
        <v>50</v>
      </c>
      <c r="E70" s="43" t="s">
        <v>29</v>
      </c>
      <c r="F70" s="82">
        <v>0.151</v>
      </c>
      <c r="G70" s="43"/>
      <c r="H70" s="42">
        <v>0.15</v>
      </c>
      <c r="I70" s="43"/>
      <c r="J70" s="42">
        <v>0.15</v>
      </c>
      <c r="K70" s="43"/>
      <c r="L70" s="42">
        <v>0.15</v>
      </c>
      <c r="N70" s="42"/>
      <c r="O70" s="42"/>
      <c r="P70" s="42"/>
      <c r="Q70" s="42"/>
    </row>
    <row r="71" spans="2:21" ht="12.75">
      <c r="B71" s="15" t="s">
        <v>102</v>
      </c>
      <c r="D71" s="15" t="s">
        <v>50</v>
      </c>
      <c r="E71" s="43" t="s">
        <v>29</v>
      </c>
      <c r="F71" s="82">
        <v>0.075</v>
      </c>
      <c r="G71" s="43"/>
      <c r="H71" s="42">
        <v>0.075</v>
      </c>
      <c r="I71" s="43"/>
      <c r="J71" s="42">
        <v>0.075</v>
      </c>
      <c r="K71" s="43"/>
      <c r="L71" s="16">
        <v>0.075</v>
      </c>
      <c r="N71" s="42"/>
      <c r="O71" s="42"/>
      <c r="P71" s="42"/>
      <c r="Q71" s="42"/>
      <c r="T71" s="44"/>
      <c r="U71" s="44"/>
    </row>
    <row r="72" spans="2:21" ht="12.75">
      <c r="B72" s="15" t="s">
        <v>103</v>
      </c>
      <c r="D72" s="15" t="s">
        <v>50</v>
      </c>
      <c r="E72" s="43" t="s">
        <v>29</v>
      </c>
      <c r="F72" s="82">
        <v>0.038</v>
      </c>
      <c r="G72" s="43"/>
      <c r="H72" s="42">
        <v>0.038</v>
      </c>
      <c r="I72" s="43"/>
      <c r="J72" s="42">
        <v>0.038</v>
      </c>
      <c r="K72" s="43"/>
      <c r="L72" s="41">
        <v>0.038</v>
      </c>
      <c r="N72" s="42"/>
      <c r="O72" s="42"/>
      <c r="P72" s="42"/>
      <c r="Q72" s="42"/>
      <c r="T72" s="16"/>
      <c r="U72" s="16"/>
    </row>
    <row r="73" spans="2:21" ht="12.75">
      <c r="B73" s="15" t="s">
        <v>119</v>
      </c>
      <c r="D73" s="15" t="s">
        <v>50</v>
      </c>
      <c r="E73" s="43"/>
      <c r="F73" s="82">
        <v>1.017</v>
      </c>
      <c r="G73" s="43"/>
      <c r="H73" s="42">
        <v>1.128</v>
      </c>
      <c r="I73" s="43"/>
      <c r="J73" s="42">
        <v>1.128</v>
      </c>
      <c r="K73" s="43"/>
      <c r="L73" s="41">
        <v>1.091</v>
      </c>
      <c r="N73" s="42"/>
      <c r="O73" s="42"/>
      <c r="P73" s="42"/>
      <c r="Q73" s="42"/>
      <c r="T73" s="16"/>
      <c r="U73" s="16"/>
    </row>
    <row r="74" spans="2:21" ht="12.75">
      <c r="B74" s="15" t="s">
        <v>98</v>
      </c>
      <c r="D74" s="15" t="s">
        <v>50</v>
      </c>
      <c r="E74" s="43" t="s">
        <v>29</v>
      </c>
      <c r="F74" s="82">
        <v>7.908</v>
      </c>
      <c r="G74" s="43"/>
      <c r="H74" s="42">
        <v>7.899</v>
      </c>
      <c r="I74" s="43"/>
      <c r="J74" s="42">
        <v>7.522</v>
      </c>
      <c r="K74" s="43"/>
      <c r="L74" s="41">
        <v>7.776</v>
      </c>
      <c r="N74" s="42"/>
      <c r="O74" s="42"/>
      <c r="P74" s="42"/>
      <c r="Q74" s="42"/>
      <c r="T74" s="16"/>
      <c r="U74" s="16"/>
    </row>
    <row r="75" spans="2:17" ht="12.75">
      <c r="B75" s="15" t="s">
        <v>104</v>
      </c>
      <c r="D75" s="15" t="s">
        <v>50</v>
      </c>
      <c r="E75" s="43" t="s">
        <v>29</v>
      </c>
      <c r="F75" s="82">
        <v>0.038</v>
      </c>
      <c r="G75" s="43"/>
      <c r="H75" s="42">
        <v>0.038</v>
      </c>
      <c r="I75" s="43"/>
      <c r="J75" s="42">
        <v>0.075</v>
      </c>
      <c r="K75" s="43"/>
      <c r="L75" s="16">
        <v>0.05</v>
      </c>
      <c r="N75" s="42"/>
      <c r="O75" s="42"/>
      <c r="P75" s="42"/>
      <c r="Q75" s="42"/>
    </row>
    <row r="76" spans="2:19" ht="12.75">
      <c r="B76" s="15" t="s">
        <v>105</v>
      </c>
      <c r="D76" s="15" t="s">
        <v>50</v>
      </c>
      <c r="E76" s="43" t="s">
        <v>29</v>
      </c>
      <c r="F76" s="82">
        <v>1.017</v>
      </c>
      <c r="G76" s="43"/>
      <c r="H76" s="42">
        <v>1.467</v>
      </c>
      <c r="I76" s="43"/>
      <c r="J76" s="42">
        <v>2.933</v>
      </c>
      <c r="K76" s="43"/>
      <c r="L76" s="17">
        <v>1.806</v>
      </c>
      <c r="N76" s="17"/>
      <c r="O76" s="17"/>
      <c r="P76" s="42"/>
      <c r="Q76" s="42"/>
      <c r="R76" s="17"/>
      <c r="S76" s="17"/>
    </row>
    <row r="77" spans="2:17" ht="12.75">
      <c r="B77" s="15" t="s">
        <v>106</v>
      </c>
      <c r="D77" s="15" t="s">
        <v>50</v>
      </c>
      <c r="E77" s="43" t="s">
        <v>29</v>
      </c>
      <c r="F77" s="82">
        <v>0.64</v>
      </c>
      <c r="G77" s="43"/>
      <c r="H77" s="42">
        <v>0.639</v>
      </c>
      <c r="I77" s="43"/>
      <c r="J77" s="42">
        <v>0.639</v>
      </c>
      <c r="K77" s="43"/>
      <c r="L77" s="42">
        <v>0.639</v>
      </c>
      <c r="N77" s="42"/>
      <c r="O77" s="42"/>
      <c r="P77" s="42"/>
      <c r="Q77" s="42"/>
    </row>
    <row r="78" spans="2:17" ht="12.75">
      <c r="B78" s="15" t="s">
        <v>107</v>
      </c>
      <c r="D78" s="15" t="s">
        <v>50</v>
      </c>
      <c r="E78" s="43" t="s">
        <v>29</v>
      </c>
      <c r="F78" s="82">
        <v>0.64</v>
      </c>
      <c r="G78" s="43"/>
      <c r="H78" s="42">
        <v>0.639</v>
      </c>
      <c r="I78" s="43"/>
      <c r="J78" s="42">
        <v>0.602</v>
      </c>
      <c r="K78" s="43"/>
      <c r="L78" s="42">
        <v>0.627</v>
      </c>
      <c r="N78" s="42"/>
      <c r="O78" s="42"/>
      <c r="P78" s="43"/>
      <c r="Q78" s="43"/>
    </row>
    <row r="79" spans="2:17" ht="12.75">
      <c r="B79" s="15" t="s">
        <v>108</v>
      </c>
      <c r="D79" s="15" t="s">
        <v>50</v>
      </c>
      <c r="E79" s="43" t="s">
        <v>29</v>
      </c>
      <c r="F79" s="82">
        <v>0.339</v>
      </c>
      <c r="G79" s="43"/>
      <c r="H79" s="42">
        <v>0.339</v>
      </c>
      <c r="I79" s="43"/>
      <c r="J79" s="42">
        <v>0.338</v>
      </c>
      <c r="K79" s="43"/>
      <c r="L79" s="42">
        <v>0.339</v>
      </c>
      <c r="N79" s="42"/>
      <c r="O79" s="42"/>
      <c r="P79" s="43"/>
      <c r="Q79" s="43"/>
    </row>
    <row r="80" spans="5:17" ht="12.75">
      <c r="E80" s="43"/>
      <c r="G80" s="43"/>
      <c r="I80" s="43"/>
      <c r="K80" s="43"/>
      <c r="N80" s="42"/>
      <c r="O80" s="42"/>
      <c r="P80" s="43"/>
      <c r="Q80" s="43"/>
    </row>
    <row r="81" spans="2:17" ht="12.75">
      <c r="B81" s="15" t="s">
        <v>77</v>
      </c>
      <c r="D81" s="15" t="s">
        <v>17</v>
      </c>
      <c r="E81" s="43"/>
      <c r="F81" s="82">
        <f>'emiss 1'!G56</f>
        <v>15503</v>
      </c>
      <c r="G81" s="43"/>
      <c r="H81" s="42">
        <f>'emiss 1'!I56</f>
        <v>15115</v>
      </c>
      <c r="I81" s="43"/>
      <c r="J81" s="42">
        <f>'emiss 1'!K56</f>
        <v>14000</v>
      </c>
      <c r="K81" s="43"/>
      <c r="L81" s="42">
        <f>'emiss 1'!M56</f>
        <v>14873</v>
      </c>
      <c r="N81" s="42"/>
      <c r="O81" s="42"/>
      <c r="P81" s="43"/>
      <c r="Q81" s="43"/>
    </row>
    <row r="82" spans="2:17" ht="12.75">
      <c r="B82" s="15" t="s">
        <v>78</v>
      </c>
      <c r="D82" s="15" t="s">
        <v>18</v>
      </c>
      <c r="E82" s="43"/>
      <c r="F82" s="82">
        <f>'emiss 1'!G57</f>
        <v>8.7</v>
      </c>
      <c r="G82" s="43"/>
      <c r="H82" s="42">
        <f>'emiss 1'!I57</f>
        <v>8.7</v>
      </c>
      <c r="I82" s="43"/>
      <c r="J82" s="42">
        <f>'emiss 1'!K57</f>
        <v>8.6</v>
      </c>
      <c r="K82" s="43"/>
      <c r="L82" s="42">
        <f>'emiss 1'!M57</f>
        <v>8.7</v>
      </c>
      <c r="N82" s="42"/>
      <c r="O82" s="42"/>
      <c r="P82" s="43"/>
      <c r="Q82" s="43"/>
    </row>
    <row r="83" spans="5:17" ht="12.75">
      <c r="E83" s="43"/>
      <c r="G83" s="43"/>
      <c r="I83" s="43"/>
      <c r="K83" s="43"/>
      <c r="N83" s="42"/>
      <c r="O83" s="42"/>
      <c r="P83" s="43"/>
      <c r="Q83" s="43"/>
    </row>
    <row r="84" spans="2:20" ht="12.75">
      <c r="B84" s="15" t="s">
        <v>126</v>
      </c>
      <c r="D84" s="15" t="s">
        <v>70</v>
      </c>
      <c r="E84" s="43"/>
      <c r="F84" s="83">
        <f>F60*F62/1000000</f>
        <v>63.0952</v>
      </c>
      <c r="G84" s="43"/>
      <c r="H84" s="16">
        <f>H60*H62/1000000</f>
        <v>60.69744</v>
      </c>
      <c r="I84" s="43"/>
      <c r="J84" s="16">
        <f>J60*J62/1000000</f>
        <v>65.16726</v>
      </c>
      <c r="K84" s="43"/>
      <c r="L84" s="16">
        <f>L60*L62/1000000</f>
        <v>65.1987</v>
      </c>
      <c r="N84" s="16">
        <f>F84</f>
        <v>63.0952</v>
      </c>
      <c r="O84" s="16"/>
      <c r="P84" s="16">
        <f>H84</f>
        <v>60.69744</v>
      </c>
      <c r="Q84" s="43"/>
      <c r="R84" s="16">
        <f>J84</f>
        <v>65.16726</v>
      </c>
      <c r="T84" s="44">
        <f>AVERAGE(N84,P84,R84)</f>
        <v>62.98663333333334</v>
      </c>
    </row>
    <row r="85" spans="2:20" ht="12.75">
      <c r="B85" s="15" t="s">
        <v>237</v>
      </c>
      <c r="D85" s="15" t="s">
        <v>70</v>
      </c>
      <c r="E85" s="43"/>
      <c r="F85" s="83"/>
      <c r="G85" s="43"/>
      <c r="H85" s="16"/>
      <c r="I85" s="43"/>
      <c r="J85" s="16"/>
      <c r="K85" s="43"/>
      <c r="L85" s="44"/>
      <c r="N85" s="44">
        <f>F81/9000*(21-F82)/21*60</f>
        <v>60.53552380952381</v>
      </c>
      <c r="O85" s="43"/>
      <c r="P85" s="44">
        <f>H81/9000*(21-H82)/21*60</f>
        <v>59.0204761904762</v>
      </c>
      <c r="Q85" s="43"/>
      <c r="R85" s="44">
        <f>J81/9000*(21-J82)/21*60</f>
        <v>55.111111111111114</v>
      </c>
      <c r="S85" s="43"/>
      <c r="T85" s="44">
        <f>AVERAGE(N85,P85,R85)</f>
        <v>58.22237037037038</v>
      </c>
    </row>
    <row r="86" spans="5:17" ht="12.75">
      <c r="E86" s="43"/>
      <c r="G86" s="43"/>
      <c r="I86" s="43"/>
      <c r="K86" s="43"/>
      <c r="L86" s="41"/>
      <c r="N86" s="16"/>
      <c r="O86" s="16"/>
      <c r="P86" s="43"/>
      <c r="Q86" s="43"/>
    </row>
    <row r="87" spans="2:17" ht="12.75">
      <c r="B87" s="62" t="s">
        <v>92</v>
      </c>
      <c r="C87" s="62"/>
      <c r="E87" s="43"/>
      <c r="G87" s="43"/>
      <c r="I87" s="43"/>
      <c r="K87" s="43"/>
      <c r="L87" s="41"/>
      <c r="N87" s="16"/>
      <c r="O87" s="16"/>
      <c r="P87" s="43"/>
      <c r="Q87" s="43"/>
    </row>
    <row r="88" spans="2:20" ht="12.75">
      <c r="B88" s="15" t="s">
        <v>53</v>
      </c>
      <c r="D88" s="15" t="s">
        <v>79</v>
      </c>
      <c r="E88" s="43">
        <v>100</v>
      </c>
      <c r="F88" s="83">
        <f>F66/F$81/60/0.0283*(21-7)/(21-F$82)*1000</f>
        <v>81.41330076217707</v>
      </c>
      <c r="G88" s="43">
        <v>100</v>
      </c>
      <c r="H88" s="16">
        <f>H66/H$81/60/0.0283*(21-7)/(21-H$82)*1000</f>
        <v>83.40258718101103</v>
      </c>
      <c r="I88" s="43">
        <v>100</v>
      </c>
      <c r="J88" s="16">
        <f>J66/J$81/60/0.0283*(21-7)/(21-J$82)*1000</f>
        <v>89.30805691705612</v>
      </c>
      <c r="K88" s="43">
        <v>100</v>
      </c>
      <c r="L88" s="45">
        <f>AVERAGE(J88,H88,F88)</f>
        <v>84.70798162008141</v>
      </c>
      <c r="M88" s="43">
        <v>100</v>
      </c>
      <c r="N88" s="16">
        <f>F88</f>
        <v>81.41330076217707</v>
      </c>
      <c r="O88" s="17">
        <v>100</v>
      </c>
      <c r="P88" s="16">
        <f>H88</f>
        <v>83.40258718101103</v>
      </c>
      <c r="Q88" s="43">
        <v>100</v>
      </c>
      <c r="R88" s="16">
        <f>J88</f>
        <v>89.30805691705612</v>
      </c>
      <c r="S88" s="41">
        <v>100</v>
      </c>
      <c r="T88" s="44">
        <f>AVERAGE(N88,P88,R88)</f>
        <v>84.70798162008141</v>
      </c>
    </row>
    <row r="89" spans="2:20" ht="12.75">
      <c r="B89" s="15" t="s">
        <v>54</v>
      </c>
      <c r="D89" s="15" t="s">
        <v>71</v>
      </c>
      <c r="E89" s="43"/>
      <c r="F89" s="84">
        <f>F67/F$81/60/0.0283*(21-7)/(21-F$82)*1000000</f>
        <v>95009301.7971336</v>
      </c>
      <c r="G89" s="19"/>
      <c r="H89" s="17">
        <f>H67/H$81/60/0.0283*(21-7)/(21-H$82)*1000000</f>
        <v>98448392.9583232</v>
      </c>
      <c r="I89" s="19"/>
      <c r="J89" s="17">
        <f aca="true" t="shared" si="6" ref="J89:J101">J67/J$81/60/0.0283*(21-7)/(21-J$82)*1000000</f>
        <v>109205880.40009119</v>
      </c>
      <c r="K89" s="19"/>
      <c r="L89" s="17">
        <f>L67/L$81/60/0.0283*(21-7)/(21-L$82)*1000000/2</f>
        <v>50452597.860367596</v>
      </c>
      <c r="N89" s="17">
        <f aca="true" t="shared" si="7" ref="N89:R103">F89</f>
        <v>95009301.7971336</v>
      </c>
      <c r="O89" s="17"/>
      <c r="P89" s="17">
        <f t="shared" si="7"/>
        <v>98448392.9583232</v>
      </c>
      <c r="Q89" s="64"/>
      <c r="R89" s="17">
        <f t="shared" si="7"/>
        <v>109205880.40009119</v>
      </c>
      <c r="S89" s="52"/>
      <c r="T89" s="81">
        <f>AVERAGE(N89,P89,R89)</f>
        <v>100887858.38518266</v>
      </c>
    </row>
    <row r="90" spans="2:20" ht="12.75">
      <c r="B90" s="15" t="s">
        <v>99</v>
      </c>
      <c r="D90" s="15" t="s">
        <v>71</v>
      </c>
      <c r="E90" s="43">
        <v>100</v>
      </c>
      <c r="F90" s="84">
        <f>F68/F$81/60/0.0283*(21-7)/(21-F$82)*1000000</f>
        <v>17.900692506079103</v>
      </c>
      <c r="G90" s="19">
        <v>100</v>
      </c>
      <c r="H90" s="17">
        <f>H68/H$81/60/0.0283*(21-7)/(21-H$82)*1000000</f>
        <v>18.360200854895428</v>
      </c>
      <c r="I90" s="19">
        <v>100</v>
      </c>
      <c r="J90" s="17">
        <f t="shared" si="6"/>
        <v>19.662601162658156</v>
      </c>
      <c r="K90" s="19">
        <v>100</v>
      </c>
      <c r="L90" s="17">
        <f aca="true" t="shared" si="8" ref="L90:L103">AVERAGE(J90,H90,F90)</f>
        <v>18.641164841210898</v>
      </c>
      <c r="M90" s="43">
        <v>100</v>
      </c>
      <c r="N90" s="16">
        <f t="shared" si="7"/>
        <v>17.900692506079103</v>
      </c>
      <c r="O90" s="17">
        <v>100</v>
      </c>
      <c r="P90" s="16">
        <f t="shared" si="7"/>
        <v>18.360200854895428</v>
      </c>
      <c r="Q90" s="43">
        <v>100</v>
      </c>
      <c r="R90" s="16">
        <f t="shared" si="7"/>
        <v>19.662601162658156</v>
      </c>
      <c r="S90" s="41">
        <v>100</v>
      </c>
      <c r="T90" s="81">
        <f>AVERAGE(N90,P90,R90)</f>
        <v>18.641164841210898</v>
      </c>
    </row>
    <row r="91" spans="2:20" ht="12.75">
      <c r="B91" s="15" t="s">
        <v>100</v>
      </c>
      <c r="D91" s="15" t="s">
        <v>71</v>
      </c>
      <c r="E91" s="43"/>
      <c r="F91" s="84">
        <f aca="true" t="shared" si="9" ref="F91:H101">F69/F$81/60/0.0283*(21-7)/(21-F$82)*1000000</f>
        <v>79.7748252988308</v>
      </c>
      <c r="G91" s="19"/>
      <c r="H91" s="17">
        <f t="shared" si="9"/>
        <v>90.0714201359725</v>
      </c>
      <c r="I91" s="19"/>
      <c r="J91" s="17">
        <f t="shared" si="6"/>
        <v>98.21801740187698</v>
      </c>
      <c r="K91" s="19"/>
      <c r="L91" s="17">
        <f t="shared" si="8"/>
        <v>89.35475427889344</v>
      </c>
      <c r="N91" s="16">
        <f t="shared" si="7"/>
        <v>79.7748252988308</v>
      </c>
      <c r="O91" s="17"/>
      <c r="P91" s="16">
        <f t="shared" si="7"/>
        <v>90.0714201359725</v>
      </c>
      <c r="Q91" s="43"/>
      <c r="R91" s="16">
        <f t="shared" si="7"/>
        <v>98.21801740187698</v>
      </c>
      <c r="T91" s="81">
        <f aca="true" t="shared" si="10" ref="T91:T96">AVERAGE(N91,P91,R91)</f>
        <v>89.35475427889344</v>
      </c>
    </row>
    <row r="92" spans="2:20" ht="12.75">
      <c r="B92" s="15" t="s">
        <v>101</v>
      </c>
      <c r="D92" s="15" t="s">
        <v>71</v>
      </c>
      <c r="E92" s="43">
        <v>100</v>
      </c>
      <c r="F92" s="84">
        <f t="shared" si="9"/>
        <v>6.52899654207233</v>
      </c>
      <c r="G92" s="19">
        <v>100</v>
      </c>
      <c r="H92" s="17">
        <f t="shared" si="9"/>
        <v>6.652246686556315</v>
      </c>
      <c r="I92" s="19">
        <v>100</v>
      </c>
      <c r="J92" s="17">
        <f t="shared" si="6"/>
        <v>7.124130856035564</v>
      </c>
      <c r="K92" s="19">
        <v>100</v>
      </c>
      <c r="L92" s="17">
        <f t="shared" si="8"/>
        <v>6.768458028221403</v>
      </c>
      <c r="M92" s="43">
        <v>100</v>
      </c>
      <c r="N92" s="16">
        <f t="shared" si="7"/>
        <v>6.52899654207233</v>
      </c>
      <c r="O92" s="17">
        <v>100</v>
      </c>
      <c r="P92" s="16">
        <f t="shared" si="7"/>
        <v>6.652246686556315</v>
      </c>
      <c r="Q92" s="43">
        <v>100</v>
      </c>
      <c r="R92" s="16">
        <f t="shared" si="7"/>
        <v>7.124130856035564</v>
      </c>
      <c r="S92" s="41">
        <v>100</v>
      </c>
      <c r="T92" s="81">
        <f t="shared" si="10"/>
        <v>6.768458028221403</v>
      </c>
    </row>
    <row r="93" spans="2:20" ht="12.75">
      <c r="B93" s="15" t="s">
        <v>102</v>
      </c>
      <c r="D93" s="15" t="s">
        <v>71</v>
      </c>
      <c r="E93" s="43">
        <v>100</v>
      </c>
      <c r="F93" s="84">
        <f t="shared" si="9"/>
        <v>3.2428790771882436</v>
      </c>
      <c r="G93" s="19">
        <v>100</v>
      </c>
      <c r="H93" s="17">
        <f t="shared" si="9"/>
        <v>3.3261233432781574</v>
      </c>
      <c r="I93" s="19">
        <v>100</v>
      </c>
      <c r="J93" s="17">
        <f t="shared" si="6"/>
        <v>3.562065428017782</v>
      </c>
      <c r="K93" s="19">
        <v>100</v>
      </c>
      <c r="L93" s="17">
        <f t="shared" si="8"/>
        <v>3.377022616161394</v>
      </c>
      <c r="M93" s="43">
        <v>100</v>
      </c>
      <c r="N93" s="16">
        <f t="shared" si="7"/>
        <v>3.2428790771882436</v>
      </c>
      <c r="O93" s="17">
        <v>100</v>
      </c>
      <c r="P93" s="16">
        <f t="shared" si="7"/>
        <v>3.3261233432781574</v>
      </c>
      <c r="Q93" s="43">
        <v>100</v>
      </c>
      <c r="R93" s="16">
        <f t="shared" si="7"/>
        <v>3.562065428017782</v>
      </c>
      <c r="S93" s="41">
        <v>100</v>
      </c>
      <c r="T93" s="81">
        <f t="shared" si="10"/>
        <v>3.377022616161394</v>
      </c>
    </row>
    <row r="94" spans="2:20" ht="12.75">
      <c r="B94" s="15" t="s">
        <v>103</v>
      </c>
      <c r="D94" s="15" t="s">
        <v>71</v>
      </c>
      <c r="E94" s="43">
        <v>100</v>
      </c>
      <c r="F94" s="84">
        <f t="shared" si="9"/>
        <v>1.6430587324420436</v>
      </c>
      <c r="G94" s="19">
        <v>100</v>
      </c>
      <c r="H94" s="17">
        <f t="shared" si="9"/>
        <v>1.6852358272609327</v>
      </c>
      <c r="I94" s="19">
        <v>100</v>
      </c>
      <c r="J94" s="17">
        <f t="shared" si="6"/>
        <v>1.8047798168623426</v>
      </c>
      <c r="K94" s="19">
        <v>100</v>
      </c>
      <c r="L94" s="17">
        <f t="shared" si="8"/>
        <v>1.7110247921884396</v>
      </c>
      <c r="M94" s="43">
        <v>100</v>
      </c>
      <c r="N94" s="16">
        <f t="shared" si="7"/>
        <v>1.6430587324420436</v>
      </c>
      <c r="O94" s="17">
        <v>100</v>
      </c>
      <c r="P94" s="16">
        <f t="shared" si="7"/>
        <v>1.6852358272609327</v>
      </c>
      <c r="Q94" s="43">
        <v>100</v>
      </c>
      <c r="R94" s="16">
        <f t="shared" si="7"/>
        <v>1.8047798168623426</v>
      </c>
      <c r="S94" s="41">
        <v>100</v>
      </c>
      <c r="T94" s="81">
        <f t="shared" si="10"/>
        <v>1.7110247921884394</v>
      </c>
    </row>
    <row r="95" spans="2:20" ht="12.75">
      <c r="B95" s="15" t="s">
        <v>119</v>
      </c>
      <c r="D95" s="15" t="s">
        <v>71</v>
      </c>
      <c r="E95" s="43"/>
      <c r="F95" s="84">
        <f t="shared" si="9"/>
        <v>43.97344028667257</v>
      </c>
      <c r="G95" s="19"/>
      <c r="H95" s="17">
        <f t="shared" si="9"/>
        <v>50.02489508290347</v>
      </c>
      <c r="I95" s="19"/>
      <c r="J95" s="17">
        <f t="shared" si="6"/>
        <v>53.57346403738744</v>
      </c>
      <c r="K95" s="19"/>
      <c r="L95" s="17">
        <f t="shared" si="8"/>
        <v>49.19059980232115</v>
      </c>
      <c r="N95" s="16">
        <f t="shared" si="7"/>
        <v>43.97344028667257</v>
      </c>
      <c r="O95" s="17"/>
      <c r="P95" s="16">
        <f t="shared" si="7"/>
        <v>50.02489508290347</v>
      </c>
      <c r="Q95" s="43"/>
      <c r="R95" s="16">
        <f t="shared" si="7"/>
        <v>53.57346403738744</v>
      </c>
      <c r="T95" s="81">
        <f t="shared" si="10"/>
        <v>49.19059980232115</v>
      </c>
    </row>
    <row r="96" spans="2:20" ht="12.75">
      <c r="B96" s="15" t="s">
        <v>98</v>
      </c>
      <c r="D96" s="15" t="s">
        <v>71</v>
      </c>
      <c r="E96" s="43">
        <v>100</v>
      </c>
      <c r="F96" s="84">
        <f t="shared" si="9"/>
        <v>341.92916989872845</v>
      </c>
      <c r="G96" s="19">
        <v>100</v>
      </c>
      <c r="H96" s="17">
        <f t="shared" si="9"/>
        <v>350.3073105140555</v>
      </c>
      <c r="I96" s="19">
        <v>100</v>
      </c>
      <c r="J96" s="17">
        <f t="shared" si="6"/>
        <v>357.25141532733005</v>
      </c>
      <c r="K96" s="19">
        <v>100</v>
      </c>
      <c r="L96" s="17">
        <f t="shared" si="8"/>
        <v>349.8292985800379</v>
      </c>
      <c r="M96" s="43">
        <v>100</v>
      </c>
      <c r="N96" s="16">
        <f t="shared" si="7"/>
        <v>341.92916989872845</v>
      </c>
      <c r="O96" s="17">
        <v>100</v>
      </c>
      <c r="P96" s="16">
        <f t="shared" si="7"/>
        <v>350.3073105140555</v>
      </c>
      <c r="Q96" s="43">
        <v>100</v>
      </c>
      <c r="R96" s="16">
        <f t="shared" si="7"/>
        <v>357.25141532733005</v>
      </c>
      <c r="S96" s="41">
        <v>100</v>
      </c>
      <c r="T96" s="81">
        <f t="shared" si="10"/>
        <v>349.829298580038</v>
      </c>
    </row>
    <row r="97" spans="2:20" ht="12.75">
      <c r="B97" s="15" t="s">
        <v>104</v>
      </c>
      <c r="D97" s="15" t="s">
        <v>71</v>
      </c>
      <c r="E97" s="43">
        <v>100</v>
      </c>
      <c r="F97" s="84">
        <f t="shared" si="9"/>
        <v>1.6430587324420436</v>
      </c>
      <c r="G97" s="19">
        <v>100</v>
      </c>
      <c r="H97" s="17">
        <f t="shared" si="9"/>
        <v>1.6852358272609327</v>
      </c>
      <c r="I97" s="19">
        <v>100</v>
      </c>
      <c r="J97" s="17">
        <f t="shared" si="6"/>
        <v>3.562065428017782</v>
      </c>
      <c r="K97" s="19">
        <v>100</v>
      </c>
      <c r="L97" s="17">
        <f t="shared" si="8"/>
        <v>2.296786662573586</v>
      </c>
      <c r="M97" s="43">
        <v>100</v>
      </c>
      <c r="N97" s="16">
        <f t="shared" si="7"/>
        <v>1.6430587324420436</v>
      </c>
      <c r="O97" s="17">
        <v>100</v>
      </c>
      <c r="P97" s="16">
        <f t="shared" si="7"/>
        <v>1.6852358272609327</v>
      </c>
      <c r="Q97" s="43">
        <v>100</v>
      </c>
      <c r="R97" s="16">
        <f t="shared" si="7"/>
        <v>3.562065428017782</v>
      </c>
      <c r="S97" s="41">
        <v>100</v>
      </c>
      <c r="T97" s="81">
        <f aca="true" t="shared" si="11" ref="T97:T103">AVERAGE(N97,P97,R97)</f>
        <v>2.296786662573586</v>
      </c>
    </row>
    <row r="98" spans="2:20" ht="12.75">
      <c r="B98" s="15" t="s">
        <v>105</v>
      </c>
      <c r="D98" s="15" t="s">
        <v>71</v>
      </c>
      <c r="E98" s="43">
        <v>100</v>
      </c>
      <c r="F98" s="84">
        <f t="shared" si="9"/>
        <v>43.97344028667257</v>
      </c>
      <c r="G98" s="19">
        <v>100</v>
      </c>
      <c r="H98" s="17">
        <f t="shared" si="9"/>
        <v>65.05897259452075</v>
      </c>
      <c r="I98" s="19">
        <v>100</v>
      </c>
      <c r="J98" s="17">
        <f t="shared" si="6"/>
        <v>139.30050533834873</v>
      </c>
      <c r="K98" s="19">
        <v>100</v>
      </c>
      <c r="L98" s="17">
        <f t="shared" si="8"/>
        <v>82.77763940651401</v>
      </c>
      <c r="M98" s="43">
        <v>100</v>
      </c>
      <c r="N98" s="16">
        <f t="shared" si="7"/>
        <v>43.97344028667257</v>
      </c>
      <c r="O98" s="17">
        <v>100</v>
      </c>
      <c r="P98" s="16">
        <f t="shared" si="7"/>
        <v>65.05897259452075</v>
      </c>
      <c r="Q98" s="43">
        <v>100</v>
      </c>
      <c r="R98" s="16">
        <f t="shared" si="7"/>
        <v>139.30050533834873</v>
      </c>
      <c r="S98" s="41">
        <v>100</v>
      </c>
      <c r="T98" s="81">
        <f t="shared" si="11"/>
        <v>82.77763940651401</v>
      </c>
    </row>
    <row r="99" spans="2:20" ht="12.75">
      <c r="B99" s="15" t="s">
        <v>106</v>
      </c>
      <c r="D99" s="15" t="s">
        <v>71</v>
      </c>
      <c r="E99" s="43">
        <v>100</v>
      </c>
      <c r="F99" s="84">
        <f t="shared" si="9"/>
        <v>27.672568125339684</v>
      </c>
      <c r="G99" s="19">
        <v>100</v>
      </c>
      <c r="H99" s="17">
        <f t="shared" si="9"/>
        <v>28.338570884729897</v>
      </c>
      <c r="I99" s="19">
        <v>100</v>
      </c>
      <c r="J99" s="17">
        <f t="shared" si="6"/>
        <v>30.348797446711504</v>
      </c>
      <c r="K99" s="19">
        <v>100</v>
      </c>
      <c r="L99" s="17">
        <f t="shared" si="8"/>
        <v>28.786645485593695</v>
      </c>
      <c r="M99" s="43">
        <v>100</v>
      </c>
      <c r="N99" s="16">
        <f t="shared" si="7"/>
        <v>27.672568125339684</v>
      </c>
      <c r="O99" s="17">
        <v>100</v>
      </c>
      <c r="P99" s="16">
        <f t="shared" si="7"/>
        <v>28.338570884729897</v>
      </c>
      <c r="Q99" s="43">
        <v>100</v>
      </c>
      <c r="R99" s="16">
        <f t="shared" si="7"/>
        <v>30.348797446711504</v>
      </c>
      <c r="S99" s="41">
        <v>100</v>
      </c>
      <c r="T99" s="81">
        <f t="shared" si="11"/>
        <v>28.786645485593695</v>
      </c>
    </row>
    <row r="100" spans="2:20" ht="12.75">
      <c r="B100" s="15" t="s">
        <v>107</v>
      </c>
      <c r="D100" s="15" t="s">
        <v>71</v>
      </c>
      <c r="E100" s="43">
        <v>100</v>
      </c>
      <c r="F100" s="84">
        <f t="shared" si="9"/>
        <v>27.672568125339684</v>
      </c>
      <c r="G100" s="19">
        <v>100</v>
      </c>
      <c r="H100" s="17">
        <f t="shared" si="9"/>
        <v>28.338570884729897</v>
      </c>
      <c r="I100" s="19">
        <v>100</v>
      </c>
      <c r="J100" s="17">
        <f t="shared" si="6"/>
        <v>28.591511835556062</v>
      </c>
      <c r="K100" s="19">
        <v>100</v>
      </c>
      <c r="L100" s="17">
        <f t="shared" si="8"/>
        <v>28.20088361520855</v>
      </c>
      <c r="M100" s="43">
        <v>100</v>
      </c>
      <c r="N100" s="16">
        <f t="shared" si="7"/>
        <v>27.672568125339684</v>
      </c>
      <c r="O100" s="17">
        <v>100</v>
      </c>
      <c r="P100" s="16">
        <f t="shared" si="7"/>
        <v>28.338570884729897</v>
      </c>
      <c r="Q100" s="43">
        <v>100</v>
      </c>
      <c r="R100" s="16">
        <f t="shared" si="7"/>
        <v>28.591511835556062</v>
      </c>
      <c r="S100" s="41">
        <v>100</v>
      </c>
      <c r="T100" s="81">
        <f t="shared" si="11"/>
        <v>28.20088361520855</v>
      </c>
    </row>
    <row r="101" spans="2:20" ht="12.75">
      <c r="B101" s="15" t="s">
        <v>108</v>
      </c>
      <c r="D101" s="15" t="s">
        <v>71</v>
      </c>
      <c r="E101" s="43">
        <v>100</v>
      </c>
      <c r="F101" s="84">
        <f t="shared" si="9"/>
        <v>14.657813428890865</v>
      </c>
      <c r="G101" s="19">
        <v>100</v>
      </c>
      <c r="H101" s="17">
        <f t="shared" si="9"/>
        <v>15.03407751161727</v>
      </c>
      <c r="I101" s="19">
        <v>100</v>
      </c>
      <c r="J101" s="17">
        <f t="shared" si="6"/>
        <v>16.053041528933473</v>
      </c>
      <c r="K101" s="19">
        <v>100</v>
      </c>
      <c r="L101" s="17">
        <f t="shared" si="8"/>
        <v>15.248310823147202</v>
      </c>
      <c r="M101" s="43">
        <v>100</v>
      </c>
      <c r="N101" s="16">
        <f t="shared" si="7"/>
        <v>14.657813428890865</v>
      </c>
      <c r="O101" s="17">
        <v>100</v>
      </c>
      <c r="P101" s="16">
        <f t="shared" si="7"/>
        <v>15.03407751161727</v>
      </c>
      <c r="Q101" s="43">
        <v>100</v>
      </c>
      <c r="R101" s="16">
        <f t="shared" si="7"/>
        <v>16.053041528933473</v>
      </c>
      <c r="S101" s="41">
        <v>100</v>
      </c>
      <c r="T101" s="81">
        <f t="shared" si="11"/>
        <v>15.248310823147202</v>
      </c>
    </row>
    <row r="102" spans="2:20" ht="12.75">
      <c r="B102" s="15" t="s">
        <v>72</v>
      </c>
      <c r="D102" s="15" t="s">
        <v>71</v>
      </c>
      <c r="E102" s="43">
        <v>100</v>
      </c>
      <c r="F102" s="84">
        <f>F96+F94</f>
        <v>343.5722286311705</v>
      </c>
      <c r="G102" s="19">
        <v>100</v>
      </c>
      <c r="H102" s="17">
        <f>H96+H94</f>
        <v>351.9925463413164</v>
      </c>
      <c r="I102" s="19">
        <v>100</v>
      </c>
      <c r="J102" s="17">
        <f>J96+J94</f>
        <v>359.0561951441924</v>
      </c>
      <c r="K102" s="19">
        <v>100</v>
      </c>
      <c r="L102" s="17">
        <f t="shared" si="8"/>
        <v>351.5403233722264</v>
      </c>
      <c r="M102" s="43">
        <v>100</v>
      </c>
      <c r="N102" s="16">
        <f t="shared" si="7"/>
        <v>343.5722286311705</v>
      </c>
      <c r="O102" s="17">
        <v>100</v>
      </c>
      <c r="P102" s="16">
        <f t="shared" si="7"/>
        <v>351.9925463413164</v>
      </c>
      <c r="Q102" s="43">
        <v>100</v>
      </c>
      <c r="R102" s="16">
        <f t="shared" si="7"/>
        <v>359.0561951441924</v>
      </c>
      <c r="S102" s="41">
        <v>100</v>
      </c>
      <c r="T102" s="44">
        <f t="shared" si="11"/>
        <v>351.5403233722264</v>
      </c>
    </row>
    <row r="103" spans="2:20" ht="12.75">
      <c r="B103" s="15" t="s">
        <v>73</v>
      </c>
      <c r="D103" s="15" t="s">
        <v>71</v>
      </c>
      <c r="E103" s="43">
        <f>F93/F103*100</f>
        <v>2.5536261491317673</v>
      </c>
      <c r="F103" s="84">
        <f>F91+F93+F95</f>
        <v>126.99114466269162</v>
      </c>
      <c r="G103" s="19">
        <f>H93/H103*100</f>
        <v>2.319109461966605</v>
      </c>
      <c r="H103" s="17">
        <f>H91+H93+H95</f>
        <v>143.42243856215413</v>
      </c>
      <c r="I103" s="19">
        <f>J93/J103*100</f>
        <v>2.2928767960868237</v>
      </c>
      <c r="J103" s="17">
        <f>J91+J93+J95</f>
        <v>155.3535468672822</v>
      </c>
      <c r="K103" s="19">
        <f>L93/L103*100</f>
        <v>2.3794856700873104</v>
      </c>
      <c r="L103" s="17">
        <f t="shared" si="8"/>
        <v>141.922376697376</v>
      </c>
      <c r="M103" s="43">
        <v>2.5536261491317673</v>
      </c>
      <c r="N103" s="16">
        <f t="shared" si="7"/>
        <v>126.99114466269162</v>
      </c>
      <c r="O103" s="16">
        <v>2.319109461966605</v>
      </c>
      <c r="P103" s="16">
        <f t="shared" si="7"/>
        <v>143.42243856215413</v>
      </c>
      <c r="Q103" s="43">
        <v>2.2928767960868237</v>
      </c>
      <c r="R103" s="16">
        <f t="shared" si="7"/>
        <v>155.3535468672822</v>
      </c>
      <c r="S103" s="41">
        <v>2.3794856700873104</v>
      </c>
      <c r="T103" s="44">
        <f t="shared" si="11"/>
        <v>141.922376697376</v>
      </c>
    </row>
    <row r="104" spans="5:17" ht="12.75">
      <c r="E104" s="43"/>
      <c r="G104" s="43"/>
      <c r="I104" s="43"/>
      <c r="K104" s="43"/>
      <c r="L104" s="45"/>
      <c r="N104" s="42"/>
      <c r="O104" s="42"/>
      <c r="P104" s="43"/>
      <c r="Q104" s="43"/>
    </row>
    <row r="105" spans="2:20" ht="12.75">
      <c r="B105" s="40" t="s">
        <v>177</v>
      </c>
      <c r="C105" s="40" t="s">
        <v>124</v>
      </c>
      <c r="E105" s="43"/>
      <c r="F105" s="82" t="s">
        <v>194</v>
      </c>
      <c r="G105" s="43"/>
      <c r="H105" s="42" t="s">
        <v>195</v>
      </c>
      <c r="I105" s="43"/>
      <c r="J105" s="42" t="s">
        <v>196</v>
      </c>
      <c r="K105" s="43"/>
      <c r="L105" s="43" t="s">
        <v>48</v>
      </c>
      <c r="N105" s="43" t="s">
        <v>194</v>
      </c>
      <c r="O105" s="43"/>
      <c r="P105" s="43" t="s">
        <v>195</v>
      </c>
      <c r="Q105" s="43"/>
      <c r="R105" s="43" t="s">
        <v>196</v>
      </c>
      <c r="S105" s="43"/>
      <c r="T105" s="43" t="s">
        <v>48</v>
      </c>
    </row>
    <row r="106" spans="5:17" ht="12.75">
      <c r="E106" s="43"/>
      <c r="G106" s="43"/>
      <c r="I106" s="43"/>
      <c r="K106" s="43"/>
      <c r="N106" s="42"/>
      <c r="O106" s="42"/>
      <c r="P106" s="43"/>
      <c r="Q106" s="43"/>
    </row>
    <row r="107" spans="2:17" ht="12.75">
      <c r="B107" s="15" t="s">
        <v>231</v>
      </c>
      <c r="F107" s="82" t="s">
        <v>233</v>
      </c>
      <c r="H107" s="42" t="s">
        <v>233</v>
      </c>
      <c r="J107" s="42" t="s">
        <v>233</v>
      </c>
      <c r="L107" s="43" t="s">
        <v>233</v>
      </c>
      <c r="N107" s="42"/>
      <c r="O107" s="42"/>
      <c r="P107" s="43"/>
      <c r="Q107" s="43"/>
    </row>
    <row r="108" spans="2:17" ht="12.75">
      <c r="B108" s="15" t="s">
        <v>232</v>
      </c>
      <c r="F108" s="82" t="s">
        <v>234</v>
      </c>
      <c r="H108" s="42" t="s">
        <v>234</v>
      </c>
      <c r="J108" s="42" t="s">
        <v>234</v>
      </c>
      <c r="L108" s="43" t="s">
        <v>234</v>
      </c>
      <c r="N108" s="42"/>
      <c r="O108" s="42"/>
      <c r="P108" s="43"/>
      <c r="Q108" s="43"/>
    </row>
    <row r="109" spans="2:20" ht="12.75">
      <c r="B109" s="10" t="s">
        <v>236</v>
      </c>
      <c r="F109" s="82" t="s">
        <v>80</v>
      </c>
      <c r="H109" s="42" t="s">
        <v>80</v>
      </c>
      <c r="J109" s="42" t="s">
        <v>80</v>
      </c>
      <c r="L109" s="43" t="s">
        <v>80</v>
      </c>
      <c r="N109" s="42" t="s">
        <v>25</v>
      </c>
      <c r="O109" s="42"/>
      <c r="P109" s="42" t="s">
        <v>25</v>
      </c>
      <c r="Q109" s="43"/>
      <c r="R109" s="42" t="s">
        <v>25</v>
      </c>
      <c r="T109" s="42" t="s">
        <v>25</v>
      </c>
    </row>
    <row r="110" spans="2:17" ht="12.75">
      <c r="B110" s="15" t="s">
        <v>49</v>
      </c>
      <c r="F110" s="82" t="s">
        <v>143</v>
      </c>
      <c r="H110" s="42" t="s">
        <v>143</v>
      </c>
      <c r="J110" s="42" t="s">
        <v>143</v>
      </c>
      <c r="L110" s="42" t="s">
        <v>143</v>
      </c>
      <c r="M110" s="42"/>
      <c r="N110" s="42"/>
      <c r="O110" s="42"/>
      <c r="P110" s="43"/>
      <c r="Q110" s="43"/>
    </row>
    <row r="111" spans="2:17" ht="12.75">
      <c r="B111" s="15" t="s">
        <v>127</v>
      </c>
      <c r="D111" s="15" t="s">
        <v>59</v>
      </c>
      <c r="E111" s="43"/>
      <c r="F111" s="82">
        <v>8254</v>
      </c>
      <c r="G111" s="42"/>
      <c r="H111" s="42">
        <v>8230</v>
      </c>
      <c r="I111" s="42"/>
      <c r="J111" s="42">
        <v>8324</v>
      </c>
      <c r="K111" s="43"/>
      <c r="L111" s="42">
        <v>8269</v>
      </c>
      <c r="N111" s="42"/>
      <c r="O111" s="42"/>
      <c r="P111" s="43"/>
      <c r="Q111" s="43"/>
    </row>
    <row r="112" spans="2:17" ht="12.75">
      <c r="B112" s="15" t="s">
        <v>51</v>
      </c>
      <c r="D112" s="15" t="s">
        <v>52</v>
      </c>
      <c r="E112" s="43"/>
      <c r="F112" s="82">
        <v>8590</v>
      </c>
      <c r="G112" s="43"/>
      <c r="H112" s="42">
        <v>7630</v>
      </c>
      <c r="I112" s="43"/>
      <c r="J112" s="42">
        <v>7810</v>
      </c>
      <c r="K112" s="43"/>
      <c r="L112" s="42">
        <v>8010</v>
      </c>
      <c r="N112" s="42"/>
      <c r="O112" s="42"/>
      <c r="P112" s="43"/>
      <c r="Q112" s="43"/>
    </row>
    <row r="113" spans="2:17" ht="12.75">
      <c r="B113" s="15" t="s">
        <v>61</v>
      </c>
      <c r="D113" s="15" t="s">
        <v>152</v>
      </c>
      <c r="E113" s="43"/>
      <c r="F113" s="82">
        <v>1.1726</v>
      </c>
      <c r="G113" s="43"/>
      <c r="H113" s="42">
        <v>1.175</v>
      </c>
      <c r="I113" s="43"/>
      <c r="J113" s="42">
        <v>1.1733</v>
      </c>
      <c r="K113" s="43"/>
      <c r="L113" s="42">
        <v>1.1736</v>
      </c>
      <c r="N113" s="42"/>
      <c r="O113" s="42"/>
      <c r="P113" s="43"/>
      <c r="Q113" s="43"/>
    </row>
    <row r="114" spans="2:17" ht="12.75">
      <c r="B114" s="15" t="s">
        <v>53</v>
      </c>
      <c r="D114" s="15" t="s">
        <v>50</v>
      </c>
      <c r="E114" s="43" t="s">
        <v>29</v>
      </c>
      <c r="F114" s="83">
        <v>1872.007</v>
      </c>
      <c r="G114" s="18" t="s">
        <v>29</v>
      </c>
      <c r="H114" s="16">
        <v>1866.564</v>
      </c>
      <c r="I114" s="18" t="s">
        <v>29</v>
      </c>
      <c r="J114" s="16">
        <v>1887.883</v>
      </c>
      <c r="K114" s="18"/>
      <c r="L114" s="16">
        <v>1875.485</v>
      </c>
      <c r="N114" s="42"/>
      <c r="O114" s="42"/>
      <c r="P114" s="43"/>
      <c r="Q114" s="43"/>
    </row>
    <row r="115" spans="2:17" ht="12.75">
      <c r="B115" s="15" t="s">
        <v>99</v>
      </c>
      <c r="D115" s="15" t="s">
        <v>50</v>
      </c>
      <c r="E115" s="43" t="s">
        <v>29</v>
      </c>
      <c r="F115" s="82">
        <v>0.374</v>
      </c>
      <c r="G115" s="43" t="s">
        <v>29</v>
      </c>
      <c r="H115" s="42">
        <v>0.411</v>
      </c>
      <c r="I115" s="43" t="s">
        <v>29</v>
      </c>
      <c r="J115" s="42">
        <v>0.415</v>
      </c>
      <c r="K115" s="43"/>
      <c r="L115" s="42">
        <v>0.4</v>
      </c>
      <c r="N115" s="42"/>
      <c r="O115" s="42"/>
      <c r="P115" s="43"/>
      <c r="Q115" s="43"/>
    </row>
    <row r="116" spans="2:17" ht="12.75">
      <c r="B116" s="15" t="s">
        <v>100</v>
      </c>
      <c r="D116" s="15" t="s">
        <v>50</v>
      </c>
      <c r="E116" s="43" t="s">
        <v>29</v>
      </c>
      <c r="F116" s="82">
        <v>0.711</v>
      </c>
      <c r="G116" s="43" t="s">
        <v>29</v>
      </c>
      <c r="H116" s="42">
        <v>1.195</v>
      </c>
      <c r="I116" s="43" t="s">
        <v>29</v>
      </c>
      <c r="J116" s="42">
        <v>1.284</v>
      </c>
      <c r="K116" s="43"/>
      <c r="L116" s="42">
        <v>1.063</v>
      </c>
      <c r="N116" s="42"/>
      <c r="O116" s="42"/>
      <c r="P116" s="43"/>
      <c r="Q116" s="43"/>
    </row>
    <row r="117" spans="2:17" ht="12.75">
      <c r="B117" s="15" t="s">
        <v>101</v>
      </c>
      <c r="D117" s="15" t="s">
        <v>50</v>
      </c>
      <c r="E117" s="43" t="s">
        <v>29</v>
      </c>
      <c r="F117" s="82">
        <v>0.15</v>
      </c>
      <c r="G117" s="43" t="s">
        <v>29</v>
      </c>
      <c r="H117" s="42">
        <v>0.261</v>
      </c>
      <c r="I117" s="43" t="s">
        <v>29</v>
      </c>
      <c r="J117" s="42">
        <v>0.151</v>
      </c>
      <c r="K117" s="43"/>
      <c r="L117" s="42">
        <v>0.187</v>
      </c>
      <c r="N117" s="42"/>
      <c r="O117" s="42"/>
      <c r="P117" s="43"/>
      <c r="Q117" s="43"/>
    </row>
    <row r="118" spans="2:17" ht="12.75">
      <c r="B118" s="15" t="s">
        <v>102</v>
      </c>
      <c r="D118" s="15" t="s">
        <v>50</v>
      </c>
      <c r="E118" s="43" t="s">
        <v>29</v>
      </c>
      <c r="F118" s="82">
        <v>0.075</v>
      </c>
      <c r="G118" s="43" t="s">
        <v>29</v>
      </c>
      <c r="H118" s="42">
        <v>0.075</v>
      </c>
      <c r="I118" s="43" t="s">
        <v>29</v>
      </c>
      <c r="J118" s="42">
        <v>0.076</v>
      </c>
      <c r="K118" s="43"/>
      <c r="L118" s="42">
        <v>0.075</v>
      </c>
      <c r="N118" s="42"/>
      <c r="O118" s="42"/>
      <c r="P118" s="43"/>
      <c r="Q118" s="43"/>
    </row>
    <row r="119" spans="2:17" ht="12.75">
      <c r="B119" s="15" t="s">
        <v>103</v>
      </c>
      <c r="D119" s="15" t="s">
        <v>50</v>
      </c>
      <c r="E119" s="43" t="s">
        <v>29</v>
      </c>
      <c r="F119" s="82">
        <v>0.037</v>
      </c>
      <c r="G119" s="43" t="s">
        <v>29</v>
      </c>
      <c r="H119" s="42">
        <v>0.037</v>
      </c>
      <c r="I119" s="43" t="s">
        <v>29</v>
      </c>
      <c r="J119" s="42">
        <v>0.038</v>
      </c>
      <c r="K119" s="43"/>
      <c r="L119" s="42">
        <v>0.037</v>
      </c>
      <c r="N119" s="42"/>
      <c r="O119" s="42"/>
      <c r="P119" s="43"/>
      <c r="Q119" s="43"/>
    </row>
    <row r="120" spans="2:17" ht="12.75">
      <c r="B120" s="15" t="s">
        <v>119</v>
      </c>
      <c r="D120" s="15" t="s">
        <v>50</v>
      </c>
      <c r="E120" s="43"/>
      <c r="F120" s="82">
        <v>0.374</v>
      </c>
      <c r="G120" s="43"/>
      <c r="H120" s="42">
        <v>0.747</v>
      </c>
      <c r="I120" s="43"/>
      <c r="J120" s="42">
        <v>0.793</v>
      </c>
      <c r="K120" s="43"/>
      <c r="L120" s="42">
        <v>0.638</v>
      </c>
      <c r="N120" s="42"/>
      <c r="O120" s="42"/>
      <c r="P120" s="43"/>
      <c r="Q120" s="43"/>
    </row>
    <row r="121" spans="2:17" ht="12.75">
      <c r="B121" s="15" t="s">
        <v>98</v>
      </c>
      <c r="D121" s="15" t="s">
        <v>50</v>
      </c>
      <c r="E121" s="43" t="s">
        <v>29</v>
      </c>
      <c r="F121" s="82">
        <v>7.488</v>
      </c>
      <c r="G121" s="43" t="s">
        <v>29</v>
      </c>
      <c r="H121" s="42">
        <v>7.466</v>
      </c>
      <c r="I121" s="43" t="s">
        <v>29</v>
      </c>
      <c r="J121" s="42">
        <v>7.929</v>
      </c>
      <c r="K121" s="43"/>
      <c r="L121" s="42">
        <v>7.628</v>
      </c>
      <c r="N121" s="42"/>
      <c r="O121" s="42"/>
      <c r="P121" s="43"/>
      <c r="Q121" s="43"/>
    </row>
    <row r="122" spans="2:17" ht="12.75">
      <c r="B122" s="15" t="s">
        <v>104</v>
      </c>
      <c r="D122" s="15" t="s">
        <v>50</v>
      </c>
      <c r="E122" s="43" t="s">
        <v>29</v>
      </c>
      <c r="F122" s="82">
        <v>0.075</v>
      </c>
      <c r="G122" s="43" t="s">
        <v>29</v>
      </c>
      <c r="H122" s="42">
        <v>0.075</v>
      </c>
      <c r="I122" s="43" t="s">
        <v>29</v>
      </c>
      <c r="J122" s="42">
        <v>0.076</v>
      </c>
      <c r="K122" s="43"/>
      <c r="L122" s="42">
        <v>0.075</v>
      </c>
      <c r="N122" s="42"/>
      <c r="O122" s="42"/>
      <c r="P122" s="43"/>
      <c r="Q122" s="43"/>
    </row>
    <row r="123" spans="2:17" ht="12.75">
      <c r="B123" s="15" t="s">
        <v>105</v>
      </c>
      <c r="D123" s="15" t="s">
        <v>50</v>
      </c>
      <c r="E123" s="43"/>
      <c r="F123" s="82">
        <v>1.46</v>
      </c>
      <c r="G123" s="43"/>
      <c r="H123" s="42">
        <v>3.061</v>
      </c>
      <c r="I123" s="43"/>
      <c r="J123" s="42">
        <v>1.699</v>
      </c>
      <c r="K123" s="43"/>
      <c r="L123" s="42">
        <v>2.073</v>
      </c>
      <c r="N123" s="42"/>
      <c r="O123" s="42"/>
      <c r="P123" s="43"/>
      <c r="Q123" s="43"/>
    </row>
    <row r="124" spans="2:17" ht="12.75">
      <c r="B124" s="15" t="s">
        <v>106</v>
      </c>
      <c r="D124" s="15" t="s">
        <v>50</v>
      </c>
      <c r="E124" s="43"/>
      <c r="F124" s="82">
        <v>0.861</v>
      </c>
      <c r="G124" s="43"/>
      <c r="H124" s="42">
        <v>0.635</v>
      </c>
      <c r="I124" s="43"/>
      <c r="J124" s="42">
        <v>1.737</v>
      </c>
      <c r="K124" s="43"/>
      <c r="L124" s="42">
        <v>1.078</v>
      </c>
      <c r="N124" s="42"/>
      <c r="O124" s="42"/>
      <c r="P124" s="43"/>
      <c r="Q124" s="43"/>
    </row>
    <row r="125" spans="2:17" ht="12.75">
      <c r="B125" s="15" t="s">
        <v>107</v>
      </c>
      <c r="D125" s="15" t="s">
        <v>50</v>
      </c>
      <c r="E125" s="43" t="s">
        <v>29</v>
      </c>
      <c r="F125" s="82">
        <v>0.599</v>
      </c>
      <c r="G125" s="43" t="s">
        <v>29</v>
      </c>
      <c r="H125" s="42">
        <v>0.537</v>
      </c>
      <c r="I125" s="43" t="s">
        <v>29</v>
      </c>
      <c r="J125" s="42">
        <v>0.642</v>
      </c>
      <c r="K125" s="43"/>
      <c r="L125" s="42">
        <v>0.613</v>
      </c>
      <c r="N125" s="42"/>
      <c r="O125" s="42"/>
      <c r="P125" s="43"/>
      <c r="Q125" s="43"/>
    </row>
    <row r="126" spans="2:17" ht="12.75">
      <c r="B126" s="15" t="s">
        <v>108</v>
      </c>
      <c r="D126" s="15" t="s">
        <v>50</v>
      </c>
      <c r="E126" s="43" t="s">
        <v>29</v>
      </c>
      <c r="F126" s="82">
        <v>0.337</v>
      </c>
      <c r="G126" s="43" t="s">
        <v>29</v>
      </c>
      <c r="H126" s="42">
        <v>0.336</v>
      </c>
      <c r="I126" s="43" t="s">
        <v>29</v>
      </c>
      <c r="J126" s="42">
        <v>0.34</v>
      </c>
      <c r="K126" s="43"/>
      <c r="L126" s="42">
        <v>0.338</v>
      </c>
      <c r="N126" s="42"/>
      <c r="O126" s="42"/>
      <c r="P126" s="43"/>
      <c r="Q126" s="43"/>
    </row>
    <row r="127" spans="2:17" ht="12.75">
      <c r="B127" s="15" t="s">
        <v>117</v>
      </c>
      <c r="D127" s="15" t="s">
        <v>50</v>
      </c>
      <c r="E127" s="43"/>
      <c r="F127" s="82">
        <v>2.733</v>
      </c>
      <c r="G127" s="42"/>
      <c r="H127" s="42">
        <v>6.346</v>
      </c>
      <c r="I127" s="42"/>
      <c r="J127" s="42">
        <v>4.153</v>
      </c>
      <c r="K127" s="43"/>
      <c r="L127" s="42">
        <v>4.411</v>
      </c>
      <c r="N127" s="42"/>
      <c r="O127" s="42"/>
      <c r="P127" s="43"/>
      <c r="Q127" s="43"/>
    </row>
    <row r="128" spans="2:17" ht="12.75">
      <c r="B128" s="15" t="s">
        <v>238</v>
      </c>
      <c r="D128" s="15" t="s">
        <v>50</v>
      </c>
      <c r="E128" s="43"/>
      <c r="F128" s="82">
        <v>0.786</v>
      </c>
      <c r="G128" s="42"/>
      <c r="H128" s="42">
        <v>1.344</v>
      </c>
      <c r="I128" s="42"/>
      <c r="J128" s="42">
        <v>1.43</v>
      </c>
      <c r="K128" s="43"/>
      <c r="L128" s="41">
        <v>1.201</v>
      </c>
      <c r="N128" s="42"/>
      <c r="O128" s="42"/>
      <c r="P128" s="43"/>
      <c r="Q128" s="43"/>
    </row>
    <row r="129" spans="2:17" ht="12.75">
      <c r="B129" s="15" t="s">
        <v>122</v>
      </c>
      <c r="D129" s="15" t="s">
        <v>50</v>
      </c>
      <c r="E129" s="43"/>
      <c r="F129" s="82">
        <v>7.862</v>
      </c>
      <c r="G129" s="42"/>
      <c r="H129" s="42">
        <v>26.879</v>
      </c>
      <c r="I129" s="42"/>
      <c r="J129" s="42">
        <v>43.799</v>
      </c>
      <c r="K129" s="43"/>
      <c r="L129" s="42">
        <v>26.18</v>
      </c>
      <c r="N129" s="42"/>
      <c r="O129" s="42"/>
      <c r="P129" s="43"/>
      <c r="Q129" s="43"/>
    </row>
    <row r="130" spans="5:17" ht="12.75">
      <c r="E130" s="43"/>
      <c r="G130" s="43"/>
      <c r="I130" s="43"/>
      <c r="K130" s="43"/>
      <c r="N130" s="42"/>
      <c r="O130" s="42"/>
      <c r="P130" s="43"/>
      <c r="Q130" s="43"/>
    </row>
    <row r="131" spans="2:17" ht="12.75">
      <c r="B131" s="15" t="s">
        <v>77</v>
      </c>
      <c r="D131" s="15" t="s">
        <v>17</v>
      </c>
      <c r="E131" s="43"/>
      <c r="F131" s="82">
        <f>'emiss 1'!G80</f>
        <v>15953</v>
      </c>
      <c r="G131" s="43"/>
      <c r="H131" s="42">
        <f>'emiss 1'!I80</f>
        <v>16857</v>
      </c>
      <c r="I131" s="43"/>
      <c r="J131" s="42">
        <f>'emiss 1'!K80</f>
        <v>16088</v>
      </c>
      <c r="K131" s="43"/>
      <c r="L131" s="42">
        <f>'emiss 1'!M80</f>
        <v>16299</v>
      </c>
      <c r="N131" s="42"/>
      <c r="O131" s="42"/>
      <c r="P131" s="43"/>
      <c r="Q131" s="43"/>
    </row>
    <row r="132" spans="2:17" ht="12.75">
      <c r="B132" s="15" t="s">
        <v>78</v>
      </c>
      <c r="D132" s="15" t="s">
        <v>18</v>
      </c>
      <c r="E132" s="43"/>
      <c r="F132" s="82">
        <f>'emiss 1'!G81</f>
        <v>8.8</v>
      </c>
      <c r="G132" s="43"/>
      <c r="H132" s="42">
        <f>'emiss 1'!I81</f>
        <v>9.7</v>
      </c>
      <c r="I132" s="43"/>
      <c r="J132" s="42">
        <f>'emiss 1'!K81</f>
        <v>8.7</v>
      </c>
      <c r="K132" s="43"/>
      <c r="L132" s="42">
        <f>'emiss 1'!M81</f>
        <v>9.1</v>
      </c>
      <c r="N132" s="42"/>
      <c r="O132" s="42"/>
      <c r="P132" s="43"/>
      <c r="Q132" s="43"/>
    </row>
    <row r="133" spans="5:17" ht="12.75">
      <c r="E133" s="43"/>
      <c r="G133" s="43"/>
      <c r="I133" s="43"/>
      <c r="K133" s="43"/>
      <c r="N133" s="42"/>
      <c r="O133" s="42"/>
      <c r="P133" s="43"/>
      <c r="Q133" s="43"/>
    </row>
    <row r="134" spans="2:20" ht="12.75">
      <c r="B134" s="15" t="s">
        <v>126</v>
      </c>
      <c r="D134" s="15" t="s">
        <v>70</v>
      </c>
      <c r="E134" s="43"/>
      <c r="F134" s="83">
        <f>F111*F112/1000000</f>
        <v>70.90186</v>
      </c>
      <c r="G134" s="43"/>
      <c r="H134" s="16">
        <f>H111*H112/1000000</f>
        <v>62.7949</v>
      </c>
      <c r="I134" s="43"/>
      <c r="J134" s="16">
        <f>J111*J112/1000000</f>
        <v>65.01044</v>
      </c>
      <c r="K134" s="43"/>
      <c r="L134" s="16">
        <f>L111*L112/1000000</f>
        <v>66.23469</v>
      </c>
      <c r="N134" s="16">
        <f>F134</f>
        <v>70.90186</v>
      </c>
      <c r="O134" s="16"/>
      <c r="P134" s="16">
        <f>H134</f>
        <v>62.7949</v>
      </c>
      <c r="Q134" s="43"/>
      <c r="R134" s="16">
        <f>J134</f>
        <v>65.01044</v>
      </c>
      <c r="T134" s="44">
        <f>AVERAGE(N134,P134,R134)</f>
        <v>66.23573333333333</v>
      </c>
    </row>
    <row r="135" spans="2:20" ht="12.75">
      <c r="B135" s="15" t="s">
        <v>237</v>
      </c>
      <c r="D135" s="15" t="s">
        <v>70</v>
      </c>
      <c r="E135" s="43"/>
      <c r="F135" s="83"/>
      <c r="G135" s="43"/>
      <c r="H135" s="16"/>
      <c r="I135" s="43"/>
      <c r="J135" s="16"/>
      <c r="K135" s="43"/>
      <c r="L135" s="44"/>
      <c r="N135" s="44">
        <f>F131/9000*(21-F132)/21*60</f>
        <v>61.78622222222223</v>
      </c>
      <c r="O135" s="43"/>
      <c r="P135" s="44">
        <f>H131/9000*(21-H132)/21*60</f>
        <v>60.47114285714287</v>
      </c>
      <c r="Q135" s="43"/>
      <c r="R135" s="44">
        <f>J131/9000*(21-J132)/21*60</f>
        <v>62.819809523809525</v>
      </c>
      <c r="S135" s="43"/>
      <c r="T135" s="44">
        <f>AVERAGE(N135,P135,R135)</f>
        <v>61.69239153439154</v>
      </c>
    </row>
    <row r="136" spans="5:17" ht="12.75">
      <c r="E136" s="43"/>
      <c r="G136" s="43"/>
      <c r="I136" s="43"/>
      <c r="K136" s="43"/>
      <c r="L136" s="41"/>
      <c r="N136" s="16"/>
      <c r="O136" s="16"/>
      <c r="P136" s="43"/>
      <c r="Q136" s="43"/>
    </row>
    <row r="137" spans="2:17" ht="12.75">
      <c r="B137" s="62" t="s">
        <v>92</v>
      </c>
      <c r="C137" s="62"/>
      <c r="E137" s="43"/>
      <c r="G137" s="43"/>
      <c r="I137" s="43"/>
      <c r="K137" s="43"/>
      <c r="L137" s="41"/>
      <c r="N137" s="16"/>
      <c r="O137" s="16"/>
      <c r="P137" s="43"/>
      <c r="Q137" s="43"/>
    </row>
    <row r="138" spans="2:20" ht="12.75">
      <c r="B138" s="15" t="s">
        <v>53</v>
      </c>
      <c r="D138" s="15" t="s">
        <v>79</v>
      </c>
      <c r="E138" s="43">
        <v>100</v>
      </c>
      <c r="F138" s="84">
        <f>F114/F$131/60/0.0283*(21-7)/(21-F$132)*1000</f>
        <v>79.3040966148707</v>
      </c>
      <c r="G138" s="19">
        <v>100</v>
      </c>
      <c r="H138" s="17">
        <f>H114/H$131/60/0.0283*(21-7)/(21-H$132)*1000</f>
        <v>80.79314329794009</v>
      </c>
      <c r="I138" s="19">
        <v>100</v>
      </c>
      <c r="J138" s="17">
        <f>J114/J$131/60/0.0283*(21-7)/(21-J$132)*1000</f>
        <v>78.66078143748793</v>
      </c>
      <c r="K138" s="43">
        <v>100</v>
      </c>
      <c r="L138" s="17">
        <f aca="true" t="shared" si="12" ref="L138:L155">AVERAGE(J138,H138,F138)</f>
        <v>79.58600711676624</v>
      </c>
      <c r="M138" s="43">
        <v>100</v>
      </c>
      <c r="N138" s="16">
        <f>F138</f>
        <v>79.3040966148707</v>
      </c>
      <c r="O138" s="17">
        <v>100</v>
      </c>
      <c r="P138" s="16">
        <f>H138</f>
        <v>80.79314329794009</v>
      </c>
      <c r="Q138" s="43">
        <v>100</v>
      </c>
      <c r="R138" s="16">
        <f>J138</f>
        <v>78.66078143748793</v>
      </c>
      <c r="S138" s="41">
        <v>100</v>
      </c>
      <c r="T138" s="44">
        <f>AVERAGE(N138,P138,R138)</f>
        <v>79.58600711676623</v>
      </c>
    </row>
    <row r="139" spans="2:20" ht="12.75">
      <c r="B139" s="15" t="s">
        <v>99</v>
      </c>
      <c r="D139" s="15" t="s">
        <v>71</v>
      </c>
      <c r="E139" s="43">
        <v>100</v>
      </c>
      <c r="F139" s="84">
        <f>F115/F$131/60/0.0283*(21-7)/(21-F$132)*1000000</f>
        <v>15.843814758150819</v>
      </c>
      <c r="G139" s="19">
        <v>100</v>
      </c>
      <c r="H139" s="17">
        <f>H115/H$131/60/0.0283*(21-7)/(21-H$132)*1000000</f>
        <v>17.78989731691674</v>
      </c>
      <c r="I139" s="19">
        <v>100</v>
      </c>
      <c r="J139" s="17">
        <f aca="true" t="shared" si="13" ref="J139:J153">J115/J$131/60/0.0283*(21-7)/(21-J$132)*1000000</f>
        <v>17.29144459511394</v>
      </c>
      <c r="K139" s="43">
        <v>100</v>
      </c>
      <c r="L139" s="17">
        <f t="shared" si="12"/>
        <v>16.975052223393835</v>
      </c>
      <c r="M139" s="43">
        <v>100</v>
      </c>
      <c r="N139" s="16">
        <f aca="true" t="shared" si="14" ref="N139:R155">F139</f>
        <v>15.843814758150819</v>
      </c>
      <c r="O139" s="17">
        <v>100</v>
      </c>
      <c r="P139" s="16">
        <f t="shared" si="14"/>
        <v>17.78989731691674</v>
      </c>
      <c r="Q139" s="19">
        <v>100</v>
      </c>
      <c r="R139" s="16">
        <f t="shared" si="14"/>
        <v>17.29144459511394</v>
      </c>
      <c r="S139" s="81">
        <v>100</v>
      </c>
      <c r="T139" s="81">
        <f>AVERAGE(N139,P139,R139)</f>
        <v>16.97505222339383</v>
      </c>
    </row>
    <row r="140" spans="2:20" ht="12.75">
      <c r="B140" s="15" t="s">
        <v>100</v>
      </c>
      <c r="D140" s="15" t="s">
        <v>71</v>
      </c>
      <c r="E140" s="43">
        <v>100</v>
      </c>
      <c r="F140" s="84">
        <f aca="true" t="shared" si="15" ref="F140:H153">F116/F$131/60/0.0283*(21-7)/(21-F$132)*1000000</f>
        <v>30.120193296912383</v>
      </c>
      <c r="G140" s="19">
        <v>100</v>
      </c>
      <c r="H140" s="17">
        <f t="shared" si="15"/>
        <v>51.7248839263151</v>
      </c>
      <c r="I140" s="19">
        <v>100</v>
      </c>
      <c r="J140" s="17">
        <f t="shared" si="13"/>
        <v>53.49931291596698</v>
      </c>
      <c r="K140" s="43">
        <v>100</v>
      </c>
      <c r="L140" s="17">
        <f t="shared" si="12"/>
        <v>45.11479671306483</v>
      </c>
      <c r="M140" s="43">
        <v>100</v>
      </c>
      <c r="N140" s="16">
        <f t="shared" si="14"/>
        <v>30.120193296912383</v>
      </c>
      <c r="O140" s="17">
        <v>100</v>
      </c>
      <c r="P140" s="16">
        <f t="shared" si="14"/>
        <v>51.7248839263151</v>
      </c>
      <c r="Q140" s="43">
        <v>100</v>
      </c>
      <c r="R140" s="16">
        <f t="shared" si="14"/>
        <v>53.49931291596698</v>
      </c>
      <c r="S140" s="41">
        <v>100</v>
      </c>
      <c r="T140" s="81">
        <f aca="true" t="shared" si="16" ref="T140:T145">AVERAGE(N140,P140,R140)</f>
        <v>45.11479671306483</v>
      </c>
    </row>
    <row r="141" spans="2:20" ht="12.75">
      <c r="B141" s="15" t="s">
        <v>101</v>
      </c>
      <c r="D141" s="15" t="s">
        <v>71</v>
      </c>
      <c r="E141" s="43">
        <v>100</v>
      </c>
      <c r="F141" s="84">
        <f t="shared" si="15"/>
        <v>6.354471159686159</v>
      </c>
      <c r="G141" s="19">
        <v>100</v>
      </c>
      <c r="H141" s="17">
        <f t="shared" si="15"/>
        <v>11.297234062567565</v>
      </c>
      <c r="I141" s="19">
        <v>100</v>
      </c>
      <c r="J141" s="17">
        <f t="shared" si="13"/>
        <v>6.291585864728203</v>
      </c>
      <c r="K141" s="43">
        <v>100</v>
      </c>
      <c r="L141" s="17">
        <f t="shared" si="12"/>
        <v>7.981097028993975</v>
      </c>
      <c r="M141" s="43">
        <v>100</v>
      </c>
      <c r="N141" s="16">
        <f t="shared" si="14"/>
        <v>6.354471159686159</v>
      </c>
      <c r="O141" s="17">
        <v>100</v>
      </c>
      <c r="P141" s="16">
        <f t="shared" si="14"/>
        <v>11.297234062567565</v>
      </c>
      <c r="Q141" s="43">
        <v>100</v>
      </c>
      <c r="R141" s="16">
        <f t="shared" si="14"/>
        <v>6.291585864728203</v>
      </c>
      <c r="S141" s="41">
        <v>100</v>
      </c>
      <c r="T141" s="81">
        <f t="shared" si="16"/>
        <v>7.981097028993976</v>
      </c>
    </row>
    <row r="142" spans="2:20" ht="12.75">
      <c r="B142" s="15" t="s">
        <v>102</v>
      </c>
      <c r="D142" s="15" t="s">
        <v>71</v>
      </c>
      <c r="E142" s="43">
        <v>100</v>
      </c>
      <c r="F142" s="84">
        <f t="shared" si="15"/>
        <v>3.1772355798430794</v>
      </c>
      <c r="G142" s="19">
        <v>100</v>
      </c>
      <c r="H142" s="17">
        <f t="shared" si="15"/>
        <v>3.246331627174588</v>
      </c>
      <c r="I142" s="19">
        <v>100</v>
      </c>
      <c r="J142" s="17">
        <f t="shared" si="13"/>
        <v>3.166625998141347</v>
      </c>
      <c r="K142" s="43">
        <v>100</v>
      </c>
      <c r="L142" s="17">
        <f t="shared" si="12"/>
        <v>3.196731068386338</v>
      </c>
      <c r="M142" s="43">
        <v>100</v>
      </c>
      <c r="N142" s="16">
        <f t="shared" si="14"/>
        <v>3.1772355798430794</v>
      </c>
      <c r="O142" s="17">
        <v>100</v>
      </c>
      <c r="P142" s="16">
        <f t="shared" si="14"/>
        <v>3.246331627174588</v>
      </c>
      <c r="Q142" s="43">
        <v>100</v>
      </c>
      <c r="R142" s="16">
        <f t="shared" si="14"/>
        <v>3.166625998141347</v>
      </c>
      <c r="S142" s="41">
        <v>100</v>
      </c>
      <c r="T142" s="81">
        <f t="shared" si="16"/>
        <v>3.196731068386338</v>
      </c>
    </row>
    <row r="143" spans="2:21" ht="12.75">
      <c r="B143" s="15" t="s">
        <v>103</v>
      </c>
      <c r="D143" s="15" t="s">
        <v>71</v>
      </c>
      <c r="E143" s="43">
        <v>100</v>
      </c>
      <c r="F143" s="84">
        <f t="shared" si="15"/>
        <v>1.5674362193892524</v>
      </c>
      <c r="G143" s="19">
        <v>100</v>
      </c>
      <c r="H143" s="17">
        <f t="shared" si="15"/>
        <v>1.6015236027394633</v>
      </c>
      <c r="I143" s="19">
        <v>100</v>
      </c>
      <c r="J143" s="17">
        <f t="shared" si="13"/>
        <v>1.5833129990706736</v>
      </c>
      <c r="K143" s="43">
        <v>100</v>
      </c>
      <c r="L143" s="17">
        <f t="shared" si="12"/>
        <v>1.5840909403997963</v>
      </c>
      <c r="M143" s="43">
        <v>100</v>
      </c>
      <c r="N143" s="16">
        <f t="shared" si="14"/>
        <v>1.5674362193892524</v>
      </c>
      <c r="O143" s="17">
        <v>100</v>
      </c>
      <c r="P143" s="16">
        <f t="shared" si="14"/>
        <v>1.6015236027394633</v>
      </c>
      <c r="Q143" s="43">
        <v>100</v>
      </c>
      <c r="R143" s="16">
        <f t="shared" si="14"/>
        <v>1.5833129990706736</v>
      </c>
      <c r="S143" s="41">
        <v>100</v>
      </c>
      <c r="T143" s="81">
        <f t="shared" si="16"/>
        <v>1.5840909403997963</v>
      </c>
      <c r="U143" s="42"/>
    </row>
    <row r="144" spans="2:20" ht="12.75">
      <c r="B144" s="15" t="s">
        <v>119</v>
      </c>
      <c r="D144" s="15" t="s">
        <v>71</v>
      </c>
      <c r="E144" s="43"/>
      <c r="F144" s="84">
        <f t="shared" si="15"/>
        <v>15.843814758150819</v>
      </c>
      <c r="G144" s="19"/>
      <c r="H144" s="17">
        <f t="shared" si="15"/>
        <v>32.3334630066589</v>
      </c>
      <c r="I144" s="19"/>
      <c r="J144" s="17">
        <f t="shared" si="13"/>
        <v>33.04124232271169</v>
      </c>
      <c r="K144" s="43"/>
      <c r="L144" s="17">
        <f t="shared" si="12"/>
        <v>27.0728400291738</v>
      </c>
      <c r="N144" s="16">
        <f t="shared" si="14"/>
        <v>15.843814758150819</v>
      </c>
      <c r="O144" s="17"/>
      <c r="P144" s="16">
        <f t="shared" si="14"/>
        <v>32.3334630066589</v>
      </c>
      <c r="Q144" s="43"/>
      <c r="R144" s="16">
        <f t="shared" si="14"/>
        <v>33.04124232271169</v>
      </c>
      <c r="T144" s="81">
        <f t="shared" si="16"/>
        <v>27.072840029173804</v>
      </c>
    </row>
    <row r="145" spans="2:20" ht="12.75">
      <c r="B145" s="15" t="s">
        <v>98</v>
      </c>
      <c r="D145" s="15" t="s">
        <v>71</v>
      </c>
      <c r="E145" s="43">
        <v>100</v>
      </c>
      <c r="F145" s="84">
        <f t="shared" si="15"/>
        <v>317.215200291533</v>
      </c>
      <c r="G145" s="19">
        <v>100</v>
      </c>
      <c r="H145" s="17">
        <f t="shared" si="15"/>
        <v>323.16149237980636</v>
      </c>
      <c r="I145" s="19">
        <v>100</v>
      </c>
      <c r="J145" s="17">
        <f t="shared" si="13"/>
        <v>330.37075709556245</v>
      </c>
      <c r="K145" s="43">
        <v>100</v>
      </c>
      <c r="L145" s="17">
        <f t="shared" si="12"/>
        <v>323.5824832556339</v>
      </c>
      <c r="M145" s="43">
        <v>100</v>
      </c>
      <c r="N145" s="16">
        <f t="shared" si="14"/>
        <v>317.215200291533</v>
      </c>
      <c r="O145" s="17">
        <v>100</v>
      </c>
      <c r="P145" s="16">
        <f t="shared" si="14"/>
        <v>323.16149237980636</v>
      </c>
      <c r="Q145" s="43">
        <v>100</v>
      </c>
      <c r="R145" s="16">
        <f t="shared" si="14"/>
        <v>330.37075709556245</v>
      </c>
      <c r="S145" s="41">
        <v>100</v>
      </c>
      <c r="T145" s="81">
        <f t="shared" si="16"/>
        <v>323.5824832556339</v>
      </c>
    </row>
    <row r="146" spans="2:20" ht="12.75">
      <c r="B146" s="15" t="s">
        <v>104</v>
      </c>
      <c r="D146" s="15" t="s">
        <v>71</v>
      </c>
      <c r="E146" s="43">
        <v>100</v>
      </c>
      <c r="F146" s="84">
        <f t="shared" si="15"/>
        <v>3.1772355798430794</v>
      </c>
      <c r="G146" s="19">
        <v>100</v>
      </c>
      <c r="H146" s="17">
        <f t="shared" si="15"/>
        <v>3.246331627174588</v>
      </c>
      <c r="I146" s="19">
        <v>100</v>
      </c>
      <c r="J146" s="17">
        <f t="shared" si="13"/>
        <v>3.166625998141347</v>
      </c>
      <c r="K146" s="43">
        <v>100</v>
      </c>
      <c r="L146" s="17">
        <f t="shared" si="12"/>
        <v>3.196731068386338</v>
      </c>
      <c r="M146" s="43">
        <v>100</v>
      </c>
      <c r="N146" s="16">
        <f t="shared" si="14"/>
        <v>3.1772355798430794</v>
      </c>
      <c r="O146" s="17">
        <v>100</v>
      </c>
      <c r="P146" s="16">
        <f t="shared" si="14"/>
        <v>3.246331627174588</v>
      </c>
      <c r="Q146" s="43">
        <v>100</v>
      </c>
      <c r="R146" s="16">
        <f t="shared" si="14"/>
        <v>3.166625998141347</v>
      </c>
      <c r="S146" s="41">
        <v>100</v>
      </c>
      <c r="T146" s="81">
        <f>AVERAGE(N146,P146,R146)</f>
        <v>3.196731068386338</v>
      </c>
    </row>
    <row r="147" spans="2:20" ht="12.75">
      <c r="B147" s="15" t="s">
        <v>105</v>
      </c>
      <c r="D147" s="15" t="s">
        <v>71</v>
      </c>
      <c r="E147" s="43"/>
      <c r="F147" s="84">
        <f t="shared" si="15"/>
        <v>61.850185954278615</v>
      </c>
      <c r="G147" s="19"/>
      <c r="H147" s="17">
        <f t="shared" si="15"/>
        <v>132.49361481041885</v>
      </c>
      <c r="I147" s="19"/>
      <c r="J147" s="17">
        <f t="shared" si="13"/>
        <v>70.79075751108093</v>
      </c>
      <c r="K147" s="43"/>
      <c r="L147" s="17">
        <f t="shared" si="12"/>
        <v>88.37818609192612</v>
      </c>
      <c r="N147" s="16">
        <f t="shared" si="14"/>
        <v>61.850185954278615</v>
      </c>
      <c r="O147" s="17"/>
      <c r="P147" s="16">
        <f t="shared" si="14"/>
        <v>132.49361481041885</v>
      </c>
      <c r="Q147" s="43"/>
      <c r="R147" s="16">
        <f t="shared" si="14"/>
        <v>70.79075751108093</v>
      </c>
      <c r="T147" s="81">
        <f aca="true" t="shared" si="17" ref="T147:T153">AVERAGE(N147,P147,R147)</f>
        <v>88.37818609192612</v>
      </c>
    </row>
    <row r="148" spans="2:20" ht="12.75">
      <c r="B148" s="15" t="s">
        <v>106</v>
      </c>
      <c r="D148" s="15" t="s">
        <v>71</v>
      </c>
      <c r="E148" s="43"/>
      <c r="F148" s="84">
        <f t="shared" si="15"/>
        <v>36.47466445659855</v>
      </c>
      <c r="G148" s="19"/>
      <c r="H148" s="17">
        <f t="shared" si="15"/>
        <v>27.485607776744846</v>
      </c>
      <c r="I148" s="19"/>
      <c r="J148" s="17">
        <f t="shared" si="13"/>
        <v>72.3740705101516</v>
      </c>
      <c r="K148" s="43"/>
      <c r="L148" s="17">
        <f t="shared" si="12"/>
        <v>45.44478091449833</v>
      </c>
      <c r="N148" s="16">
        <f t="shared" si="14"/>
        <v>36.47466445659855</v>
      </c>
      <c r="O148" s="17"/>
      <c r="P148" s="16">
        <f t="shared" si="14"/>
        <v>27.485607776744846</v>
      </c>
      <c r="Q148" s="43"/>
      <c r="R148" s="16">
        <f t="shared" si="14"/>
        <v>72.3740705101516</v>
      </c>
      <c r="T148" s="81">
        <f t="shared" si="17"/>
        <v>45.44478091449833</v>
      </c>
    </row>
    <row r="149" spans="2:20" ht="12.75">
      <c r="B149" s="15" t="s">
        <v>107</v>
      </c>
      <c r="D149" s="15" t="s">
        <v>71</v>
      </c>
      <c r="E149" s="43">
        <v>100</v>
      </c>
      <c r="F149" s="84">
        <f t="shared" si="15"/>
        <v>25.375521497680054</v>
      </c>
      <c r="G149" s="19">
        <v>100</v>
      </c>
      <c r="H149" s="17">
        <f t="shared" si="15"/>
        <v>23.24373445057005</v>
      </c>
      <c r="I149" s="19">
        <v>100</v>
      </c>
      <c r="J149" s="17">
        <f t="shared" si="13"/>
        <v>26.74965645798349</v>
      </c>
      <c r="K149" s="43">
        <v>100</v>
      </c>
      <c r="L149" s="17">
        <f t="shared" si="12"/>
        <v>25.122970802077862</v>
      </c>
      <c r="M149" s="43">
        <v>100</v>
      </c>
      <c r="N149" s="16">
        <f t="shared" si="14"/>
        <v>25.375521497680054</v>
      </c>
      <c r="O149" s="17">
        <v>100</v>
      </c>
      <c r="P149" s="16">
        <f t="shared" si="14"/>
        <v>23.24373445057005</v>
      </c>
      <c r="Q149" s="43">
        <v>100</v>
      </c>
      <c r="R149" s="16">
        <f t="shared" si="14"/>
        <v>26.74965645798349</v>
      </c>
      <c r="S149" s="41">
        <v>100</v>
      </c>
      <c r="T149" s="81">
        <f t="shared" si="17"/>
        <v>25.122970802077862</v>
      </c>
    </row>
    <row r="150" spans="2:20" ht="12.75">
      <c r="B150" s="15" t="s">
        <v>108</v>
      </c>
      <c r="D150" s="15" t="s">
        <v>71</v>
      </c>
      <c r="E150" s="43">
        <v>100</v>
      </c>
      <c r="F150" s="84">
        <f t="shared" si="15"/>
        <v>14.276378538761568</v>
      </c>
      <c r="G150" s="19">
        <v>100</v>
      </c>
      <c r="H150" s="17">
        <f t="shared" si="15"/>
        <v>14.543565689742152</v>
      </c>
      <c r="I150" s="19">
        <v>100</v>
      </c>
      <c r="J150" s="17">
        <f t="shared" si="13"/>
        <v>14.166484728527081</v>
      </c>
      <c r="K150" s="43">
        <v>100</v>
      </c>
      <c r="L150" s="17">
        <f t="shared" si="12"/>
        <v>14.328809652343601</v>
      </c>
      <c r="M150" s="43">
        <v>100</v>
      </c>
      <c r="N150" s="16">
        <f t="shared" si="14"/>
        <v>14.276378538761568</v>
      </c>
      <c r="O150" s="17">
        <v>100</v>
      </c>
      <c r="P150" s="16">
        <f t="shared" si="14"/>
        <v>14.543565689742152</v>
      </c>
      <c r="Q150" s="43">
        <v>100</v>
      </c>
      <c r="R150" s="16">
        <f t="shared" si="14"/>
        <v>14.166484728527081</v>
      </c>
      <c r="S150" s="41">
        <v>100</v>
      </c>
      <c r="T150" s="81">
        <f t="shared" si="17"/>
        <v>14.328809652343601</v>
      </c>
    </row>
    <row r="151" spans="2:20" ht="12.75">
      <c r="B151" s="15" t="s">
        <v>117</v>
      </c>
      <c r="D151" s="15" t="s">
        <v>71</v>
      </c>
      <c r="F151" s="84">
        <f t="shared" si="15"/>
        <v>115.77846452948182</v>
      </c>
      <c r="G151" s="81"/>
      <c r="H151" s="17">
        <f t="shared" si="15"/>
        <v>274.6829400806658</v>
      </c>
      <c r="I151" s="81"/>
      <c r="J151" s="17">
        <f t="shared" si="13"/>
        <v>173.03944434580288</v>
      </c>
      <c r="L151" s="17">
        <f t="shared" si="12"/>
        <v>187.83361631865014</v>
      </c>
      <c r="N151" s="16">
        <f t="shared" si="14"/>
        <v>115.77846452948182</v>
      </c>
      <c r="O151" s="16"/>
      <c r="P151" s="16">
        <f t="shared" si="14"/>
        <v>274.6829400806658</v>
      </c>
      <c r="Q151" s="43"/>
      <c r="R151" s="16">
        <f t="shared" si="14"/>
        <v>173.03944434580288</v>
      </c>
      <c r="T151" s="81">
        <f t="shared" si="17"/>
        <v>187.83361631865014</v>
      </c>
    </row>
    <row r="152" spans="2:20" ht="12.75">
      <c r="B152" s="15" t="s">
        <v>238</v>
      </c>
      <c r="D152" s="15" t="s">
        <v>71</v>
      </c>
      <c r="F152" s="84">
        <f t="shared" si="15"/>
        <v>33.29742887675547</v>
      </c>
      <c r="G152" s="81"/>
      <c r="H152" s="17">
        <f t="shared" si="15"/>
        <v>58.17426275896861</v>
      </c>
      <c r="I152" s="81"/>
      <c r="J152" s="17">
        <f t="shared" si="13"/>
        <v>59.58256812292274</v>
      </c>
      <c r="L152" s="17">
        <f t="shared" si="12"/>
        <v>50.35141991954894</v>
      </c>
      <c r="N152" s="16">
        <f t="shared" si="14"/>
        <v>33.29742887675547</v>
      </c>
      <c r="O152" s="16"/>
      <c r="P152" s="16">
        <f t="shared" si="14"/>
        <v>58.17426275896861</v>
      </c>
      <c r="Q152" s="43"/>
      <c r="R152" s="16">
        <f t="shared" si="14"/>
        <v>59.58256812292274</v>
      </c>
      <c r="T152" s="81">
        <f t="shared" si="17"/>
        <v>50.35141991954894</v>
      </c>
    </row>
    <row r="153" spans="2:20" ht="12.75">
      <c r="B153" s="15" t="s">
        <v>122</v>
      </c>
      <c r="D153" s="15" t="s">
        <v>71</v>
      </c>
      <c r="E153" s="43"/>
      <c r="F153" s="84">
        <f t="shared" si="15"/>
        <v>333.05901504968386</v>
      </c>
      <c r="G153" s="19"/>
      <c r="H153" s="17">
        <f t="shared" si="15"/>
        <v>1163.4419707576765</v>
      </c>
      <c r="I153" s="19"/>
      <c r="J153" s="17">
        <f t="shared" si="13"/>
        <v>1824.9348959551692</v>
      </c>
      <c r="K153" s="43"/>
      <c r="L153" s="17">
        <f t="shared" si="12"/>
        <v>1107.1452939208432</v>
      </c>
      <c r="N153" s="16">
        <f t="shared" si="14"/>
        <v>333.05901504968386</v>
      </c>
      <c r="O153" s="16"/>
      <c r="P153" s="16">
        <f t="shared" si="14"/>
        <v>1163.4419707576765</v>
      </c>
      <c r="Q153" s="43"/>
      <c r="R153" s="16">
        <f t="shared" si="14"/>
        <v>1824.9348959551692</v>
      </c>
      <c r="T153" s="81">
        <f t="shared" si="17"/>
        <v>1107.1452939208432</v>
      </c>
    </row>
    <row r="154" spans="2:20" ht="12.75">
      <c r="B154" s="15" t="s">
        <v>72</v>
      </c>
      <c r="D154" s="15" t="s">
        <v>71</v>
      </c>
      <c r="E154" s="43">
        <v>100</v>
      </c>
      <c r="F154" s="84">
        <f>F145+F143</f>
        <v>318.78263651092226</v>
      </c>
      <c r="G154" s="19">
        <v>100</v>
      </c>
      <c r="H154" s="17">
        <f>H145+H143</f>
        <v>324.7630159825458</v>
      </c>
      <c r="I154" s="19">
        <v>100</v>
      </c>
      <c r="J154" s="17">
        <f>J145+J143</f>
        <v>331.95407009463315</v>
      </c>
      <c r="K154" s="43">
        <v>100</v>
      </c>
      <c r="L154" s="17">
        <f t="shared" si="12"/>
        <v>325.1665741960337</v>
      </c>
      <c r="M154" s="43">
        <v>100</v>
      </c>
      <c r="N154" s="16">
        <f t="shared" si="14"/>
        <v>318.78263651092226</v>
      </c>
      <c r="O154" s="42">
        <v>100</v>
      </c>
      <c r="P154" s="16">
        <f t="shared" si="14"/>
        <v>324.7630159825458</v>
      </c>
      <c r="Q154" s="41">
        <v>100</v>
      </c>
      <c r="R154" s="16">
        <f t="shared" si="14"/>
        <v>331.95407009463315</v>
      </c>
      <c r="S154" s="41">
        <v>100</v>
      </c>
      <c r="T154" s="44">
        <f>AVERAGE(N154,P154,R154)</f>
        <v>325.16657419603376</v>
      </c>
    </row>
    <row r="155" spans="2:20" ht="12.75">
      <c r="B155" s="15" t="s">
        <v>73</v>
      </c>
      <c r="D155" s="15" t="s">
        <v>71</v>
      </c>
      <c r="E155" s="43">
        <f>SUM(F140,F142)/F155*100</f>
        <v>67.75862068965517</v>
      </c>
      <c r="F155" s="84">
        <f>F140+F142+F144</f>
        <v>49.14124363490628</v>
      </c>
      <c r="G155" s="19">
        <f>SUM(H140,H142)/H155*100</f>
        <v>62.96479920674268</v>
      </c>
      <c r="H155" s="17">
        <f>H140+H142+H144</f>
        <v>87.3046785601486</v>
      </c>
      <c r="I155" s="19">
        <f>SUM(J140,J142)/J155*100</f>
        <v>63.16767301439852</v>
      </c>
      <c r="J155" s="17">
        <f>J140+J142+J144</f>
        <v>89.70718123682002</v>
      </c>
      <c r="K155" s="43">
        <f>SUM(L140,L142)/L155*100</f>
        <v>64.08693099717412</v>
      </c>
      <c r="L155" s="17">
        <f t="shared" si="12"/>
        <v>75.38436781062497</v>
      </c>
      <c r="M155" s="43">
        <v>67.75862068965517</v>
      </c>
      <c r="N155" s="16">
        <f t="shared" si="14"/>
        <v>49.14124363490628</v>
      </c>
      <c r="O155" s="42">
        <v>62.96479920674268</v>
      </c>
      <c r="P155" s="16">
        <f t="shared" si="14"/>
        <v>87.3046785601486</v>
      </c>
      <c r="Q155" s="41">
        <v>63.16767301439852</v>
      </c>
      <c r="R155" s="16">
        <f t="shared" si="14"/>
        <v>89.70718123682002</v>
      </c>
      <c r="S155" s="41">
        <v>64.08693099717412</v>
      </c>
      <c r="T155" s="44">
        <f>AVERAGE(N155,P155,R155)</f>
        <v>75.38436781062497</v>
      </c>
    </row>
    <row r="156" spans="5:15" ht="12.75">
      <c r="E156" s="43"/>
      <c r="G156" s="43"/>
      <c r="I156" s="43"/>
      <c r="K156" s="43"/>
      <c r="L156" s="47"/>
      <c r="N156" s="42"/>
      <c r="O156" s="42"/>
    </row>
    <row r="157" spans="5:17" ht="12.75">
      <c r="E157" s="43"/>
      <c r="G157" s="43"/>
      <c r="I157" s="43"/>
      <c r="K157" s="43"/>
      <c r="L157" s="46"/>
      <c r="N157" s="46"/>
      <c r="O157" s="46"/>
      <c r="P157" s="42"/>
      <c r="Q157" s="42"/>
    </row>
    <row r="158" spans="14:15" ht="12.75">
      <c r="N158" s="46"/>
      <c r="O158" s="46"/>
    </row>
    <row r="159" spans="14:15" ht="12.75">
      <c r="N159" s="42"/>
      <c r="O159" s="42"/>
    </row>
    <row r="161" spans="12:15" ht="12.75">
      <c r="L161" s="45"/>
      <c r="N161" s="48"/>
      <c r="O161" s="48"/>
    </row>
    <row r="162" spans="12:15" ht="12.75">
      <c r="L162" s="46"/>
      <c r="N162" s="49"/>
      <c r="O162" s="49"/>
    </row>
    <row r="163" ht="12.75">
      <c r="L163" s="47"/>
    </row>
    <row r="164" ht="12.75">
      <c r="L164" s="46"/>
    </row>
    <row r="165" spans="12:17" ht="12.75">
      <c r="L165" s="45"/>
      <c r="N165" s="45"/>
      <c r="O165" s="45"/>
      <c r="P165" s="42"/>
      <c r="Q165" s="42"/>
    </row>
    <row r="166" spans="12:17" ht="12.75">
      <c r="L166" s="45"/>
      <c r="N166" s="45"/>
      <c r="O166" s="45"/>
      <c r="P166" s="42"/>
      <c r="Q166" s="42"/>
    </row>
    <row r="167" spans="12:17" ht="12.75">
      <c r="L167" s="16"/>
      <c r="N167" s="45"/>
      <c r="O167" s="45"/>
      <c r="P167" s="42"/>
      <c r="Q167" s="42"/>
    </row>
    <row r="168" spans="12:17" ht="12.75">
      <c r="L168" s="16"/>
      <c r="N168" s="45"/>
      <c r="O168" s="45"/>
      <c r="P168" s="42"/>
      <c r="Q168" s="42"/>
    </row>
    <row r="169" spans="14:15" ht="12.75">
      <c r="N169" s="42"/>
      <c r="O169" s="42"/>
    </row>
    <row r="170" spans="12:21" ht="12.75">
      <c r="L170" s="16"/>
      <c r="M170" s="18"/>
      <c r="N170" s="16"/>
      <c r="O170" s="16"/>
      <c r="R170" s="44"/>
      <c r="S170" s="44"/>
      <c r="T170" s="44"/>
      <c r="U170" s="44"/>
    </row>
    <row r="171" spans="12:21" ht="12.75">
      <c r="L171" s="16"/>
      <c r="M171" s="18"/>
      <c r="T171" s="16"/>
      <c r="U171" s="16"/>
    </row>
    <row r="172" spans="12:21" ht="12.75">
      <c r="L172" s="16"/>
      <c r="M172" s="18"/>
      <c r="T172" s="16"/>
      <c r="U172" s="16"/>
    </row>
    <row r="173" spans="2:21" ht="12.75">
      <c r="B173" s="62"/>
      <c r="C173" s="62"/>
      <c r="L173" s="16"/>
      <c r="M173" s="18"/>
      <c r="T173" s="16"/>
      <c r="U173" s="16"/>
    </row>
    <row r="174" spans="12:15" ht="12.75">
      <c r="L174" s="16"/>
      <c r="M174" s="18"/>
      <c r="N174" s="16"/>
      <c r="O174" s="16"/>
    </row>
    <row r="175" spans="12:17" ht="12.75">
      <c r="L175" s="17"/>
      <c r="M175" s="19"/>
      <c r="N175" s="17"/>
      <c r="O175" s="17"/>
      <c r="P175" s="17"/>
      <c r="Q175" s="17"/>
    </row>
    <row r="176" spans="12:15" ht="12.75">
      <c r="L176" s="16"/>
      <c r="N176" s="16"/>
      <c r="O176" s="16"/>
    </row>
    <row r="177" spans="12:15" ht="12.75">
      <c r="L177" s="16"/>
      <c r="N177" s="16"/>
      <c r="O177" s="16"/>
    </row>
    <row r="178" spans="5:15" ht="12.75">
      <c r="E178" s="43"/>
      <c r="G178" s="43"/>
      <c r="I178" s="43"/>
      <c r="K178" s="43"/>
      <c r="L178" s="16"/>
      <c r="N178" s="16"/>
      <c r="O178" s="16"/>
    </row>
    <row r="179" spans="5:15" ht="12.75">
      <c r="E179" s="43"/>
      <c r="G179" s="43"/>
      <c r="I179" s="43"/>
      <c r="K179" s="43"/>
      <c r="L179" s="16"/>
      <c r="N179" s="16"/>
      <c r="O179" s="16"/>
    </row>
    <row r="180" spans="5:15" ht="12.75">
      <c r="E180" s="43"/>
      <c r="G180" s="43"/>
      <c r="I180" s="43"/>
      <c r="K180" s="43"/>
      <c r="L180" s="16"/>
      <c r="N180" s="16"/>
      <c r="O180" s="16"/>
    </row>
    <row r="181" spans="12:15" ht="12.75">
      <c r="L181" s="16"/>
      <c r="N181" s="16"/>
      <c r="O181" s="16"/>
    </row>
    <row r="182" spans="12:15" ht="12.75">
      <c r="L182" s="16"/>
      <c r="N182" s="16"/>
      <c r="O182" s="16"/>
    </row>
    <row r="183" spans="12:15" ht="12.75">
      <c r="L183" s="16"/>
      <c r="N183" s="16"/>
      <c r="O183" s="16"/>
    </row>
    <row r="184" spans="12:15" ht="12.75">
      <c r="L184" s="16"/>
      <c r="N184" s="16"/>
      <c r="O184" s="16"/>
    </row>
    <row r="185" spans="12:15" ht="12.75">
      <c r="L185" s="16"/>
      <c r="N185" s="16"/>
      <c r="O185" s="16"/>
    </row>
    <row r="186" spans="12:15" ht="12.75">
      <c r="L186" s="16"/>
      <c r="N186" s="16"/>
      <c r="O186" s="16"/>
    </row>
    <row r="187" spans="12:15" ht="12.75">
      <c r="L187" s="16"/>
      <c r="N187" s="16"/>
      <c r="O187" s="16"/>
    </row>
    <row r="188" spans="12:15" ht="12.75">
      <c r="L188" s="16"/>
      <c r="N188" s="16"/>
      <c r="O188" s="16"/>
    </row>
    <row r="189" spans="12:15" ht="12.75">
      <c r="L189" s="16"/>
      <c r="M189" s="16"/>
      <c r="N189" s="16"/>
      <c r="O189" s="16"/>
    </row>
    <row r="190" spans="12:15" ht="12.75">
      <c r="L190" s="16"/>
      <c r="M190" s="16"/>
      <c r="N190" s="16"/>
      <c r="O190" s="16"/>
    </row>
    <row r="192" spans="2:3" ht="12.75">
      <c r="B192" s="40"/>
      <c r="C192" s="4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20"/>
  <sheetViews>
    <sheetView workbookViewId="0" topLeftCell="B1">
      <selection activeCell="C17" sqref="C17"/>
    </sheetView>
  </sheetViews>
  <sheetFormatPr defaultColWidth="9.140625" defaultRowHeight="12.75"/>
  <cols>
    <col min="1" max="1" width="9.140625" style="0" hidden="1" customWidth="1"/>
    <col min="2" max="2" width="14.57421875" style="0" customWidth="1"/>
    <col min="3" max="3" width="4.8515625" style="0" customWidth="1"/>
    <col min="5" max="5" width="1.7109375" style="0" customWidth="1"/>
    <col min="6" max="6" width="10.140625" style="0" bestFit="1" customWidth="1"/>
    <col min="7" max="7" width="2.28125" style="0" customWidth="1"/>
    <col min="8" max="8" width="11.00390625" style="0" customWidth="1"/>
    <col min="9" max="9" width="2.28125" style="0" customWidth="1"/>
    <col min="10" max="10" width="10.28125" style="0" customWidth="1"/>
    <col min="11" max="11" width="2.7109375" style="0" customWidth="1"/>
    <col min="12" max="12" width="12.28125" style="0" customWidth="1"/>
    <col min="13" max="13" width="2.7109375" style="0" customWidth="1"/>
    <col min="14" max="14" width="10.00390625" style="0" bestFit="1" customWidth="1"/>
    <col min="15" max="15" width="3.140625" style="0" customWidth="1"/>
    <col min="16" max="16" width="10.8515625" style="0" customWidth="1"/>
    <col min="17" max="17" width="3.140625" style="0" customWidth="1"/>
    <col min="18" max="18" width="10.57421875" style="0" customWidth="1"/>
    <col min="19" max="19" width="3.140625" style="0" customWidth="1"/>
    <col min="20" max="20" width="10.00390625" style="0" bestFit="1" customWidth="1"/>
  </cols>
  <sheetData>
    <row r="1" spans="2:3" ht="12.75">
      <c r="B1" s="8" t="s">
        <v>210</v>
      </c>
      <c r="C1" s="8"/>
    </row>
    <row r="4" spans="2:20" ht="12.75">
      <c r="B4" s="8" t="s">
        <v>138</v>
      </c>
      <c r="C4" s="8"/>
      <c r="F4" s="43" t="s">
        <v>194</v>
      </c>
      <c r="G4" s="43"/>
      <c r="H4" s="43" t="s">
        <v>195</v>
      </c>
      <c r="I4" s="43"/>
      <c r="J4" s="43" t="s">
        <v>196</v>
      </c>
      <c r="K4" s="43"/>
      <c r="L4" s="43" t="s">
        <v>48</v>
      </c>
      <c r="N4" s="43" t="s">
        <v>194</v>
      </c>
      <c r="O4" s="43"/>
      <c r="P4" s="43" t="s">
        <v>195</v>
      </c>
      <c r="Q4" s="43"/>
      <c r="R4" s="43" t="s">
        <v>196</v>
      </c>
      <c r="S4" s="43"/>
      <c r="T4" s="43" t="s">
        <v>48</v>
      </c>
    </row>
    <row r="6" spans="2:20" ht="12.75">
      <c r="B6" s="10" t="s">
        <v>236</v>
      </c>
      <c r="C6" s="10"/>
      <c r="F6" t="s">
        <v>80</v>
      </c>
      <c r="H6" t="s">
        <v>80</v>
      </c>
      <c r="J6" t="s">
        <v>80</v>
      </c>
      <c r="L6" t="s">
        <v>80</v>
      </c>
      <c r="N6" t="s">
        <v>25</v>
      </c>
      <c r="P6" t="s">
        <v>25</v>
      </c>
      <c r="R6" t="s">
        <v>25</v>
      </c>
      <c r="T6" t="s">
        <v>25</v>
      </c>
    </row>
    <row r="7" spans="2:6" ht="12.75">
      <c r="B7" t="s">
        <v>212</v>
      </c>
      <c r="F7" t="s">
        <v>60</v>
      </c>
    </row>
    <row r="8" spans="2:18" ht="12.75">
      <c r="B8" t="s">
        <v>199</v>
      </c>
      <c r="D8" t="s">
        <v>59</v>
      </c>
      <c r="F8">
        <v>5107</v>
      </c>
      <c r="H8">
        <v>5107</v>
      </c>
      <c r="J8">
        <v>5107</v>
      </c>
      <c r="N8">
        <f>F8</f>
        <v>5107</v>
      </c>
      <c r="P8">
        <f>H8</f>
        <v>5107</v>
      </c>
      <c r="R8">
        <f>J8</f>
        <v>5107</v>
      </c>
    </row>
    <row r="9" spans="2:18" ht="12.75">
      <c r="B9" t="s">
        <v>200</v>
      </c>
      <c r="D9" t="s">
        <v>52</v>
      </c>
      <c r="F9">
        <v>6828</v>
      </c>
      <c r="H9">
        <v>7018</v>
      </c>
      <c r="J9">
        <v>7223</v>
      </c>
      <c r="N9">
        <f aca="true" t="shared" si="0" ref="N9:R11">F9</f>
        <v>6828</v>
      </c>
      <c r="P9">
        <f t="shared" si="0"/>
        <v>7018</v>
      </c>
      <c r="R9">
        <f t="shared" si="0"/>
        <v>7223</v>
      </c>
    </row>
    <row r="10" spans="2:18" ht="12.75">
      <c r="B10" t="s">
        <v>53</v>
      </c>
      <c r="D10" t="s">
        <v>201</v>
      </c>
      <c r="F10">
        <v>0.007</v>
      </c>
      <c r="H10">
        <v>0.005</v>
      </c>
      <c r="J10">
        <v>0.008</v>
      </c>
      <c r="N10">
        <f t="shared" si="0"/>
        <v>0.007</v>
      </c>
      <c r="P10">
        <f t="shared" si="0"/>
        <v>0.005</v>
      </c>
      <c r="R10">
        <f t="shared" si="0"/>
        <v>0.008</v>
      </c>
    </row>
    <row r="11" spans="2:18" ht="12.75">
      <c r="B11" t="s">
        <v>54</v>
      </c>
      <c r="D11" t="s">
        <v>59</v>
      </c>
      <c r="F11">
        <v>3203</v>
      </c>
      <c r="H11">
        <v>3203</v>
      </c>
      <c r="J11">
        <v>3203</v>
      </c>
      <c r="N11">
        <f t="shared" si="0"/>
        <v>3203</v>
      </c>
      <c r="P11">
        <f t="shared" si="0"/>
        <v>3203</v>
      </c>
      <c r="R11">
        <f t="shared" si="0"/>
        <v>3203</v>
      </c>
    </row>
    <row r="13" spans="2:20" ht="12.75">
      <c r="B13" t="s">
        <v>202</v>
      </c>
      <c r="D13" t="s">
        <v>17</v>
      </c>
      <c r="F13">
        <f>'emiss 2'!G12</f>
        <v>11683.9</v>
      </c>
      <c r="H13">
        <f>'emiss 2'!I12</f>
        <v>11478.3</v>
      </c>
      <c r="J13">
        <f>'emiss 2'!K12</f>
        <v>11476.5</v>
      </c>
      <c r="L13" s="6">
        <f>AVERAGE(F13,H13,J13,)</f>
        <v>8659.675</v>
      </c>
      <c r="N13">
        <f aca="true" t="shared" si="1" ref="N13:R14">F13</f>
        <v>11683.9</v>
      </c>
      <c r="P13">
        <f t="shared" si="1"/>
        <v>11478.3</v>
      </c>
      <c r="R13">
        <f t="shared" si="1"/>
        <v>11476.5</v>
      </c>
      <c r="T13" s="6">
        <f>L13</f>
        <v>8659.675</v>
      </c>
    </row>
    <row r="14" spans="2:20" ht="12.75">
      <c r="B14" t="s">
        <v>78</v>
      </c>
      <c r="D14" t="s">
        <v>18</v>
      </c>
      <c r="F14">
        <f>'emiss 2'!G13</f>
        <v>11</v>
      </c>
      <c r="H14">
        <f>'emiss 2'!I13</f>
        <v>11</v>
      </c>
      <c r="J14">
        <f>'emiss 2'!K13</f>
        <v>11</v>
      </c>
      <c r="L14">
        <f>AVERAGE(F14,H14,J14)</f>
        <v>11</v>
      </c>
      <c r="N14">
        <f t="shared" si="1"/>
        <v>11</v>
      </c>
      <c r="P14">
        <f t="shared" si="1"/>
        <v>11</v>
      </c>
      <c r="R14">
        <f t="shared" si="1"/>
        <v>11</v>
      </c>
      <c r="T14">
        <f>L14</f>
        <v>11</v>
      </c>
    </row>
    <row r="16" spans="2:20" ht="12.75">
      <c r="B16" s="10" t="s">
        <v>237</v>
      </c>
      <c r="C16" s="10"/>
      <c r="D16" s="10" t="s">
        <v>70</v>
      </c>
      <c r="F16" s="36">
        <f>F13/9000*60*(21-F14)/21</f>
        <v>37.09174603174603</v>
      </c>
      <c r="H16" s="36">
        <f>H13/9000*60*(21-H14)/21</f>
        <v>36.439047619047614</v>
      </c>
      <c r="J16" s="36">
        <f>J13/9000*60*(21-J14)/21</f>
        <v>36.43333333333333</v>
      </c>
      <c r="L16" s="36">
        <f>L13/9000*60*(21-L14)/21</f>
        <v>27.491031746031748</v>
      </c>
      <c r="N16" s="6">
        <f>F16</f>
        <v>37.09174603174603</v>
      </c>
      <c r="O16" s="6"/>
      <c r="P16" s="6">
        <f>H16</f>
        <v>36.439047619047614</v>
      </c>
      <c r="Q16" s="6"/>
      <c r="R16" s="6">
        <f>J16</f>
        <v>36.43333333333333</v>
      </c>
      <c r="S16" s="6"/>
      <c r="T16" s="6">
        <f>L16</f>
        <v>27.491031746031748</v>
      </c>
    </row>
    <row r="18" ht="12.75">
      <c r="B18" t="s">
        <v>203</v>
      </c>
    </row>
    <row r="19" spans="2:20" ht="12.75">
      <c r="B19" t="s">
        <v>53</v>
      </c>
      <c r="D19" t="s">
        <v>79</v>
      </c>
      <c r="F19" s="6">
        <f>F8*F10*454/100/F13*14/(21-F14)/60/0.0283*1000</f>
        <v>11.453079338807271</v>
      </c>
      <c r="G19" s="6"/>
      <c r="H19" s="6">
        <f>H8*H10*454/100/H13*14/(21-H14)/60/0.0283*1000</f>
        <v>8.327305417719288</v>
      </c>
      <c r="I19" s="6"/>
      <c r="J19" s="6">
        <f>J8*J10*454/100/J13*14/(21-J14)/60/0.0283*1000</f>
        <v>13.325778385564563</v>
      </c>
      <c r="L19" s="6">
        <f>AVERAGE(F19,H19,J19)</f>
        <v>11.035387714030373</v>
      </c>
      <c r="N19" s="6">
        <f aca="true" t="shared" si="2" ref="N19:R20">F19</f>
        <v>11.453079338807271</v>
      </c>
      <c r="O19" s="6"/>
      <c r="P19" s="6">
        <f t="shared" si="2"/>
        <v>8.327305417719288</v>
      </c>
      <c r="Q19" s="6"/>
      <c r="R19" s="6">
        <f t="shared" si="2"/>
        <v>13.325778385564563</v>
      </c>
      <c r="S19" s="6"/>
      <c r="T19" s="6">
        <f>L19</f>
        <v>11.035387714030373</v>
      </c>
    </row>
    <row r="20" spans="2:20" ht="12.75">
      <c r="B20" t="s">
        <v>54</v>
      </c>
      <c r="D20" t="s">
        <v>71</v>
      </c>
      <c r="F20" s="85">
        <f>F11*454/F13*14/(21-F14)/0.0283/60*1000000</f>
        <v>102616053.93773161</v>
      </c>
      <c r="G20" s="85"/>
      <c r="H20" s="85">
        <f>H11*454/H13*14/(21-H14)/0.0283/60*1000000</f>
        <v>104454118.86804341</v>
      </c>
      <c r="I20" s="85"/>
      <c r="J20" s="85">
        <f>J11*454/J13*14/(21-J14)/0.0283/60*1000000</f>
        <v>104470501.68632096</v>
      </c>
      <c r="K20" s="85"/>
      <c r="L20" s="85">
        <f>AVERAGE(F20,H20,J20)</f>
        <v>103846891.49736531</v>
      </c>
      <c r="M20" s="85"/>
      <c r="N20" s="85">
        <f t="shared" si="2"/>
        <v>102616053.93773161</v>
      </c>
      <c r="O20" s="85"/>
      <c r="P20" s="85">
        <f t="shared" si="2"/>
        <v>104454118.86804341</v>
      </c>
      <c r="Q20" s="85"/>
      <c r="R20" s="85">
        <f t="shared" si="2"/>
        <v>104470501.68632096</v>
      </c>
      <c r="S20" s="85"/>
      <c r="T20" s="85">
        <f>L20</f>
        <v>103846891.49736531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B2">
      <selection activeCell="C17" sqref="C17"/>
    </sheetView>
  </sheetViews>
  <sheetFormatPr defaultColWidth="9.140625" defaultRowHeight="12.75"/>
  <cols>
    <col min="1" max="1" width="9.140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8" t="s">
        <v>83</v>
      </c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t="s">
        <v>125</v>
      </c>
      <c r="B3" s="8" t="s">
        <v>178</v>
      </c>
      <c r="C3" s="20"/>
      <c r="D3" s="20"/>
      <c r="E3" s="86" t="s">
        <v>48</v>
      </c>
      <c r="F3" s="20"/>
    </row>
    <row r="4" spans="2:6" ht="12.75">
      <c r="B4" s="20"/>
      <c r="C4" s="20"/>
      <c r="D4" s="20"/>
      <c r="F4" s="20"/>
    </row>
    <row r="5" spans="2:6" ht="14.25">
      <c r="B5" s="20" t="s">
        <v>144</v>
      </c>
      <c r="C5" s="9" t="s">
        <v>65</v>
      </c>
      <c r="D5" s="9"/>
      <c r="E5" s="20">
        <v>1655</v>
      </c>
      <c r="F5" s="20"/>
    </row>
    <row r="6" spans="2:6" ht="12.75">
      <c r="B6" s="20" t="s">
        <v>145</v>
      </c>
      <c r="C6" s="20" t="s">
        <v>146</v>
      </c>
      <c r="D6" s="20"/>
      <c r="E6" s="20">
        <v>-1</v>
      </c>
      <c r="F6" s="20"/>
    </row>
    <row r="7" spans="2:6" ht="12.75">
      <c r="B7" s="20" t="s">
        <v>147</v>
      </c>
      <c r="C7" s="20" t="s">
        <v>68</v>
      </c>
      <c r="D7" s="20"/>
      <c r="E7" s="50">
        <v>4</v>
      </c>
      <c r="F7" s="20"/>
    </row>
    <row r="8" spans="2:6" ht="12.75">
      <c r="B8" s="20" t="s">
        <v>148</v>
      </c>
      <c r="C8" s="20" t="s">
        <v>68</v>
      </c>
      <c r="D8" s="20"/>
      <c r="E8" s="51">
        <v>58</v>
      </c>
      <c r="F8" s="20"/>
    </row>
    <row r="9" spans="2:6" ht="12.75">
      <c r="B9" s="20" t="s">
        <v>149</v>
      </c>
      <c r="C9" s="20" t="s">
        <v>66</v>
      </c>
      <c r="D9" s="20"/>
      <c r="E9" s="20">
        <v>8.48</v>
      </c>
      <c r="F9" s="20"/>
    </row>
    <row r="10" spans="2:6" ht="12.75">
      <c r="B10" s="20" t="s">
        <v>150</v>
      </c>
      <c r="C10" s="20" t="s">
        <v>67</v>
      </c>
      <c r="D10" s="20"/>
      <c r="E10" s="20">
        <v>411</v>
      </c>
      <c r="F10" s="20"/>
    </row>
    <row r="11" spans="2:6" ht="12.75">
      <c r="B11" s="20" t="s">
        <v>154</v>
      </c>
      <c r="C11" s="20" t="s">
        <v>67</v>
      </c>
      <c r="D11" s="20"/>
      <c r="E11" s="20">
        <v>0</v>
      </c>
      <c r="F11" s="20"/>
    </row>
    <row r="12" spans="2:6" ht="12.75">
      <c r="B12" s="20"/>
      <c r="C12" s="20"/>
      <c r="D12" s="20"/>
      <c r="E12" s="20"/>
      <c r="F12" s="20"/>
    </row>
    <row r="13" spans="1:6" ht="12.75">
      <c r="A13" t="s">
        <v>125</v>
      </c>
      <c r="B13" s="8" t="s">
        <v>179</v>
      </c>
      <c r="C13" s="20"/>
      <c r="D13" s="20"/>
      <c r="E13" s="86" t="s">
        <v>48</v>
      </c>
      <c r="F13" s="20"/>
    </row>
    <row r="14" spans="2:6" ht="12.75">
      <c r="B14" s="20"/>
      <c r="C14" s="20"/>
      <c r="D14" s="20"/>
      <c r="E14" s="20"/>
      <c r="F14" s="20"/>
    </row>
    <row r="15" spans="2:6" ht="14.25">
      <c r="B15" s="20" t="s">
        <v>144</v>
      </c>
      <c r="C15" s="9" t="s">
        <v>65</v>
      </c>
      <c r="D15" s="9"/>
      <c r="E15" s="50">
        <v>1988</v>
      </c>
      <c r="F15" s="20"/>
    </row>
    <row r="16" spans="2:6" ht="12.75">
      <c r="B16" s="20" t="s">
        <v>145</v>
      </c>
      <c r="C16" s="20" t="s">
        <v>146</v>
      </c>
      <c r="D16" s="20"/>
      <c r="E16" s="51">
        <v>-1</v>
      </c>
      <c r="F16" s="20"/>
    </row>
    <row r="17" spans="2:6" ht="12.75">
      <c r="B17" s="20" t="s">
        <v>147</v>
      </c>
      <c r="C17" s="20" t="s">
        <v>68</v>
      </c>
      <c r="E17">
        <v>4</v>
      </c>
      <c r="F17" s="20"/>
    </row>
    <row r="18" spans="2:6" ht="12.75">
      <c r="B18" s="20" t="s">
        <v>148</v>
      </c>
      <c r="C18" s="20" t="s">
        <v>68</v>
      </c>
      <c r="E18">
        <v>58</v>
      </c>
      <c r="F18" s="20"/>
    </row>
    <row r="19" spans="2:6" ht="12.75">
      <c r="B19" s="20" t="s">
        <v>149</v>
      </c>
      <c r="C19" s="20" t="s">
        <v>66</v>
      </c>
      <c r="D19" s="20"/>
      <c r="E19" s="50">
        <v>8.46</v>
      </c>
      <c r="F19" s="20"/>
    </row>
    <row r="20" spans="2:6" ht="12.75">
      <c r="B20" s="20" t="s">
        <v>150</v>
      </c>
      <c r="C20" s="20" t="s">
        <v>67</v>
      </c>
      <c r="D20" s="20"/>
      <c r="E20" s="20">
        <v>412</v>
      </c>
      <c r="F20" s="20"/>
    </row>
    <row r="21" spans="2:6" ht="12.75">
      <c r="B21" s="20" t="s">
        <v>154</v>
      </c>
      <c r="C21" s="20" t="s">
        <v>67</v>
      </c>
      <c r="D21" s="20"/>
      <c r="E21" s="20">
        <v>10</v>
      </c>
      <c r="F21" s="20"/>
    </row>
    <row r="22" spans="2:6" ht="12.75">
      <c r="B22" s="20"/>
      <c r="C22" s="20"/>
      <c r="D22" s="20"/>
      <c r="E22" s="20"/>
      <c r="F22" s="20"/>
    </row>
    <row r="23" spans="1:6" ht="12.75">
      <c r="A23" t="s">
        <v>125</v>
      </c>
      <c r="B23" s="8" t="s">
        <v>180</v>
      </c>
      <c r="C23" s="20"/>
      <c r="D23" s="20"/>
      <c r="E23" s="86" t="s">
        <v>48</v>
      </c>
      <c r="F23" s="20"/>
    </row>
    <row r="24" spans="2:6" ht="12.75">
      <c r="B24" s="20"/>
      <c r="C24" s="20"/>
      <c r="D24" s="20"/>
      <c r="E24" s="20"/>
      <c r="F24" s="20"/>
    </row>
    <row r="25" spans="2:6" ht="14.25">
      <c r="B25" s="20" t="s">
        <v>144</v>
      </c>
      <c r="C25" s="9" t="s">
        <v>65</v>
      </c>
      <c r="D25" s="9"/>
      <c r="E25" s="50">
        <v>1987</v>
      </c>
      <c r="F25" s="20"/>
    </row>
    <row r="26" spans="2:6" ht="12.75">
      <c r="B26" s="20" t="s">
        <v>145</v>
      </c>
      <c r="C26" s="20" t="s">
        <v>146</v>
      </c>
      <c r="D26" s="20"/>
      <c r="E26" s="51">
        <v>-1</v>
      </c>
      <c r="F26" s="20"/>
    </row>
    <row r="27" spans="2:6" ht="12.75">
      <c r="B27" s="20" t="s">
        <v>149</v>
      </c>
      <c r="C27" s="20" t="s">
        <v>66</v>
      </c>
      <c r="D27" s="20"/>
      <c r="E27" s="50">
        <v>9.1</v>
      </c>
      <c r="F27" s="20"/>
    </row>
    <row r="28" spans="2:6" ht="12.75">
      <c r="B28" s="20" t="s">
        <v>150</v>
      </c>
      <c r="C28" s="20" t="s">
        <v>67</v>
      </c>
      <c r="D28" s="20"/>
      <c r="E28" s="20">
        <v>413</v>
      </c>
      <c r="F28" s="20"/>
    </row>
    <row r="29" spans="2:6" ht="12.75">
      <c r="B29" s="20" t="s">
        <v>151</v>
      </c>
      <c r="C29" s="20" t="s">
        <v>67</v>
      </c>
      <c r="D29" s="20"/>
      <c r="E29" s="20">
        <v>9.94</v>
      </c>
      <c r="F29" s="20"/>
    </row>
    <row r="30" spans="2:6" ht="12.75">
      <c r="B30" s="20"/>
      <c r="C30" s="20"/>
      <c r="D30" s="20"/>
      <c r="E30" s="20"/>
      <c r="F30" s="2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">
      <selection activeCell="C17" sqref="C17"/>
    </sheetView>
  </sheetViews>
  <sheetFormatPr defaultColWidth="9.140625" defaultRowHeight="12.75"/>
  <cols>
    <col min="1" max="1" width="2.8515625" style="0" customWidth="1"/>
    <col min="2" max="2" width="20.00390625" style="0" customWidth="1"/>
    <col min="3" max="4" width="7.57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57421875" style="0" customWidth="1"/>
    <col min="16" max="16" width="9.00390625" style="0" customWidth="1"/>
    <col min="18" max="18" width="9.00390625" style="0" customWidth="1"/>
  </cols>
  <sheetData>
    <row r="1" spans="1:18" ht="12.75">
      <c r="A1" s="58" t="s">
        <v>85</v>
      </c>
      <c r="B1" s="41"/>
      <c r="C1" s="41"/>
      <c r="D1" s="41"/>
      <c r="E1" s="52"/>
      <c r="F1" s="53"/>
      <c r="G1" s="52"/>
      <c r="H1" s="53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.75">
      <c r="A2" s="41" t="s">
        <v>241</v>
      </c>
      <c r="B2" s="41"/>
      <c r="C2" s="41"/>
      <c r="D2" s="41"/>
      <c r="E2" s="52"/>
      <c r="F2" s="53"/>
      <c r="G2" s="52"/>
      <c r="H2" s="53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>
      <c r="A3" s="41" t="s">
        <v>20</v>
      </c>
      <c r="B3" s="41"/>
      <c r="C3" s="15" t="str">
        <f>source!C5</f>
        <v>Norco Chemical Plant-West Site Shell Oil Company</v>
      </c>
      <c r="D3" s="15"/>
      <c r="E3" s="52"/>
      <c r="F3" s="53"/>
      <c r="G3" s="52"/>
      <c r="H3" s="53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>
      <c r="A4" s="41" t="s">
        <v>21</v>
      </c>
      <c r="B4" s="41"/>
      <c r="C4" s="15" t="s">
        <v>177</v>
      </c>
      <c r="D4" s="15"/>
      <c r="E4" s="54"/>
      <c r="F4" s="55"/>
      <c r="G4" s="54"/>
      <c r="H4" s="55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2.75">
      <c r="A5" s="41" t="s">
        <v>22</v>
      </c>
      <c r="B5" s="41"/>
      <c r="C5" s="20" t="str">
        <f>cond!C30</f>
        <v>Risk burn, reasonable upper bound on normal operation</v>
      </c>
      <c r="D5" s="20"/>
      <c r="E5" s="20"/>
      <c r="F5" s="20"/>
      <c r="G5" s="20"/>
      <c r="H5" s="20"/>
      <c r="I5" s="20"/>
      <c r="J5" s="20"/>
      <c r="K5" s="52"/>
      <c r="L5" s="20"/>
      <c r="M5" s="52"/>
      <c r="N5" s="52"/>
      <c r="O5" s="52"/>
      <c r="P5" s="52"/>
      <c r="Q5" s="52"/>
      <c r="R5" s="52"/>
    </row>
    <row r="6" spans="1:18" ht="12.75">
      <c r="A6" s="41"/>
      <c r="B6" s="41"/>
      <c r="C6" s="43"/>
      <c r="D6" s="43"/>
      <c r="E6" s="56"/>
      <c r="F6" s="53"/>
      <c r="G6" s="56"/>
      <c r="H6" s="53"/>
      <c r="I6" s="52"/>
      <c r="J6" s="56"/>
      <c r="K6" s="52"/>
      <c r="L6" s="56"/>
      <c r="M6" s="52"/>
      <c r="N6" s="52"/>
      <c r="O6" s="56"/>
      <c r="P6" s="52"/>
      <c r="Q6" s="56"/>
      <c r="R6" s="52"/>
    </row>
    <row r="7" spans="1:18" s="70" customFormat="1" ht="12.75">
      <c r="A7" s="41"/>
      <c r="B7" s="41"/>
      <c r="C7" s="43" t="s">
        <v>23</v>
      </c>
      <c r="D7" s="43"/>
      <c r="E7" s="57" t="s">
        <v>62</v>
      </c>
      <c r="F7" s="57"/>
      <c r="G7" s="57"/>
      <c r="H7" s="57"/>
      <c r="I7" s="19"/>
      <c r="J7" s="57" t="s">
        <v>63</v>
      </c>
      <c r="K7" s="57"/>
      <c r="L7" s="57"/>
      <c r="M7" s="57"/>
      <c r="N7" s="19"/>
      <c r="O7" s="57" t="s">
        <v>64</v>
      </c>
      <c r="P7" s="57"/>
      <c r="Q7" s="57"/>
      <c r="R7" s="57"/>
    </row>
    <row r="8" spans="1:18" s="70" customFormat="1" ht="12.75">
      <c r="A8" s="41"/>
      <c r="B8" s="41"/>
      <c r="C8" s="43" t="s">
        <v>24</v>
      </c>
      <c r="D8" s="41"/>
      <c r="E8" s="56" t="s">
        <v>25</v>
      </c>
      <c r="F8" s="55" t="s">
        <v>26</v>
      </c>
      <c r="G8" s="56" t="s">
        <v>25</v>
      </c>
      <c r="H8" s="55" t="s">
        <v>26</v>
      </c>
      <c r="I8" s="52"/>
      <c r="J8" s="56" t="s">
        <v>25</v>
      </c>
      <c r="K8" s="56" t="s">
        <v>27</v>
      </c>
      <c r="L8" s="56" t="s">
        <v>25</v>
      </c>
      <c r="M8" s="56" t="s">
        <v>27</v>
      </c>
      <c r="N8" s="52"/>
      <c r="O8" s="56" t="s">
        <v>25</v>
      </c>
      <c r="P8" s="56" t="s">
        <v>27</v>
      </c>
      <c r="Q8" s="56" t="s">
        <v>25</v>
      </c>
      <c r="R8" s="56" t="s">
        <v>27</v>
      </c>
    </row>
    <row r="9" spans="1:18" s="70" customFormat="1" ht="12.75">
      <c r="A9" s="41"/>
      <c r="B9" s="41"/>
      <c r="C9" s="43"/>
      <c r="D9" s="41"/>
      <c r="E9" s="56" t="s">
        <v>239</v>
      </c>
      <c r="F9" s="56" t="s">
        <v>239</v>
      </c>
      <c r="G9" s="56" t="s">
        <v>84</v>
      </c>
      <c r="H9" s="55" t="s">
        <v>84</v>
      </c>
      <c r="I9" s="52"/>
      <c r="J9" s="56" t="s">
        <v>239</v>
      </c>
      <c r="K9" s="56" t="s">
        <v>239</v>
      </c>
      <c r="L9" s="56" t="s">
        <v>84</v>
      </c>
      <c r="M9" s="55" t="s">
        <v>84</v>
      </c>
      <c r="N9" s="52"/>
      <c r="O9" s="56" t="s">
        <v>239</v>
      </c>
      <c r="P9" s="56" t="s">
        <v>239</v>
      </c>
      <c r="Q9" s="56" t="s">
        <v>84</v>
      </c>
      <c r="R9" s="55" t="s">
        <v>84</v>
      </c>
    </row>
    <row r="10" spans="1:18" ht="12.75">
      <c r="A10" s="41" t="s">
        <v>142</v>
      </c>
      <c r="B10" s="41"/>
      <c r="C10" s="41"/>
      <c r="D10" s="41"/>
      <c r="E10" s="52"/>
      <c r="F10" s="53"/>
      <c r="G10" s="52"/>
      <c r="H10" s="53"/>
      <c r="I10" s="52"/>
      <c r="J10" s="52"/>
      <c r="K10" s="52"/>
      <c r="L10" s="52"/>
      <c r="M10" s="52"/>
      <c r="N10" s="52"/>
      <c r="O10" s="44"/>
      <c r="P10" s="52"/>
      <c r="Q10" s="52"/>
      <c r="R10" s="52"/>
    </row>
    <row r="11" spans="1:18" ht="12.75">
      <c r="A11" s="41"/>
      <c r="B11" s="41" t="s">
        <v>28</v>
      </c>
      <c r="C11" s="43">
        <v>1</v>
      </c>
      <c r="D11" s="43"/>
      <c r="E11" s="48">
        <v>0.05</v>
      </c>
      <c r="F11" s="48">
        <f aca="true" t="shared" si="0" ref="F11:H27">IF(E11="","",E11*$C11)</f>
        <v>0.05</v>
      </c>
      <c r="G11" s="48">
        <f aca="true" t="shared" si="1" ref="G11:G27">IF(E11=0,"",IF(D11="nd",E11/2,E11))</f>
        <v>0.05</v>
      </c>
      <c r="H11" s="48">
        <f t="shared" si="0"/>
        <v>0.05</v>
      </c>
      <c r="I11" s="53" t="s">
        <v>29</v>
      </c>
      <c r="J11" s="79">
        <v>0.03</v>
      </c>
      <c r="K11" s="48">
        <f aca="true" t="shared" si="2" ref="K11:M27">IF(J11="","",J11*$C11)</f>
        <v>0.03</v>
      </c>
      <c r="L11" s="48">
        <f>IF(J11=0,"",IF(I11="nd",J11/2,J11))</f>
        <v>0.015</v>
      </c>
      <c r="M11" s="48">
        <f t="shared" si="2"/>
        <v>0.015</v>
      </c>
      <c r="N11" s="53" t="s">
        <v>29</v>
      </c>
      <c r="O11" s="48">
        <v>0.06</v>
      </c>
      <c r="P11" s="48">
        <f aca="true" t="shared" si="3" ref="P11:R27">IF(O11="","",O11*$C11)</f>
        <v>0.06</v>
      </c>
      <c r="Q11" s="48">
        <f>IF(O11=0,"",IF(N11="nd",O11/2,O11))</f>
        <v>0.03</v>
      </c>
      <c r="R11" s="48">
        <f t="shared" si="3"/>
        <v>0.03</v>
      </c>
    </row>
    <row r="12" spans="1:18" ht="12.75">
      <c r="A12" s="41"/>
      <c r="B12" s="41" t="s">
        <v>30</v>
      </c>
      <c r="C12" s="43">
        <v>0.5</v>
      </c>
      <c r="D12" s="43"/>
      <c r="E12" s="48">
        <v>0.43</v>
      </c>
      <c r="F12" s="48">
        <f t="shared" si="0"/>
        <v>0.215</v>
      </c>
      <c r="G12" s="48">
        <f t="shared" si="1"/>
        <v>0.43</v>
      </c>
      <c r="H12" s="48">
        <f t="shared" si="0"/>
        <v>0.215</v>
      </c>
      <c r="I12" s="53"/>
      <c r="J12" s="79">
        <v>0.22</v>
      </c>
      <c r="K12" s="48">
        <f t="shared" si="2"/>
        <v>0.11</v>
      </c>
      <c r="L12" s="48">
        <f aca="true" t="shared" si="4" ref="L12:L27">IF(J12=0,"",IF(I12="nd",J12/2,J12))</f>
        <v>0.22</v>
      </c>
      <c r="M12" s="48">
        <f t="shared" si="2"/>
        <v>0.11</v>
      </c>
      <c r="N12" s="53"/>
      <c r="O12" s="79">
        <v>0.56</v>
      </c>
      <c r="P12" s="48">
        <f t="shared" si="3"/>
        <v>0.28</v>
      </c>
      <c r="Q12" s="48">
        <f aca="true" t="shared" si="5" ref="Q12:Q27">IF(O12=0,"",IF(N12="nd",O12/2,O12))</f>
        <v>0.56</v>
      </c>
      <c r="R12" s="48">
        <f t="shared" si="3"/>
        <v>0.28</v>
      </c>
    </row>
    <row r="13" spans="1:18" ht="12.75">
      <c r="A13" s="41"/>
      <c r="B13" s="41" t="s">
        <v>31</v>
      </c>
      <c r="C13" s="43">
        <v>0.1</v>
      </c>
      <c r="D13" s="43" t="s">
        <v>29</v>
      </c>
      <c r="E13" s="48">
        <v>0.97</v>
      </c>
      <c r="F13" s="48">
        <f t="shared" si="0"/>
        <v>0.097</v>
      </c>
      <c r="G13" s="48">
        <f t="shared" si="1"/>
        <v>0.485</v>
      </c>
      <c r="H13" s="48">
        <f t="shared" si="0"/>
        <v>0.0485</v>
      </c>
      <c r="I13" s="53" t="s">
        <v>29</v>
      </c>
      <c r="J13" s="79">
        <v>0.55</v>
      </c>
      <c r="K13" s="48">
        <f t="shared" si="2"/>
        <v>0.05500000000000001</v>
      </c>
      <c r="L13" s="48">
        <f t="shared" si="4"/>
        <v>0.275</v>
      </c>
      <c r="M13" s="48">
        <f t="shared" si="2"/>
        <v>0.027500000000000004</v>
      </c>
      <c r="N13" s="53"/>
      <c r="O13" s="79">
        <v>1.55</v>
      </c>
      <c r="P13" s="48">
        <f t="shared" si="3"/>
        <v>0.15500000000000003</v>
      </c>
      <c r="Q13" s="48">
        <f t="shared" si="5"/>
        <v>1.55</v>
      </c>
      <c r="R13" s="48">
        <f t="shared" si="3"/>
        <v>0.15500000000000003</v>
      </c>
    </row>
    <row r="14" spans="1:18" ht="12.75">
      <c r="A14" s="41"/>
      <c r="B14" s="41" t="s">
        <v>32</v>
      </c>
      <c r="C14" s="43">
        <v>0.1</v>
      </c>
      <c r="D14" s="43" t="s">
        <v>29</v>
      </c>
      <c r="E14" s="48">
        <v>1</v>
      </c>
      <c r="F14" s="48">
        <f t="shared" si="0"/>
        <v>0.1</v>
      </c>
      <c r="G14" s="48">
        <f t="shared" si="1"/>
        <v>0.5</v>
      </c>
      <c r="H14" s="48">
        <f t="shared" si="0"/>
        <v>0.05</v>
      </c>
      <c r="I14" s="53" t="s">
        <v>29</v>
      </c>
      <c r="J14" s="79">
        <v>0.64</v>
      </c>
      <c r="K14" s="48">
        <f t="shared" si="2"/>
        <v>0.064</v>
      </c>
      <c r="L14" s="48">
        <f t="shared" si="4"/>
        <v>0.32</v>
      </c>
      <c r="M14" s="48">
        <f t="shared" si="2"/>
        <v>0.032</v>
      </c>
      <c r="N14" s="53"/>
      <c r="O14" s="79">
        <v>2.06</v>
      </c>
      <c r="P14" s="48">
        <f t="shared" si="3"/>
        <v>0.20600000000000002</v>
      </c>
      <c r="Q14" s="48">
        <f t="shared" si="5"/>
        <v>2.06</v>
      </c>
      <c r="R14" s="48">
        <f t="shared" si="3"/>
        <v>0.20600000000000002</v>
      </c>
    </row>
    <row r="15" spans="1:18" ht="12.75">
      <c r="A15" s="41"/>
      <c r="B15" s="41" t="s">
        <v>33</v>
      </c>
      <c r="C15" s="43">
        <v>0.1</v>
      </c>
      <c r="D15" s="43" t="s">
        <v>29</v>
      </c>
      <c r="E15" s="48">
        <v>1.21</v>
      </c>
      <c r="F15" s="48">
        <f t="shared" si="0"/>
        <v>0.121</v>
      </c>
      <c r="G15" s="48">
        <f t="shared" si="1"/>
        <v>0.605</v>
      </c>
      <c r="H15" s="48">
        <f t="shared" si="0"/>
        <v>0.0605</v>
      </c>
      <c r="I15" s="53" t="s">
        <v>29</v>
      </c>
      <c r="J15" s="79">
        <v>0.71</v>
      </c>
      <c r="K15" s="48">
        <f t="shared" si="2"/>
        <v>0.071</v>
      </c>
      <c r="L15" s="48">
        <f t="shared" si="4"/>
        <v>0.355</v>
      </c>
      <c r="M15" s="48">
        <f t="shared" si="2"/>
        <v>0.0355</v>
      </c>
      <c r="N15" s="53"/>
      <c r="O15" s="79">
        <v>2.25</v>
      </c>
      <c r="P15" s="48">
        <f t="shared" si="3"/>
        <v>0.225</v>
      </c>
      <c r="Q15" s="48">
        <f t="shared" si="5"/>
        <v>2.25</v>
      </c>
      <c r="R15" s="48">
        <f t="shared" si="3"/>
        <v>0.225</v>
      </c>
    </row>
    <row r="16" spans="1:18" ht="12.75">
      <c r="A16" s="41"/>
      <c r="B16" s="41" t="s">
        <v>34</v>
      </c>
      <c r="C16" s="43">
        <v>0.01</v>
      </c>
      <c r="D16" s="43" t="s">
        <v>29</v>
      </c>
      <c r="E16" s="48">
        <v>8.01</v>
      </c>
      <c r="F16" s="48">
        <f t="shared" si="0"/>
        <v>0.0801</v>
      </c>
      <c r="G16" s="48">
        <f t="shared" si="1"/>
        <v>4.005</v>
      </c>
      <c r="H16" s="48">
        <f t="shared" si="0"/>
        <v>0.04005</v>
      </c>
      <c r="I16" s="53"/>
      <c r="J16" s="79">
        <v>5.93</v>
      </c>
      <c r="K16" s="48">
        <f t="shared" si="2"/>
        <v>0.0593</v>
      </c>
      <c r="L16" s="48">
        <f t="shared" si="4"/>
        <v>5.93</v>
      </c>
      <c r="M16" s="48">
        <f t="shared" si="2"/>
        <v>0.0593</v>
      </c>
      <c r="N16" s="53"/>
      <c r="O16" s="79">
        <v>19.65</v>
      </c>
      <c r="P16" s="48">
        <f t="shared" si="3"/>
        <v>0.19649999999999998</v>
      </c>
      <c r="Q16" s="48">
        <f t="shared" si="5"/>
        <v>19.65</v>
      </c>
      <c r="R16" s="48">
        <f t="shared" si="3"/>
        <v>0.19649999999999998</v>
      </c>
    </row>
    <row r="17" spans="1:18" ht="12.75">
      <c r="A17" s="41"/>
      <c r="B17" s="41" t="s">
        <v>35</v>
      </c>
      <c r="C17" s="43">
        <v>0.001</v>
      </c>
      <c r="D17" s="43"/>
      <c r="E17" s="48">
        <v>15.73</v>
      </c>
      <c r="F17" s="48">
        <f t="shared" si="0"/>
        <v>0.01573</v>
      </c>
      <c r="G17" s="48">
        <f t="shared" si="1"/>
        <v>15.73</v>
      </c>
      <c r="H17" s="48">
        <f t="shared" si="0"/>
        <v>0.01573</v>
      </c>
      <c r="I17" s="53"/>
      <c r="J17" s="79">
        <v>11.73</v>
      </c>
      <c r="K17" s="48">
        <f t="shared" si="2"/>
        <v>0.01173</v>
      </c>
      <c r="L17" s="48">
        <f t="shared" si="4"/>
        <v>11.73</v>
      </c>
      <c r="M17" s="48">
        <f t="shared" si="2"/>
        <v>0.01173</v>
      </c>
      <c r="N17" s="53"/>
      <c r="O17" s="79">
        <v>36.68</v>
      </c>
      <c r="P17" s="48">
        <f t="shared" si="3"/>
        <v>0.03668</v>
      </c>
      <c r="Q17" s="48">
        <f t="shared" si="5"/>
        <v>36.68</v>
      </c>
      <c r="R17" s="48">
        <f t="shared" si="3"/>
        <v>0.03668</v>
      </c>
    </row>
    <row r="18" spans="1:18" ht="12.75">
      <c r="A18" s="41"/>
      <c r="B18" s="41" t="s">
        <v>36</v>
      </c>
      <c r="C18" s="43">
        <v>0.1</v>
      </c>
      <c r="D18" s="43" t="s">
        <v>29</v>
      </c>
      <c r="E18" s="48">
        <v>2.22</v>
      </c>
      <c r="F18" s="48">
        <f t="shared" si="0"/>
        <v>0.22200000000000003</v>
      </c>
      <c r="G18" s="48">
        <f t="shared" si="1"/>
        <v>1.11</v>
      </c>
      <c r="H18" s="48">
        <f t="shared" si="0"/>
        <v>0.11100000000000002</v>
      </c>
      <c r="I18" s="53" t="s">
        <v>29</v>
      </c>
      <c r="J18" s="79">
        <v>1.11</v>
      </c>
      <c r="K18" s="48">
        <f t="shared" si="2"/>
        <v>0.11100000000000002</v>
      </c>
      <c r="L18" s="48">
        <f t="shared" si="4"/>
        <v>0.555</v>
      </c>
      <c r="M18" s="48">
        <f t="shared" si="2"/>
        <v>0.05550000000000001</v>
      </c>
      <c r="N18" s="53"/>
      <c r="O18" s="79">
        <v>2.24</v>
      </c>
      <c r="P18" s="48">
        <f t="shared" si="3"/>
        <v>0.22400000000000003</v>
      </c>
      <c r="Q18" s="48">
        <f t="shared" si="5"/>
        <v>2.24</v>
      </c>
      <c r="R18" s="48">
        <f t="shared" si="3"/>
        <v>0.22400000000000003</v>
      </c>
    </row>
    <row r="19" spans="1:18" ht="12.75">
      <c r="A19" s="41"/>
      <c r="B19" s="41" t="s">
        <v>37</v>
      </c>
      <c r="C19" s="43">
        <v>0.05</v>
      </c>
      <c r="D19" s="43"/>
      <c r="E19" s="48">
        <v>14.04</v>
      </c>
      <c r="F19" s="48">
        <f t="shared" si="0"/>
        <v>0.702</v>
      </c>
      <c r="G19" s="48">
        <f t="shared" si="1"/>
        <v>14.04</v>
      </c>
      <c r="H19" s="48">
        <f t="shared" si="0"/>
        <v>0.702</v>
      </c>
      <c r="I19" s="53"/>
      <c r="J19" s="79">
        <v>7.45</v>
      </c>
      <c r="K19" s="48">
        <f t="shared" si="2"/>
        <v>0.37250000000000005</v>
      </c>
      <c r="L19" s="48">
        <f t="shared" si="4"/>
        <v>7.45</v>
      </c>
      <c r="M19" s="48">
        <f t="shared" si="2"/>
        <v>0.37250000000000005</v>
      </c>
      <c r="N19" s="53"/>
      <c r="O19" s="79">
        <v>15.85</v>
      </c>
      <c r="P19" s="48">
        <f t="shared" si="3"/>
        <v>0.7925</v>
      </c>
      <c r="Q19" s="48">
        <f t="shared" si="5"/>
        <v>15.85</v>
      </c>
      <c r="R19" s="48">
        <f t="shared" si="3"/>
        <v>0.7925</v>
      </c>
    </row>
    <row r="20" spans="1:18" ht="12.75">
      <c r="A20" s="41"/>
      <c r="B20" s="41" t="s">
        <v>38</v>
      </c>
      <c r="C20" s="43">
        <v>0.5</v>
      </c>
      <c r="D20" s="43"/>
      <c r="E20" s="48">
        <v>11.34</v>
      </c>
      <c r="F20" s="48">
        <f t="shared" si="0"/>
        <v>5.67</v>
      </c>
      <c r="G20" s="48">
        <f t="shared" si="1"/>
        <v>11.34</v>
      </c>
      <c r="H20" s="48">
        <f t="shared" si="0"/>
        <v>5.67</v>
      </c>
      <c r="I20" s="53"/>
      <c r="J20" s="79">
        <v>6.54</v>
      </c>
      <c r="K20" s="48">
        <f t="shared" si="2"/>
        <v>3.27</v>
      </c>
      <c r="L20" s="48">
        <f t="shared" si="4"/>
        <v>6.54</v>
      </c>
      <c r="M20" s="48">
        <f t="shared" si="2"/>
        <v>3.27</v>
      </c>
      <c r="N20" s="53"/>
      <c r="O20" s="79">
        <v>15.67</v>
      </c>
      <c r="P20" s="48">
        <f t="shared" si="3"/>
        <v>7.835</v>
      </c>
      <c r="Q20" s="48">
        <f t="shared" si="5"/>
        <v>15.67</v>
      </c>
      <c r="R20" s="48">
        <f t="shared" si="3"/>
        <v>7.835</v>
      </c>
    </row>
    <row r="21" spans="1:18" ht="12.75">
      <c r="A21" s="41"/>
      <c r="B21" s="41" t="s">
        <v>39</v>
      </c>
      <c r="C21" s="43">
        <v>0.1</v>
      </c>
      <c r="D21" s="43"/>
      <c r="E21" s="48">
        <v>124.36</v>
      </c>
      <c r="F21" s="48">
        <f t="shared" si="0"/>
        <v>12.436</v>
      </c>
      <c r="G21" s="48">
        <f t="shared" si="1"/>
        <v>124.36</v>
      </c>
      <c r="H21" s="48">
        <f t="shared" si="0"/>
        <v>12.436</v>
      </c>
      <c r="I21" s="53"/>
      <c r="J21" s="79">
        <v>68.66</v>
      </c>
      <c r="K21" s="48">
        <f t="shared" si="2"/>
        <v>6.866</v>
      </c>
      <c r="L21" s="48">
        <f t="shared" si="4"/>
        <v>68.66</v>
      </c>
      <c r="M21" s="48">
        <f t="shared" si="2"/>
        <v>6.866</v>
      </c>
      <c r="N21" s="53"/>
      <c r="O21" s="79">
        <v>126.4</v>
      </c>
      <c r="P21" s="48">
        <f t="shared" si="3"/>
        <v>12.64</v>
      </c>
      <c r="Q21" s="48">
        <f t="shared" si="5"/>
        <v>126.4</v>
      </c>
      <c r="R21" s="48">
        <f t="shared" si="3"/>
        <v>12.64</v>
      </c>
    </row>
    <row r="22" spans="1:18" ht="12.75">
      <c r="A22" s="41"/>
      <c r="B22" s="41" t="s">
        <v>40</v>
      </c>
      <c r="C22" s="43">
        <v>0.1</v>
      </c>
      <c r="D22" s="43"/>
      <c r="E22" s="48">
        <v>47.01</v>
      </c>
      <c r="F22" s="48">
        <f t="shared" si="0"/>
        <v>4.701</v>
      </c>
      <c r="G22" s="48">
        <f t="shared" si="1"/>
        <v>47.01</v>
      </c>
      <c r="H22" s="48">
        <f t="shared" si="0"/>
        <v>4.701</v>
      </c>
      <c r="I22" s="53"/>
      <c r="J22" s="79">
        <v>26.04</v>
      </c>
      <c r="K22" s="48">
        <f t="shared" si="2"/>
        <v>2.604</v>
      </c>
      <c r="L22" s="48">
        <f t="shared" si="4"/>
        <v>26.04</v>
      </c>
      <c r="M22" s="48">
        <f t="shared" si="2"/>
        <v>2.604</v>
      </c>
      <c r="N22" s="53"/>
      <c r="O22" s="79">
        <v>49.6</v>
      </c>
      <c r="P22" s="48">
        <f t="shared" si="3"/>
        <v>4.960000000000001</v>
      </c>
      <c r="Q22" s="48">
        <f t="shared" si="5"/>
        <v>49.6</v>
      </c>
      <c r="R22" s="48">
        <f t="shared" si="3"/>
        <v>4.960000000000001</v>
      </c>
    </row>
    <row r="23" spans="1:18" ht="12.75">
      <c r="A23" s="41"/>
      <c r="B23" s="41" t="s">
        <v>41</v>
      </c>
      <c r="C23" s="43">
        <v>0.1</v>
      </c>
      <c r="D23" s="43"/>
      <c r="E23" s="48">
        <v>36.66</v>
      </c>
      <c r="F23" s="48">
        <f t="shared" si="0"/>
        <v>3.666</v>
      </c>
      <c r="G23" s="48">
        <f t="shared" si="1"/>
        <v>36.66</v>
      </c>
      <c r="H23" s="48">
        <f t="shared" si="0"/>
        <v>3.666</v>
      </c>
      <c r="I23" s="53"/>
      <c r="J23" s="79">
        <v>20.39</v>
      </c>
      <c r="K23" s="48">
        <f t="shared" si="2"/>
        <v>2.039</v>
      </c>
      <c r="L23" s="48">
        <f t="shared" si="4"/>
        <v>20.39</v>
      </c>
      <c r="M23" s="48">
        <f t="shared" si="2"/>
        <v>2.039</v>
      </c>
      <c r="N23" s="53"/>
      <c r="O23" s="79">
        <v>42.57</v>
      </c>
      <c r="P23" s="48">
        <f t="shared" si="3"/>
        <v>4.257000000000001</v>
      </c>
      <c r="Q23" s="48">
        <f t="shared" si="5"/>
        <v>42.57</v>
      </c>
      <c r="R23" s="48">
        <f t="shared" si="3"/>
        <v>4.257000000000001</v>
      </c>
    </row>
    <row r="24" spans="1:18" ht="12.75">
      <c r="A24" s="41"/>
      <c r="B24" s="41" t="s">
        <v>42</v>
      </c>
      <c r="C24" s="43">
        <v>0.1</v>
      </c>
      <c r="D24" s="43"/>
      <c r="E24" s="48">
        <v>4.81</v>
      </c>
      <c r="F24" s="48">
        <f t="shared" si="0"/>
        <v>0.481</v>
      </c>
      <c r="G24" s="48">
        <f t="shared" si="1"/>
        <v>4.81</v>
      </c>
      <c r="H24" s="48">
        <f t="shared" si="0"/>
        <v>0.481</v>
      </c>
      <c r="I24" s="53"/>
      <c r="J24" s="79">
        <v>2.42</v>
      </c>
      <c r="K24" s="48">
        <f t="shared" si="2"/>
        <v>0.242</v>
      </c>
      <c r="L24" s="48">
        <f t="shared" si="4"/>
        <v>2.42</v>
      </c>
      <c r="M24" s="48">
        <f t="shared" si="2"/>
        <v>0.242</v>
      </c>
      <c r="N24" s="53"/>
      <c r="O24" s="79">
        <v>7.04</v>
      </c>
      <c r="P24" s="48">
        <f t="shared" si="3"/>
        <v>0.7040000000000001</v>
      </c>
      <c r="Q24" s="48">
        <f t="shared" si="5"/>
        <v>7.04</v>
      </c>
      <c r="R24" s="48">
        <f t="shared" si="3"/>
        <v>0.7040000000000001</v>
      </c>
    </row>
    <row r="25" spans="1:18" ht="12.75">
      <c r="A25" s="41"/>
      <c r="B25" s="41" t="s">
        <v>43</v>
      </c>
      <c r="C25" s="43">
        <v>0.01</v>
      </c>
      <c r="D25" s="43" t="s">
        <v>29</v>
      </c>
      <c r="E25" s="48">
        <v>40.46</v>
      </c>
      <c r="F25" s="48">
        <f t="shared" si="0"/>
        <v>0.4046</v>
      </c>
      <c r="G25" s="48">
        <f t="shared" si="1"/>
        <v>20.23</v>
      </c>
      <c r="H25" s="48">
        <f t="shared" si="0"/>
        <v>0.2023</v>
      </c>
      <c r="I25" s="53"/>
      <c r="J25" s="79">
        <v>194.69</v>
      </c>
      <c r="K25" s="48">
        <f t="shared" si="2"/>
        <v>1.9469</v>
      </c>
      <c r="L25" s="48">
        <f t="shared" si="4"/>
        <v>194.69</v>
      </c>
      <c r="M25" s="48">
        <f t="shared" si="2"/>
        <v>1.9469</v>
      </c>
      <c r="N25" s="53" t="s">
        <v>29</v>
      </c>
      <c r="O25" s="79">
        <v>45.6</v>
      </c>
      <c r="P25" s="48">
        <f t="shared" si="3"/>
        <v>0.456</v>
      </c>
      <c r="Q25" s="48">
        <f t="shared" si="5"/>
        <v>22.8</v>
      </c>
      <c r="R25" s="48">
        <f t="shared" si="3"/>
        <v>0.228</v>
      </c>
    </row>
    <row r="26" spans="1:18" ht="12.75">
      <c r="A26" s="41"/>
      <c r="B26" s="41" t="s">
        <v>44</v>
      </c>
      <c r="C26" s="43">
        <v>0.01</v>
      </c>
      <c r="D26" s="43"/>
      <c r="E26" s="48">
        <v>91.64</v>
      </c>
      <c r="F26" s="48">
        <f t="shared" si="0"/>
        <v>0.9164</v>
      </c>
      <c r="G26" s="48">
        <f t="shared" si="1"/>
        <v>91.64</v>
      </c>
      <c r="H26" s="48">
        <f t="shared" si="0"/>
        <v>0.9164</v>
      </c>
      <c r="I26" s="53"/>
      <c r="J26" s="79">
        <v>63.32</v>
      </c>
      <c r="K26" s="48">
        <f t="shared" si="2"/>
        <v>0.6332</v>
      </c>
      <c r="L26" s="48">
        <f t="shared" si="4"/>
        <v>63.32</v>
      </c>
      <c r="M26" s="48">
        <f t="shared" si="2"/>
        <v>0.6332</v>
      </c>
      <c r="N26" s="53"/>
      <c r="O26" s="79">
        <v>131.8</v>
      </c>
      <c r="P26" s="48">
        <f t="shared" si="3"/>
        <v>1.318</v>
      </c>
      <c r="Q26" s="48">
        <f t="shared" si="5"/>
        <v>131.8</v>
      </c>
      <c r="R26" s="48">
        <f t="shared" si="3"/>
        <v>1.318</v>
      </c>
    </row>
    <row r="27" spans="1:18" ht="12.75">
      <c r="A27" s="41"/>
      <c r="B27" s="41" t="s">
        <v>45</v>
      </c>
      <c r="C27" s="43">
        <v>0.001</v>
      </c>
      <c r="D27" s="43"/>
      <c r="E27" s="48">
        <v>650.62</v>
      </c>
      <c r="F27" s="48">
        <f t="shared" si="0"/>
        <v>0.65062</v>
      </c>
      <c r="G27" s="48">
        <f t="shared" si="1"/>
        <v>650.62</v>
      </c>
      <c r="H27" s="48">
        <f t="shared" si="0"/>
        <v>0.65062</v>
      </c>
      <c r="I27" s="53"/>
      <c r="J27" s="79">
        <v>384.93</v>
      </c>
      <c r="K27" s="48">
        <f t="shared" si="2"/>
        <v>0.38493</v>
      </c>
      <c r="L27" s="48">
        <f t="shared" si="4"/>
        <v>384.93</v>
      </c>
      <c r="M27" s="48">
        <f t="shared" si="2"/>
        <v>0.38493</v>
      </c>
      <c r="N27" s="53" t="s">
        <v>29</v>
      </c>
      <c r="O27" s="79">
        <v>84.7</v>
      </c>
      <c r="P27" s="48">
        <f t="shared" si="3"/>
        <v>0.08470000000000001</v>
      </c>
      <c r="Q27" s="48">
        <f t="shared" si="5"/>
        <v>42.35</v>
      </c>
      <c r="R27" s="48">
        <f t="shared" si="3"/>
        <v>0.042350000000000006</v>
      </c>
    </row>
    <row r="28" spans="1:18" ht="12.75">
      <c r="A28" s="41"/>
      <c r="B28" s="41" t="s">
        <v>129</v>
      </c>
      <c r="C28" s="43">
        <v>0</v>
      </c>
      <c r="D28" s="43"/>
      <c r="E28" s="48">
        <v>0.64</v>
      </c>
      <c r="F28" s="48">
        <f aca="true" t="shared" si="6" ref="F28:H35">IF(E28="","",E28*$C28)</f>
        <v>0</v>
      </c>
      <c r="G28" s="48">
        <f aca="true" t="shared" si="7" ref="G28:G35">IF(E28=0,"",IF(D28="nd",E28/2,E28))</f>
        <v>0.64</v>
      </c>
      <c r="H28" s="48">
        <f t="shared" si="6"/>
        <v>0</v>
      </c>
      <c r="I28" s="53"/>
      <c r="J28" s="80">
        <v>0.23</v>
      </c>
      <c r="K28" s="48">
        <f aca="true" t="shared" si="8" ref="K28:M35">IF(J28="","",J28*$C28)</f>
        <v>0</v>
      </c>
      <c r="L28" s="48">
        <f aca="true" t="shared" si="9" ref="L28:L35">IF(J28=0,"",IF(I28="nd",J28/2,J28))</f>
        <v>0.23</v>
      </c>
      <c r="M28" s="48">
        <f t="shared" si="8"/>
        <v>0</v>
      </c>
      <c r="N28" s="53"/>
      <c r="O28" s="48">
        <v>0.79</v>
      </c>
      <c r="P28" s="48">
        <f aca="true" t="shared" si="10" ref="P28:R35">IF(O28="","",O28*$C28)</f>
        <v>0</v>
      </c>
      <c r="Q28" s="48">
        <f aca="true" t="shared" si="11" ref="Q28:Q35">IF(O28=0,"",IF(N28="nd",O28/2,O28))</f>
        <v>0.79</v>
      </c>
      <c r="R28" s="48">
        <f t="shared" si="10"/>
        <v>0</v>
      </c>
    </row>
    <row r="29" spans="1:18" ht="12.75">
      <c r="A29" s="41"/>
      <c r="B29" s="41" t="s">
        <v>130</v>
      </c>
      <c r="C29" s="43">
        <v>0</v>
      </c>
      <c r="D29" s="43"/>
      <c r="E29" s="48">
        <v>1.9</v>
      </c>
      <c r="F29" s="48">
        <f t="shared" si="6"/>
        <v>0</v>
      </c>
      <c r="G29" s="48">
        <f t="shared" si="7"/>
        <v>1.9</v>
      </c>
      <c r="H29" s="48">
        <f t="shared" si="6"/>
        <v>0</v>
      </c>
      <c r="I29" s="53"/>
      <c r="J29" s="79">
        <v>0.93</v>
      </c>
      <c r="K29" s="48">
        <f t="shared" si="8"/>
        <v>0</v>
      </c>
      <c r="L29" s="48">
        <f t="shared" si="9"/>
        <v>0.93</v>
      </c>
      <c r="M29" s="48">
        <f t="shared" si="8"/>
        <v>0</v>
      </c>
      <c r="N29" s="53"/>
      <c r="O29" s="79">
        <v>2.67</v>
      </c>
      <c r="P29" s="48">
        <f t="shared" si="10"/>
        <v>0</v>
      </c>
      <c r="Q29" s="48">
        <f t="shared" si="11"/>
        <v>2.67</v>
      </c>
      <c r="R29" s="48">
        <f t="shared" si="10"/>
        <v>0</v>
      </c>
    </row>
    <row r="30" spans="1:18" ht="12.75">
      <c r="A30" s="41"/>
      <c r="B30" s="41" t="s">
        <v>131</v>
      </c>
      <c r="C30" s="43">
        <v>0</v>
      </c>
      <c r="D30" s="43" t="s">
        <v>29</v>
      </c>
      <c r="E30" s="48">
        <v>7.01</v>
      </c>
      <c r="F30" s="48">
        <f t="shared" si="6"/>
        <v>0</v>
      </c>
      <c r="G30" s="48">
        <f t="shared" si="7"/>
        <v>3.505</v>
      </c>
      <c r="H30" s="48">
        <f t="shared" si="6"/>
        <v>0</v>
      </c>
      <c r="I30" s="53" t="s">
        <v>29</v>
      </c>
      <c r="J30" s="79">
        <v>4.11</v>
      </c>
      <c r="K30" s="48">
        <f t="shared" si="8"/>
        <v>0</v>
      </c>
      <c r="L30" s="48">
        <f t="shared" si="9"/>
        <v>2.055</v>
      </c>
      <c r="M30" s="48">
        <f t="shared" si="8"/>
        <v>0</v>
      </c>
      <c r="N30" s="53"/>
      <c r="O30" s="79">
        <v>12.46</v>
      </c>
      <c r="P30" s="48">
        <f t="shared" si="10"/>
        <v>0</v>
      </c>
      <c r="Q30" s="48">
        <f t="shared" si="11"/>
        <v>12.46</v>
      </c>
      <c r="R30" s="48">
        <f t="shared" si="10"/>
        <v>0</v>
      </c>
    </row>
    <row r="31" spans="1:18" ht="12.75">
      <c r="A31" s="41"/>
      <c r="B31" s="41" t="s">
        <v>132</v>
      </c>
      <c r="C31" s="43">
        <v>0</v>
      </c>
      <c r="D31" s="43" t="s">
        <v>29</v>
      </c>
      <c r="E31" s="48">
        <v>13.41</v>
      </c>
      <c r="F31" s="48">
        <f t="shared" si="6"/>
        <v>0</v>
      </c>
      <c r="G31" s="48">
        <f t="shared" si="7"/>
        <v>6.705</v>
      </c>
      <c r="H31" s="48">
        <f t="shared" si="6"/>
        <v>0</v>
      </c>
      <c r="I31" s="53"/>
      <c r="J31" s="79">
        <v>9.63</v>
      </c>
      <c r="K31" s="48">
        <f t="shared" si="8"/>
        <v>0</v>
      </c>
      <c r="L31" s="48">
        <f t="shared" si="9"/>
        <v>9.63</v>
      </c>
      <c r="M31" s="48">
        <f t="shared" si="8"/>
        <v>0</v>
      </c>
      <c r="N31" s="53"/>
      <c r="O31" s="79">
        <v>30.99</v>
      </c>
      <c r="P31" s="48">
        <f t="shared" si="10"/>
        <v>0</v>
      </c>
      <c r="Q31" s="48">
        <f t="shared" si="11"/>
        <v>30.99</v>
      </c>
      <c r="R31" s="48">
        <f t="shared" si="10"/>
        <v>0</v>
      </c>
    </row>
    <row r="32" spans="1:18" ht="12.75">
      <c r="A32" s="41"/>
      <c r="B32" s="41" t="s">
        <v>133</v>
      </c>
      <c r="C32" s="43">
        <v>0</v>
      </c>
      <c r="D32" s="43"/>
      <c r="E32" s="48">
        <v>26.16</v>
      </c>
      <c r="F32" s="48">
        <f t="shared" si="6"/>
        <v>0</v>
      </c>
      <c r="G32" s="48">
        <f t="shared" si="7"/>
        <v>26.16</v>
      </c>
      <c r="H32" s="48">
        <f t="shared" si="6"/>
        <v>0</v>
      </c>
      <c r="I32" s="53"/>
      <c r="J32" s="79">
        <v>13.46</v>
      </c>
      <c r="K32" s="48">
        <f t="shared" si="8"/>
        <v>0</v>
      </c>
      <c r="L32" s="48">
        <f t="shared" si="9"/>
        <v>13.46</v>
      </c>
      <c r="M32" s="48">
        <f t="shared" si="8"/>
        <v>0</v>
      </c>
      <c r="N32" s="53"/>
      <c r="O32" s="79">
        <v>24.47</v>
      </c>
      <c r="P32" s="48">
        <f t="shared" si="10"/>
        <v>0</v>
      </c>
      <c r="Q32" s="48">
        <f t="shared" si="11"/>
        <v>24.47</v>
      </c>
      <c r="R32" s="48">
        <f t="shared" si="10"/>
        <v>0</v>
      </c>
    </row>
    <row r="33" spans="1:18" ht="12.75">
      <c r="A33" s="41"/>
      <c r="B33" s="41" t="s">
        <v>134</v>
      </c>
      <c r="C33" s="43">
        <v>0</v>
      </c>
      <c r="D33" s="43"/>
      <c r="E33" s="48">
        <v>110.39</v>
      </c>
      <c r="F33" s="48">
        <f t="shared" si="6"/>
        <v>0</v>
      </c>
      <c r="G33" s="48">
        <f t="shared" si="7"/>
        <v>110.39</v>
      </c>
      <c r="H33" s="48">
        <f t="shared" si="6"/>
        <v>0</v>
      </c>
      <c r="I33" s="53"/>
      <c r="J33" s="79">
        <v>59.89</v>
      </c>
      <c r="K33" s="48">
        <f t="shared" si="8"/>
        <v>0</v>
      </c>
      <c r="L33" s="48">
        <f t="shared" si="9"/>
        <v>59.89</v>
      </c>
      <c r="M33" s="48">
        <f t="shared" si="8"/>
        <v>0</v>
      </c>
      <c r="N33" s="53"/>
      <c r="O33" s="79">
        <v>135.2</v>
      </c>
      <c r="P33" s="48">
        <f t="shared" si="10"/>
        <v>0</v>
      </c>
      <c r="Q33" s="48">
        <f t="shared" si="11"/>
        <v>135.2</v>
      </c>
      <c r="R33" s="48">
        <f t="shared" si="10"/>
        <v>0</v>
      </c>
    </row>
    <row r="34" spans="1:18" ht="12.75">
      <c r="A34" s="41"/>
      <c r="B34" s="41" t="s">
        <v>135</v>
      </c>
      <c r="C34" s="43">
        <v>0</v>
      </c>
      <c r="D34" s="43"/>
      <c r="E34" s="48">
        <v>381.82</v>
      </c>
      <c r="F34" s="48">
        <f t="shared" si="6"/>
        <v>0</v>
      </c>
      <c r="G34" s="48">
        <f t="shared" si="7"/>
        <v>381.82</v>
      </c>
      <c r="H34" s="48">
        <f t="shared" si="6"/>
        <v>0</v>
      </c>
      <c r="I34" s="53"/>
      <c r="J34" s="79">
        <v>208.2</v>
      </c>
      <c r="K34" s="48">
        <f t="shared" si="8"/>
        <v>0</v>
      </c>
      <c r="L34" s="48">
        <f t="shared" si="9"/>
        <v>208.2</v>
      </c>
      <c r="M34" s="48">
        <f t="shared" si="8"/>
        <v>0</v>
      </c>
      <c r="N34" s="53"/>
      <c r="O34" s="79">
        <v>417.9</v>
      </c>
      <c r="P34" s="48">
        <f t="shared" si="10"/>
        <v>0</v>
      </c>
      <c r="Q34" s="48">
        <f t="shared" si="11"/>
        <v>417.9</v>
      </c>
      <c r="R34" s="48">
        <f t="shared" si="10"/>
        <v>0</v>
      </c>
    </row>
    <row r="35" spans="1:18" ht="12.75">
      <c r="A35" s="41"/>
      <c r="B35" s="41" t="s">
        <v>136</v>
      </c>
      <c r="C35" s="43">
        <v>0</v>
      </c>
      <c r="D35" s="43" t="s">
        <v>29</v>
      </c>
      <c r="E35" s="48">
        <v>40.85</v>
      </c>
      <c r="F35" s="48">
        <f t="shared" si="6"/>
        <v>0</v>
      </c>
      <c r="G35" s="48">
        <f t="shared" si="7"/>
        <v>20.425</v>
      </c>
      <c r="H35" s="48">
        <f t="shared" si="6"/>
        <v>0</v>
      </c>
      <c r="I35" s="53"/>
      <c r="J35" s="79">
        <v>369.4</v>
      </c>
      <c r="K35" s="48">
        <f t="shared" si="8"/>
        <v>0</v>
      </c>
      <c r="L35" s="48">
        <f t="shared" si="9"/>
        <v>369.4</v>
      </c>
      <c r="M35" s="48">
        <f t="shared" si="8"/>
        <v>0</v>
      </c>
      <c r="N35" s="53" t="s">
        <v>29</v>
      </c>
      <c r="O35" s="79">
        <v>51.4</v>
      </c>
      <c r="P35" s="48">
        <f t="shared" si="10"/>
        <v>0</v>
      </c>
      <c r="Q35" s="48">
        <f t="shared" si="11"/>
        <v>25.7</v>
      </c>
      <c r="R35" s="48">
        <f t="shared" si="10"/>
        <v>0</v>
      </c>
    </row>
    <row r="36" spans="1:18" ht="12.75">
      <c r="A36" s="41"/>
      <c r="B36" s="41"/>
      <c r="C36" s="41"/>
      <c r="D36" s="41"/>
      <c r="E36" s="49"/>
      <c r="F36" s="53"/>
      <c r="G36" s="49"/>
      <c r="H36" s="53"/>
      <c r="I36" s="49"/>
      <c r="J36" s="20"/>
      <c r="K36" s="44"/>
      <c r="L36" s="44"/>
      <c r="M36" s="44"/>
      <c r="N36" s="49"/>
      <c r="O36" s="20"/>
      <c r="P36" s="52"/>
      <c r="Q36" s="49"/>
      <c r="R36" s="52"/>
    </row>
    <row r="37" spans="1:18" ht="12.75">
      <c r="A37" s="41"/>
      <c r="B37" s="41" t="s">
        <v>46</v>
      </c>
      <c r="C37" s="41"/>
      <c r="D37" s="41"/>
      <c r="E37" s="49"/>
      <c r="F37" s="49">
        <v>121.177</v>
      </c>
      <c r="G37" s="49">
        <v>121.177</v>
      </c>
      <c r="H37" s="49">
        <v>121.177</v>
      </c>
      <c r="I37" s="49"/>
      <c r="J37" s="49"/>
      <c r="K37" s="49">
        <v>142.858</v>
      </c>
      <c r="L37" s="49">
        <v>142.858</v>
      </c>
      <c r="M37" s="49">
        <v>142.858</v>
      </c>
      <c r="N37" s="49"/>
      <c r="O37" s="49"/>
      <c r="P37" s="49">
        <v>139.126</v>
      </c>
      <c r="Q37" s="49">
        <v>139.126</v>
      </c>
      <c r="R37" s="49">
        <v>139.126</v>
      </c>
    </row>
    <row r="38" spans="1:18" ht="12.75">
      <c r="A38" s="41"/>
      <c r="B38" s="41" t="s">
        <v>74</v>
      </c>
      <c r="C38" s="41"/>
      <c r="D38" s="41"/>
      <c r="E38" s="49"/>
      <c r="F38" s="49">
        <v>9.7</v>
      </c>
      <c r="G38" s="49">
        <v>9.7</v>
      </c>
      <c r="H38" s="49">
        <v>9.7</v>
      </c>
      <c r="I38" s="49"/>
      <c r="J38" s="49"/>
      <c r="K38" s="44">
        <v>9.5</v>
      </c>
      <c r="L38" s="44">
        <v>9.5</v>
      </c>
      <c r="M38" s="44">
        <v>9.5</v>
      </c>
      <c r="N38" s="49"/>
      <c r="O38" s="49"/>
      <c r="P38" s="49">
        <v>8.7</v>
      </c>
      <c r="Q38" s="49">
        <v>8.7</v>
      </c>
      <c r="R38" s="49">
        <v>8.7</v>
      </c>
    </row>
    <row r="39" spans="1:18" ht="12.75">
      <c r="A39" s="41"/>
      <c r="B39" s="41"/>
      <c r="C39" s="41"/>
      <c r="D39" s="41"/>
      <c r="E39" s="49"/>
      <c r="F39" s="20"/>
      <c r="G39" s="49"/>
      <c r="H39" s="20"/>
      <c r="I39" s="20"/>
      <c r="J39" s="49"/>
      <c r="K39" s="50"/>
      <c r="L39" s="44"/>
      <c r="M39" s="50"/>
      <c r="N39" s="49"/>
      <c r="O39" s="49"/>
      <c r="P39" s="49"/>
      <c r="Q39" s="49"/>
      <c r="R39" s="49"/>
    </row>
    <row r="40" spans="1:18" ht="12.75">
      <c r="A40" s="41"/>
      <c r="B40" s="41" t="s">
        <v>141</v>
      </c>
      <c r="C40" s="53"/>
      <c r="D40" s="53"/>
      <c r="E40" s="44"/>
      <c r="F40" s="49">
        <f>SUM(F11:F27)</f>
        <v>30.52845</v>
      </c>
      <c r="G40" s="44">
        <f>SUM(G27,G35,G34,G33,G32,G17,G31,G30,G29,G28)</f>
        <v>1217.8950000000004</v>
      </c>
      <c r="H40" s="49">
        <f>SUM(H11:H27)</f>
        <v>30.016100000000005</v>
      </c>
      <c r="I40" s="53"/>
      <c r="J40" s="44"/>
      <c r="K40" s="48">
        <f>SUM(K11:K27)</f>
        <v>18.870559999999998</v>
      </c>
      <c r="L40" s="44">
        <f>SUM(L27,L35,L34,L33,L32,L17,L31,L30,L29,L28)</f>
        <v>1060.4550000000002</v>
      </c>
      <c r="M40" s="48">
        <f>SUM(M11:M27)</f>
        <v>18.705059999999996</v>
      </c>
      <c r="N40" s="53"/>
      <c r="O40" s="49"/>
      <c r="P40" s="49">
        <f>SUM(P11:P27)</f>
        <v>34.43038</v>
      </c>
      <c r="Q40" s="44">
        <f>SUM(Q27,Q35,Q34,Q33,Q32,Q17,Q31,Q30,Q29,Q28)</f>
        <v>729.2099999999999</v>
      </c>
      <c r="R40" s="49">
        <f>SUM(R11:R27)</f>
        <v>34.13003</v>
      </c>
    </row>
    <row r="41" spans="1:18" ht="12.75">
      <c r="A41" s="41"/>
      <c r="B41" s="41" t="s">
        <v>47</v>
      </c>
      <c r="C41" s="53"/>
      <c r="D41" s="44">
        <f>(F41-H41)*2/F41*100</f>
        <v>3.356541193542383</v>
      </c>
      <c r="E41" s="49"/>
      <c r="F41" s="49">
        <f>(F40/F37/0.0283*(21-7)/(21-F38))</f>
        <v>11.029294036830814</v>
      </c>
      <c r="G41" s="49">
        <f>(G40/G37/0.0283*(21-7)/(21-G38))</f>
        <v>440.0001330230021</v>
      </c>
      <c r="H41" s="49">
        <f>(H40/H37/0.0283*(21-7)/(21-H38))</f>
        <v>10.844192637979244</v>
      </c>
      <c r="I41" s="44">
        <f>(K41-M41)*2/K41*100</f>
        <v>1.7540549935985226</v>
      </c>
      <c r="J41" s="49"/>
      <c r="K41" s="49">
        <f>K40/K37/0.0283*(21-7)/(21-K38)</f>
        <v>5.68229769297064</v>
      </c>
      <c r="L41" s="49">
        <f>(L40/L37/0.0283*(21-7)/(21-L38))</f>
        <v>319.32390983623065</v>
      </c>
      <c r="M41" s="49">
        <f>M40/M37/0.0283*(21-7)/(21-M38)</f>
        <v>5.6324623797532976</v>
      </c>
      <c r="N41" s="44">
        <f>(P41-R41)*2/P41*100</f>
        <v>1.7446801342302876</v>
      </c>
      <c r="O41" s="49"/>
      <c r="P41" s="49">
        <f>P40/P37/0.0283*(21-7)/(21-P38)</f>
        <v>9.953366726347015</v>
      </c>
      <c r="Q41" s="49">
        <f>(Q40/Q37/0.0283*(21-7)/(21-Q38))</f>
        <v>210.80495046872863</v>
      </c>
      <c r="R41" s="49">
        <f>R40/R37/0.0283*(21-7)/(21-R38)</f>
        <v>9.866539520366183</v>
      </c>
    </row>
    <row r="42" spans="1:18" ht="12.75">
      <c r="A42" s="41"/>
      <c r="B42" s="41"/>
      <c r="C42" s="41"/>
      <c r="D42" s="41"/>
      <c r="E42" s="48"/>
      <c r="F42" s="53"/>
      <c r="G42" s="48"/>
      <c r="H42" s="53"/>
      <c r="I42" s="48"/>
      <c r="J42" s="48"/>
      <c r="K42" s="48"/>
      <c r="L42" s="48"/>
      <c r="M42" s="48"/>
      <c r="N42" s="48"/>
      <c r="O42" s="48"/>
      <c r="P42" s="52"/>
      <c r="Q42" s="48"/>
      <c r="R42" s="52"/>
    </row>
    <row r="43" spans="1:18" ht="12.75">
      <c r="A43" s="49"/>
      <c r="B43" s="41" t="s">
        <v>75</v>
      </c>
      <c r="C43" s="49">
        <f>AVERAGE(H41,M41,R41)</f>
        <v>8.781064846032907</v>
      </c>
      <c r="D43" s="49"/>
      <c r="E43" s="49"/>
      <c r="F43" s="53"/>
      <c r="G43" s="49"/>
      <c r="H43" s="53"/>
      <c r="I43" s="49"/>
      <c r="J43" s="49"/>
      <c r="K43" s="49"/>
      <c r="L43" s="49"/>
      <c r="M43" s="49"/>
      <c r="N43" s="49"/>
      <c r="O43" s="49"/>
      <c r="P43" s="52"/>
      <c r="Q43" s="49"/>
      <c r="R43" s="52"/>
    </row>
    <row r="44" spans="1:18" ht="12.75">
      <c r="A44" s="41"/>
      <c r="B44" s="41" t="s">
        <v>76</v>
      </c>
      <c r="C44" s="49">
        <f>AVERAGE(G41,L41,Q41)</f>
        <v>323.37633110932046</v>
      </c>
      <c r="D44" s="41"/>
      <c r="E44" s="52"/>
      <c r="F44" s="53"/>
      <c r="G44" s="52"/>
      <c r="H44" s="53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2004-02-25T20:50:34Z</cp:lastPrinted>
  <dcterms:created xsi:type="dcterms:W3CDTF">2000-01-10T00:44:42Z</dcterms:created>
  <dcterms:modified xsi:type="dcterms:W3CDTF">2004-02-25T21:45:26Z</dcterms:modified>
  <cp:category/>
  <cp:version/>
  <cp:contentType/>
  <cp:contentStatus/>
</cp:coreProperties>
</file>