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5480" windowHeight="10830" firstSheet="1" activeTab="1"/>
  </bookViews>
  <sheets>
    <sheet name="File Tab Temple Rollups" sheetId="1" r:id="rId1"/>
    <sheet name="STATIC for Committee" sheetId="2" r:id="rId2"/>
    <sheet name="STATIC for Committee (2)" sheetId="3" r:id="rId3"/>
    <sheet name="Ed Temple Format" sheetId="4" r:id="rId4"/>
    <sheet name="Temple Summaries" sheetId="5" r:id="rId5"/>
    <sheet name="File Tab Hugh Project Rollups" sheetId="6" r:id="rId6"/>
    <sheet name="Project Summary" sheetId="7" r:id="rId7"/>
    <sheet name="File Tab Institutional Roll_ups" sheetId="8" r:id="rId8"/>
    <sheet name="Yr 1 Funding by Institution _2_" sheetId="9" r:id="rId9"/>
    <sheet name="Yr 2 Funding by Institution _2_" sheetId="10" r:id="rId10"/>
    <sheet name="Summary Funding by Institut _2_" sheetId="11" r:id="rId11"/>
    <sheet name="Summary Funding _Reformat_" sheetId="12" r:id="rId12"/>
  </sheets>
  <definedNames>
    <definedName name="_xlnm.Print_Area" localSheetId="7">'File Tab Institutional Roll_ups'!$A$1:$K$23</definedName>
    <definedName name="_xlnm.Print_Area" localSheetId="10">'Summary Funding by Institut _2_'!$A$1:$F$22</definedName>
    <definedName name="_xlnm.Print_Area" localSheetId="8">'Yr 1 Funding by Institution _2_'!$A$1:$K$23</definedName>
    <definedName name="_xlnm.Print_Area" localSheetId="9">'Yr 2 Funding by Institution _2_'!$A$1:$K$23</definedName>
  </definedNames>
  <calcPr fullCalcOnLoad="1"/>
</workbook>
</file>

<file path=xl/comments5.xml><?xml version="1.0" encoding="utf-8"?>
<comments xmlns="http://schemas.openxmlformats.org/spreadsheetml/2006/main">
  <authors>
    <author/>
    <author>Kevin McFarland</author>
  </authors>
  <commentList>
    <comment ref="D27" authorId="0">
      <text>
        <r>
          <rPr>
            <sz val="10"/>
            <rFont val="Geneva"/>
            <family val="0"/>
          </rPr>
          <t>remove TriP chip refab checkout item (in Pitt budget)</t>
        </r>
      </text>
    </comment>
    <comment ref="B29" authorId="0">
      <text>
        <r>
          <rPr>
            <sz val="10"/>
            <rFont val="Geneva"/>
            <family val="0"/>
          </rPr>
          <t>remove “impact' factors of 1.4</t>
        </r>
      </text>
    </comment>
    <comment ref="E29" authorId="0">
      <text>
        <r>
          <rPr>
            <sz val="10"/>
            <rFont val="Geneva"/>
            <family val="0"/>
          </rPr>
          <t xml:space="preserve">Kevin McFarland:
included 50% of fabrication/installation manager here; remainer split between 2.2 and 2.3
</t>
        </r>
      </text>
    </comment>
    <comment ref="F29" authorId="0">
      <text>
        <r>
          <rPr>
            <sz val="10"/>
            <rFont val="Geneva"/>
            <family val="0"/>
          </rPr>
          <t xml:space="preserve">Kevin McFarland:
included 50% of design manager here; remaining 50% in WBS 2.1)
</t>
        </r>
      </text>
    </comment>
    <comment ref="B31" authorId="0">
      <text>
        <r>
          <rPr>
            <sz val="10"/>
            <rFont val="Geneva"/>
            <family val="0"/>
          </rPr>
          <t>remove 1.4 “Impact” factors EXCEPT installation strongback M&amp;S</t>
        </r>
      </text>
    </comment>
    <comment ref="F31" authorId="0">
      <text>
        <r>
          <rPr>
            <sz val="10"/>
            <rFont val="Geneva"/>
            <family val="0"/>
          </rPr>
          <t>Kevin McFarland:
includes 50% of design oversight engineer</t>
        </r>
      </text>
    </comment>
    <comment ref="B32" authorId="0">
      <text>
        <r>
          <rPr>
            <sz val="10"/>
            <rFont val="Geneva"/>
            <family val="0"/>
          </rPr>
          <t>remove “impact” 1.4 factor EXCEPT coil power supply</t>
        </r>
      </text>
    </comment>
    <comment ref="E32" authorId="0">
      <text>
        <r>
          <rPr>
            <sz val="10"/>
            <rFont val="Geneva"/>
            <family val="0"/>
          </rPr>
          <t xml:space="preserve">Kevin McFarland:
includes 1/4 of F&amp;I manager
</t>
        </r>
      </text>
    </comment>
    <comment ref="B33" authorId="0">
      <text>
        <r>
          <rPr>
            <sz val="10"/>
            <rFont val="Geneva"/>
            <family val="0"/>
          </rPr>
          <t>remove 1.4 “impact” factor everywhere EXCEPT coil installation (leave at 100K)</t>
        </r>
      </text>
    </comment>
    <comment ref="E33" authorId="0">
      <text>
        <r>
          <rPr>
            <sz val="10"/>
            <rFont val="Geneva"/>
            <family val="0"/>
          </rPr>
          <t xml:space="preserve">Kevin McFarland:
includes 25% of F&amp;I manager, alignment and general safety review
</t>
        </r>
      </text>
    </comment>
    <comment ref="H40" authorId="1">
      <text>
        <r>
          <rPr>
            <b/>
            <sz val="8"/>
            <rFont val="Tahoma"/>
            <family val="0"/>
          </rPr>
          <t>Kevin McFarland:</t>
        </r>
        <r>
          <rPr>
            <sz val="8"/>
            <rFont val="Tahoma"/>
            <family val="0"/>
          </rPr>
          <t xml:space="preserve">
this is the fraction of G&amp;A in this WBS code to assign to SWF+ED: some W&amp;M M&amp;S has G&amp;A in it, ergo…
</t>
        </r>
      </text>
    </comment>
  </commentList>
</comments>
</file>

<file path=xl/sharedStrings.xml><?xml version="1.0" encoding="utf-8"?>
<sst xmlns="http://schemas.openxmlformats.org/spreadsheetml/2006/main" count="383" uniqueCount="353">
  <si>
    <t>WBS</t>
  </si>
  <si>
    <t>Items</t>
  </si>
  <si>
    <t>Project Estimate (2005-2007) $</t>
  </si>
  <si>
    <t>Subproject Totals</t>
  </si>
  <si>
    <t>M&amp;S</t>
  </si>
  <si>
    <t>SWF</t>
  </si>
  <si>
    <t>Total</t>
  </si>
  <si>
    <t>M&amp;S Total</t>
  </si>
  <si>
    <t>M&amp;S Cont %</t>
  </si>
  <si>
    <t>SWF Total</t>
  </si>
  <si>
    <t>SWF Cont %</t>
  </si>
  <si>
    <t>Total Cont %</t>
  </si>
  <si>
    <r>
      <rPr>
        <sz val="11"/>
        <rFont val="Arial"/>
        <family val="2"/>
      </rPr>
      <t>MINERvA Detector Construction</t>
    </r>
  </si>
  <si>
    <t>Scintillator Planes</t>
  </si>
  <si>
    <t>Clear Fiber Cables</t>
  </si>
  <si>
    <t>Photo Sensors</t>
  </si>
  <si>
    <r>
      <rPr>
        <sz val="11"/>
        <rFont val="Arial"/>
        <family val="2"/>
      </rPr>
      <t>Electonics and DAQ</t>
    </r>
  </si>
  <si>
    <t>Frame and Absorbers</t>
  </si>
  <si>
    <t>Module Assembly</t>
  </si>
  <si>
    <t>Coil</t>
  </si>
  <si>
    <r>
      <rPr>
        <sz val="11"/>
        <rFont val="Arial"/>
        <family val="2"/>
      </rPr>
      <t>MINERvA Installation</t>
    </r>
  </si>
  <si>
    <t>Installation Preparation</t>
  </si>
  <si>
    <t>Hall Infrastructure</t>
  </si>
  <si>
    <t xml:space="preserve">Installation  </t>
  </si>
  <si>
    <t xml:space="preserve"> </t>
  </si>
  <si>
    <t>Project Totals</t>
  </si>
  <si>
    <t>FUNDING REQUESTS (UNIVERSITY DOE PROPOSAL) and FNAL IMPACT</t>
  </si>
  <si>
    <t>WBS Code</t>
  </si>
  <si>
    <t>Materials and Supplies</t>
  </si>
  <si>
    <t>Salaries, Wages, Fringe</t>
  </si>
  <si>
    <t>Engineering and Design</t>
  </si>
  <si>
    <t>Total</t>
  </si>
  <si>
    <t>Project</t>
  </si>
  <si>
    <t>Task</t>
  </si>
  <si>
    <t>Scintillator Extrusion / plane assembly</t>
  </si>
  <si>
    <t>Clear Fibers and connectors</t>
  </si>
  <si>
    <r>
      <rPr>
        <sz val="10"/>
        <rFont val="Arial"/>
        <family val="0"/>
      </rPr>
      <t>PMTs, boxes, testing</t>
    </r>
  </si>
  <si>
    <t>Electronics, DAQ and Controls</t>
  </si>
  <si>
    <t>Frame and absorbers</t>
  </si>
  <si>
    <t>Module assembly</t>
  </si>
  <si>
    <t>Coil</t>
  </si>
  <si>
    <t>Installation Preparation</t>
  </si>
  <si>
    <r>
      <rPr>
        <sz val="10"/>
        <rFont val="Arial"/>
        <family val="0"/>
      </rPr>
      <t>NuMI Hall Infrastructure</t>
    </r>
  </si>
  <si>
    <t>Detector Installation</t>
  </si>
  <si>
    <t>Total</t>
  </si>
  <si>
    <r>
      <rPr>
        <b/>
        <sz val="10"/>
        <rFont val="Arial"/>
        <family val="2"/>
      </rPr>
      <t>FNAL Summay (Debbie)</t>
    </r>
  </si>
  <si>
    <t>WBS Code</t>
  </si>
  <si>
    <t>Materials and Supplies</t>
  </si>
  <si>
    <t>Salaries, Wages, Fringe</t>
  </si>
  <si>
    <t>Engineering and Design</t>
  </si>
  <si>
    <t>Total</t>
  </si>
  <si>
    <t>with G&amp;A into SWF and ED</t>
  </si>
  <si>
    <t>Task</t>
  </si>
  <si>
    <t>Scintillator Extrusion / plane assembly</t>
  </si>
  <si>
    <t>Clear Fibers and connectors</t>
  </si>
  <si>
    <t>FNAL cont.</t>
  </si>
  <si>
    <r>
      <rPr>
        <sz val="10"/>
        <rFont val="Arial"/>
        <family val="0"/>
      </rPr>
      <t>PMTs, boxes, testing</t>
    </r>
  </si>
  <si>
    <t>Electronics, DAQ and Controls</t>
  </si>
  <si>
    <t>Frame and absorbers</t>
  </si>
  <si>
    <t>Module assembly</t>
  </si>
  <si>
    <t>Coil</t>
  </si>
  <si>
    <t>Installation Preparation</t>
  </si>
  <si>
    <r>
      <rPr>
        <sz val="10"/>
        <rFont val="Arial"/>
        <family val="0"/>
      </rPr>
      <t>NuMI Hall Infrastructure</t>
    </r>
  </si>
  <si>
    <t>includes LV system</t>
  </si>
  <si>
    <t>Detector Installation</t>
  </si>
  <si>
    <t>Total</t>
  </si>
  <si>
    <t>DOE Proposal (Hugh)</t>
  </si>
  <si>
    <t>WBS Code</t>
  </si>
  <si>
    <t>Materials and Supplies</t>
  </si>
  <si>
    <t>Salaries, Wages, Fringe</t>
  </si>
  <si>
    <t>Engineering and Design</t>
  </si>
  <si>
    <t>Total</t>
  </si>
  <si>
    <t>with G&amp;A into SWF and ED</t>
  </si>
  <si>
    <t>Task</t>
  </si>
  <si>
    <t>Scintillator Extrusion / plane assembly</t>
  </si>
  <si>
    <t>Clear Fibers and connectors</t>
  </si>
  <si>
    <r>
      <rPr>
        <sz val="10"/>
        <rFont val="Arial"/>
        <family val="0"/>
      </rPr>
      <t>PMTs, boxes, testing</t>
    </r>
  </si>
  <si>
    <t>Electronics, DAQ and Controls</t>
  </si>
  <si>
    <t>Frame and absorbers</t>
  </si>
  <si>
    <t>Module assembly</t>
  </si>
  <si>
    <t>Total</t>
  </si>
  <si>
    <t>WBS Code</t>
  </si>
  <si>
    <t>Materials and Supplies</t>
  </si>
  <si>
    <t>Salaries, Wages, Fringe</t>
  </si>
  <si>
    <t>Engineering and Design</t>
  </si>
  <si>
    <t>G&amp;A</t>
  </si>
  <si>
    <t>Total</t>
  </si>
  <si>
    <t>DOE Proposal (Hugh)</t>
  </si>
  <si>
    <t>Task</t>
  </si>
  <si>
    <t>Scintillator Extrusion / plane assembly</t>
  </si>
  <si>
    <t>Clear Fibers and connectors</t>
  </si>
  <si>
    <r>
      <rPr>
        <sz val="10"/>
        <rFont val="Arial"/>
        <family val="0"/>
      </rPr>
      <t>PMTs, boxes, testing</t>
    </r>
  </si>
  <si>
    <t>Electronics, DAQ and Controls</t>
  </si>
  <si>
    <t>Frame and absorbers</t>
  </si>
  <si>
    <t>Module assembly</t>
  </si>
  <si>
    <t>Total</t>
  </si>
  <si>
    <t>Notes:</t>
  </si>
  <si>
    <r>
      <rPr>
        <b/>
        <sz val="10"/>
        <rFont val="Arial"/>
        <family val="2"/>
      </rPr>
      <t>Materials and Supplies</t>
    </r>
    <r>
      <rPr>
        <sz val="10"/>
        <rFont val="Arial"/>
        <family val="0"/>
      </rPr>
      <t xml:space="preserve"> refers to the class of expenditure.  This is not equal to "Equipment" budget lines because some institutions categories all fabrication as equipment</t>
    </r>
  </si>
  <si>
    <r>
      <rPr>
        <b/>
        <sz val="10"/>
        <rFont val="Arial"/>
        <family val="2"/>
      </rPr>
      <t>Salaries, Wages, Fringe</t>
    </r>
    <r>
      <rPr>
        <sz val="10"/>
        <rFont val="Arial"/>
        <family val="0"/>
      </rPr>
      <t xml:space="preserve"> refers to expenditures on salaries, exclusive of engineering.  This includes all categories of labor in the budgets</t>
    </r>
  </si>
  <si>
    <r>
      <rPr>
        <b/>
        <sz val="10"/>
        <rFont val="Arial"/>
        <family val="2"/>
      </rPr>
      <t>Engineering and Design</t>
    </r>
    <r>
      <rPr>
        <sz val="10"/>
        <rFont val="Arial"/>
        <family val="0"/>
      </rPr>
      <t xml:space="preserve"> refers to expenditures in this categories, either to outside or in-house engineers</t>
    </r>
  </si>
  <si>
    <r>
      <rPr>
        <b/>
        <sz val="10"/>
        <rFont val="Arial"/>
        <family val="2"/>
      </rPr>
      <t>G&amp;A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Contingency</t>
    </r>
    <r>
      <rPr>
        <sz val="10"/>
        <rFont val="Arial"/>
        <family val="0"/>
      </rPr>
      <t xml:space="preserve"> is included on all costs summarized in this roll-up</t>
    </r>
  </si>
  <si>
    <t>FUNDING REQUEST BY SUB-PROJECT AND INSTITUTION</t>
  </si>
  <si>
    <t>WBS Code</t>
  </si>
  <si>
    <t>Materials and Supplies</t>
  </si>
  <si>
    <t>Salaries, Wages, Fringe</t>
  </si>
  <si>
    <t>Engineering and Design</t>
  </si>
  <si>
    <t>G&amp;A</t>
  </si>
  <si>
    <t>Total</t>
  </si>
  <si>
    <t>M&amp;S</t>
  </si>
  <si>
    <t>SWF</t>
  </si>
  <si>
    <t>M&amp;S</t>
  </si>
  <si>
    <t xml:space="preserve">SWF </t>
  </si>
  <si>
    <t>Institution</t>
  </si>
  <si>
    <t>Task</t>
  </si>
  <si>
    <t>Base</t>
  </si>
  <si>
    <t>Base</t>
  </si>
  <si>
    <t>w/ Cont</t>
  </si>
  <si>
    <t>w/ Cont</t>
  </si>
  <si>
    <t>Notes</t>
  </si>
  <si>
    <t>Hampton University</t>
  </si>
  <si>
    <t>summed over W&amp;M and Hampton appears below under W&amp;M</t>
  </si>
  <si>
    <t>James Madison University</t>
  </si>
  <si>
    <r>
      <rPr>
        <sz val="10"/>
        <rFont val="Arial"/>
        <family val="0"/>
      </rPr>
      <t>assigned G&amp;A to labor;had to guesstimate contingency breakdown for M&amp;S; for labor it's just 18 months (amount required if do ½ of PMTs) vs 24 months</t>
    </r>
  </si>
  <si>
    <t>Northern Illinois University</t>
  </si>
  <si>
    <t>University of Pittsburgh</t>
  </si>
  <si>
    <t xml:space="preserve"> </t>
  </si>
  <si>
    <t>best we can extract is “45%” contingency</t>
  </si>
  <si>
    <t>University of Rochester</t>
  </si>
  <si>
    <t>University of Rochester</t>
  </si>
  <si>
    <t xml:space="preserve"> </t>
  </si>
  <si>
    <t>University of Rochester</t>
  </si>
  <si>
    <t>University of Rochester</t>
  </si>
  <si>
    <t>University of Rochester</t>
  </si>
  <si>
    <t xml:space="preserve"> </t>
  </si>
  <si>
    <t>Rutgers University</t>
  </si>
  <si>
    <t>for non-PMT part used same contingency fraction for PMT box at Tufts</t>
  </si>
  <si>
    <t>Rutgers University</t>
  </si>
  <si>
    <t>Tufts University</t>
  </si>
  <si>
    <t xml:space="preserve">assigned G&amp;A to labor </t>
  </si>
  <si>
    <t>University of California, Irvine</t>
  </si>
  <si>
    <t>best we can figure out is 28% contingency (some 20-40 avg)</t>
  </si>
  <si>
    <t>College of William &amp; Mary</t>
  </si>
  <si>
    <t>summed over W&amp;M and Hampton</t>
  </si>
  <si>
    <t xml:space="preserve"> </t>
  </si>
  <si>
    <t>Project</t>
  </si>
  <si>
    <t xml:space="preserve"> </t>
  </si>
  <si>
    <t>Scintillator Extrusion / plane assembly</t>
  </si>
  <si>
    <t>Clear Fibers and connectors</t>
  </si>
  <si>
    <r>
      <rPr>
        <sz val="10"/>
        <rFont val="Arial"/>
        <family val="0"/>
      </rPr>
      <t>PMTs, boxes, testing</t>
    </r>
  </si>
  <si>
    <t>Electronics, DAQ and Controls</t>
  </si>
  <si>
    <t>Frame and absorbers</t>
  </si>
  <si>
    <t>Module assembly</t>
  </si>
  <si>
    <t>Total</t>
  </si>
  <si>
    <t>Notes:</t>
  </si>
  <si>
    <r>
      <rPr>
        <b/>
        <sz val="10"/>
        <rFont val="Arial"/>
        <family val="2"/>
      </rPr>
      <t>Materials and Supplies</t>
    </r>
    <r>
      <rPr>
        <sz val="10"/>
        <rFont val="Arial"/>
        <family val="0"/>
      </rPr>
      <t xml:space="preserve"> refers to the class of expenditure.  This is not equal to "Equipment" budget lines because some institutions categories all fabrication as equipment</t>
    </r>
  </si>
  <si>
    <r>
      <rPr>
        <b/>
        <sz val="10"/>
        <rFont val="Arial"/>
        <family val="2"/>
      </rPr>
      <t>Salaries, Wages, Fringe</t>
    </r>
    <r>
      <rPr>
        <sz val="10"/>
        <rFont val="Arial"/>
        <family val="0"/>
      </rPr>
      <t xml:space="preserve"> refers to expenditures on salaries, exclusive of engineering.  This includes all categories of labor in the budgets</t>
    </r>
  </si>
  <si>
    <r>
      <rPr>
        <b/>
        <sz val="10"/>
        <rFont val="Arial"/>
        <family val="2"/>
      </rPr>
      <t>Engineering and Design</t>
    </r>
    <r>
      <rPr>
        <sz val="10"/>
        <rFont val="Arial"/>
        <family val="0"/>
      </rPr>
      <t xml:space="preserve"> refers to expenditures in this categories, either to outside or in-house engineers</t>
    </r>
  </si>
  <si>
    <r>
      <rPr>
        <b/>
        <sz val="10"/>
        <rFont val="Arial"/>
        <family val="2"/>
      </rPr>
      <t>G&amp;A</t>
    </r>
    <r>
      <rPr>
        <sz val="10"/>
        <rFont val="Arial"/>
        <family val="0"/>
      </rPr>
      <t xml:space="preserve"> includes all indirect costs on budget sheets.  Note that some institutions which have fully costed shops do not have a university G&amp;A component</t>
    </r>
  </si>
  <si>
    <r>
      <rPr>
        <b/>
        <sz val="10"/>
        <rFont val="Geneva"/>
        <family val="0"/>
      </rPr>
      <t>DOE MINERvA PROPOSAL</t>
    </r>
  </si>
  <si>
    <t>FUNDING REQUEST BY INSTITUTION</t>
  </si>
  <si>
    <t>YEAR 1</t>
  </si>
  <si>
    <t>Budget Category</t>
  </si>
  <si>
    <t>UNIVERSITY OF</t>
  </si>
  <si>
    <t>HAMPTON</t>
  </si>
  <si>
    <t>JAMES MADISON</t>
  </si>
  <si>
    <t>RUTGERS</t>
  </si>
  <si>
    <t>UNIV. CAL.</t>
  </si>
  <si>
    <t xml:space="preserve">UNIVERSITY OF </t>
  </si>
  <si>
    <t>TUFTS</t>
  </si>
  <si>
    <t>COLLEGE OF</t>
  </si>
  <si>
    <t>NORTHERN ILLINOIS</t>
  </si>
  <si>
    <t>TOTAL</t>
  </si>
  <si>
    <t>ROCHESTER</t>
  </si>
  <si>
    <t>UNIVERSITY</t>
  </si>
  <si>
    <t>UNIVERSITY</t>
  </si>
  <si>
    <t>UNIVERSITY</t>
  </si>
  <si>
    <t>-IRVINE</t>
  </si>
  <si>
    <t>PITTSBURGH</t>
  </si>
  <si>
    <t>UNIVERSITY</t>
  </si>
  <si>
    <t>WILLIAM &amp; MARY</t>
  </si>
  <si>
    <t>UNIVERSITY</t>
  </si>
  <si>
    <t>Faculty Summer</t>
  </si>
  <si>
    <t>Postdoctoral Associates</t>
  </si>
  <si>
    <t>Other Personnel (Technicians)</t>
  </si>
  <si>
    <t>Graduate Students</t>
  </si>
  <si>
    <t>Undergraduates</t>
  </si>
  <si>
    <t>Fringe Benefits</t>
  </si>
  <si>
    <t xml:space="preserve">     Total Salaries, Wages &amp; F.B.</t>
  </si>
  <si>
    <t>Equipment &amp; Shop Labor</t>
  </si>
  <si>
    <t>Domestic Travel</t>
  </si>
  <si>
    <t>Participant Costs</t>
  </si>
  <si>
    <t xml:space="preserve">Materials and Supplies </t>
  </si>
  <si>
    <t>Consultant Services</t>
  </si>
  <si>
    <t xml:space="preserve">Other  </t>
  </si>
  <si>
    <t>Total Direct Costs</t>
  </si>
  <si>
    <t>F&amp;A (Indirect) Costs</t>
  </si>
  <si>
    <t>Total Direct &amp; F&amp;A Costs</t>
  </si>
  <si>
    <t>vs NSF $81,687</t>
  </si>
  <si>
    <t>vs NSF $156,613</t>
  </si>
  <si>
    <t>vs NSF $366,339</t>
  </si>
  <si>
    <r>
      <rPr>
        <b/>
        <sz val="10"/>
        <rFont val="Geneva"/>
        <family val="0"/>
      </rPr>
      <t>DOE MINERvA PROPOSAL</t>
    </r>
  </si>
  <si>
    <t>FUNDING REQUEST BY INSTITUTION</t>
  </si>
  <si>
    <t>YEAR 2</t>
  </si>
  <si>
    <t>Budget Category</t>
  </si>
  <si>
    <t>UNIVERSITY OF</t>
  </si>
  <si>
    <t>HAMPTON</t>
  </si>
  <si>
    <t>JAMES MADISON</t>
  </si>
  <si>
    <t>RUTGERS</t>
  </si>
  <si>
    <t>UNIV. CAL.</t>
  </si>
  <si>
    <t xml:space="preserve">UNIVERSITY OF </t>
  </si>
  <si>
    <t>TUFTS</t>
  </si>
  <si>
    <t>COLLEGE OF</t>
  </si>
  <si>
    <t>NORTHERN ILLINOIS</t>
  </si>
  <si>
    <t>TOTAL</t>
  </si>
  <si>
    <t>ROCHESTER</t>
  </si>
  <si>
    <t>UNIVERSITY</t>
  </si>
  <si>
    <t>UNIVERSITY</t>
  </si>
  <si>
    <t>UNIVERSITY</t>
  </si>
  <si>
    <t>-IRVINE</t>
  </si>
  <si>
    <t>PITTSBURGH</t>
  </si>
  <si>
    <t>UNIVERSITY</t>
  </si>
  <si>
    <t>WILLIAM &amp; MARY</t>
  </si>
  <si>
    <t>UNIVERSITY</t>
  </si>
  <si>
    <t>Faculty Summer</t>
  </si>
  <si>
    <t>Postdoctoral Associates</t>
  </si>
  <si>
    <t>Other Personnel (Technicians)</t>
  </si>
  <si>
    <t>Graduate Students</t>
  </si>
  <si>
    <t>Undergraduates</t>
  </si>
  <si>
    <t>Fringe Benefits</t>
  </si>
  <si>
    <t xml:space="preserve">     Total Salaries, Wages &amp; F.B.</t>
  </si>
  <si>
    <t>Equipment &amp; Shop Labor</t>
  </si>
  <si>
    <t>Domestic Travel</t>
  </si>
  <si>
    <t>Participant Costs</t>
  </si>
  <si>
    <t xml:space="preserve">Materials and Supplies </t>
  </si>
  <si>
    <t>Consultant Services</t>
  </si>
  <si>
    <t xml:space="preserve">Other  </t>
  </si>
  <si>
    <t>Total Direct Costs</t>
  </si>
  <si>
    <t>F&amp;A (Indirect) Costs</t>
  </si>
  <si>
    <t>Total Direct &amp; F&amp;A Costs</t>
  </si>
  <si>
    <t>participant costs</t>
  </si>
  <si>
    <t>vs NSF $182,707</t>
  </si>
  <si>
    <t>same as NSF</t>
  </si>
  <si>
    <t>vs NSF $302,857</t>
  </si>
  <si>
    <t>eliminated from NSF</t>
  </si>
  <si>
    <t>version (as agreed</t>
  </si>
  <si>
    <t>by collaboration)</t>
  </si>
  <si>
    <r>
      <rPr>
        <b/>
        <sz val="10"/>
        <rFont val="Geneva"/>
        <family val="0"/>
      </rPr>
      <t>DOE MINERvA PROPOSAL</t>
    </r>
  </si>
  <si>
    <t>FUNDING REQUEST BY INSTITUTION</t>
  </si>
  <si>
    <t>Summary Years 1 and 2</t>
  </si>
  <si>
    <t>Budget Category</t>
  </si>
  <si>
    <t>UNIVERSITY OF</t>
  </si>
  <si>
    <t>HAMPTON</t>
  </si>
  <si>
    <t>JAMES MADISON</t>
  </si>
  <si>
    <t>RUTGERS</t>
  </si>
  <si>
    <t>UNIV. CAL.</t>
  </si>
  <si>
    <t xml:space="preserve">UNIVERSITY OF </t>
  </si>
  <si>
    <t>TUFTS</t>
  </si>
  <si>
    <t>COLLEGE OF</t>
  </si>
  <si>
    <t>NORTHERN ILLINOIS</t>
  </si>
  <si>
    <t>TOTAL</t>
  </si>
  <si>
    <t>ROCHESTER</t>
  </si>
  <si>
    <t>UNIVERSITY</t>
  </si>
  <si>
    <t>UNIVERSITY</t>
  </si>
  <si>
    <t>UNIVERSITY</t>
  </si>
  <si>
    <t>-IRVINE</t>
  </si>
  <si>
    <t>PITTSBURGH</t>
  </si>
  <si>
    <t>UNIVERSITY</t>
  </si>
  <si>
    <t>WILLIAM &amp; MARY</t>
  </si>
  <si>
    <t>UNIVERSITY</t>
  </si>
  <si>
    <t>Faculty Summer</t>
  </si>
  <si>
    <t>Postdoctoral Associates</t>
  </si>
  <si>
    <t>Other Personnel (Technicians)</t>
  </si>
  <si>
    <t>Graduate Students</t>
  </si>
  <si>
    <t>Undergraduates</t>
  </si>
  <si>
    <t>Fringe Benefits</t>
  </si>
  <si>
    <t xml:space="preserve">     Total Salaries, Wages &amp; F.B.</t>
  </si>
  <si>
    <t>Equipment &amp; Shop Labor</t>
  </si>
  <si>
    <t>Domestic Travel</t>
  </si>
  <si>
    <t>Participant Costs</t>
  </si>
  <si>
    <t xml:space="preserve">Materials and Supplies </t>
  </si>
  <si>
    <t>Consultant Services</t>
  </si>
  <si>
    <t xml:space="preserve">Other  </t>
  </si>
  <si>
    <t>Total Direct Costs</t>
  </si>
  <si>
    <t>F&amp;A (Indirect) Costs</t>
  </si>
  <si>
    <t>Total Direct &amp; F&amp;A Costs</t>
  </si>
  <si>
    <t>verification</t>
  </si>
  <si>
    <t>FUNDING REQUEST BY INSTITUTION</t>
  </si>
  <si>
    <t>Summary Years 1 and 2</t>
  </si>
  <si>
    <t>Budget Category</t>
  </si>
  <si>
    <t>UNIVERSITY OF</t>
  </si>
  <si>
    <t>HAMPTON</t>
  </si>
  <si>
    <t>JAMES MADISON</t>
  </si>
  <si>
    <t>RUTGERS</t>
  </si>
  <si>
    <t>UNIV. CAL.</t>
  </si>
  <si>
    <t>ROCHESTER</t>
  </si>
  <si>
    <t>UNIVERSITY</t>
  </si>
  <si>
    <t>UNIVERSITY</t>
  </si>
  <si>
    <t>UNIVERSITY</t>
  </si>
  <si>
    <t>-IRVINE</t>
  </si>
  <si>
    <t>Faculty Summer</t>
  </si>
  <si>
    <t>Postdoctoral Associates</t>
  </si>
  <si>
    <t>Other Personnel (Technicians)</t>
  </si>
  <si>
    <t>Graduate Students</t>
  </si>
  <si>
    <t>Undergraduates</t>
  </si>
  <si>
    <t>Fringe Benefits</t>
  </si>
  <si>
    <t xml:space="preserve">     Total Salaries, Wages &amp; F.B.</t>
  </si>
  <si>
    <t>Equipment &amp; Shop Labor</t>
  </si>
  <si>
    <t>Domestic Travel</t>
  </si>
  <si>
    <t>Participant Costs</t>
  </si>
  <si>
    <t xml:space="preserve">Materials and Supplies </t>
  </si>
  <si>
    <t>Consultant Services</t>
  </si>
  <si>
    <t xml:space="preserve">Other  </t>
  </si>
  <si>
    <t>Total Direct Costs</t>
  </si>
  <si>
    <t>F&amp;A (Indirect) Costs</t>
  </si>
  <si>
    <t>Total Direct &amp; F&amp;A Costs</t>
  </si>
  <si>
    <t>verification</t>
  </si>
  <si>
    <t>Budget Category</t>
  </si>
  <si>
    <t xml:space="preserve">UNIVERSITY OF </t>
  </si>
  <si>
    <t>TUFTS</t>
  </si>
  <si>
    <t>COLLEGE OF</t>
  </si>
  <si>
    <t>NORTHERN ILLINOIS</t>
  </si>
  <si>
    <t>TOTAL</t>
  </si>
  <si>
    <t>PITTSBURGH</t>
  </si>
  <si>
    <t>UNIVERSITY</t>
  </si>
  <si>
    <t>WILLIAM &amp; MARY</t>
  </si>
  <si>
    <t>UNIVERSITY</t>
  </si>
  <si>
    <t>Faculty Summer</t>
  </si>
  <si>
    <t>Postdoctoral Associates</t>
  </si>
  <si>
    <t>Other Personnel (Technicians)</t>
  </si>
  <si>
    <t>Graduate Students</t>
  </si>
  <si>
    <t>Undergraduates</t>
  </si>
  <si>
    <t>Fringe Benefits</t>
  </si>
  <si>
    <t xml:space="preserve">     Total Salaries, Wages &amp; F.B.</t>
  </si>
  <si>
    <t>Equipment &amp; Shop Labor</t>
  </si>
  <si>
    <t>Domestic Travel</t>
  </si>
  <si>
    <t>Participant Costs</t>
  </si>
  <si>
    <t xml:space="preserve">Materials and Supplies </t>
  </si>
  <si>
    <t>Consultant Services</t>
  </si>
  <si>
    <t xml:space="preserve">Other  </t>
  </si>
  <si>
    <t>Total Direct Costs</t>
  </si>
  <si>
    <t>F&amp;A (Indirect) Costs</t>
  </si>
  <si>
    <t>Total Direct &amp; F&amp;A Costs</t>
  </si>
  <si>
    <t>verification</t>
  </si>
  <si>
    <t>G&amp;A distribution fudge fact.</t>
  </si>
  <si>
    <t>FNAL $ &gt; 2/3</t>
  </si>
  <si>
    <t>FNAL $ &gt; 1/4</t>
  </si>
  <si>
    <t>legend for</t>
  </si>
  <si>
    <t>FNAL costs</t>
  </si>
  <si>
    <t>Base (always w/G&amp;A included) $</t>
  </si>
  <si>
    <t>Base + Cont. $</t>
  </si>
  <si>
    <t>MINERvA Detector Construction</t>
  </si>
  <si>
    <t>Electonics and DAQ</t>
  </si>
  <si>
    <t>MINERvA Installation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</si>
</sst>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[$$-409]#,##0;\-[$$-409]#,##0"/>
    <numFmt numFmtId="173" formatCode="_(* #,##0_);_(* \(#,##0\);_(* \-_);_(@_)"/>
    <numFmt numFmtId="174" formatCode="0.0%"/>
    <numFmt numFmtId="175" formatCode="_-* #,##0.00&quot; $&quot;_-;\-* #,##0.00&quot; $&quot;_-;_-* \-??&quot; $&quot;_-;_-@_-"/>
    <numFmt numFmtId="176" formatCode="\$#,##0"/>
    <numFmt numFmtId="177" formatCode="[$$-409]#,##0;[Red]\-[$$-409]#,##0"/>
    <numFmt numFmtId="178" formatCode="[$$-409]#,##0.00;[Red]\-[$$-409]#,##0.00"/>
    <numFmt numFmtId="179" formatCode="\$#,##0_);&quot;($&quot;#,##0\)"/>
    <numFmt numFmtId="180" formatCode="&quot;$&quot;#,##0"/>
  </numFmts>
  <fonts count="17">
    <font>
      <sz val="10"/>
      <name val="Geneva"/>
      <family val="0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Geneva"/>
      <family val="0"/>
    </font>
    <font>
      <b/>
      <sz val="18"/>
      <name val="Geneva"/>
      <family val="0"/>
    </font>
    <font>
      <b/>
      <u val="single"/>
      <sz val="10"/>
      <name val="Arial"/>
      <family val="2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sz val="10"/>
      <color indexed="10"/>
      <name val="Geneva"/>
      <family val="0"/>
    </font>
    <font>
      <sz val="10"/>
      <color indexed="9"/>
      <name val="Geneva"/>
      <family val="0"/>
    </font>
    <font>
      <i/>
      <sz val="10"/>
      <color indexed="9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Geneva"/>
      <family val="0"/>
    </font>
    <font>
      <b/>
      <sz val="8"/>
      <name val="Genev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/>
      <right style="dotted"/>
      <top style="dotted"/>
      <bottom>
        <color indexed="63"/>
      </bottom>
    </border>
    <border>
      <left style="dashDotDot"/>
      <right style="dashDotDot"/>
      <top style="dashDotDot"/>
      <bottom style="dashDotDot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Alignment="0" applyProtection="0"/>
    <xf numFmtId="168" fontId="0" fillId="0" borderId="0" applyFont="0" applyFill="0" applyBorder="0" applyAlignment="0" applyProtection="0"/>
    <xf numFmtId="172" fontId="0" fillId="2" borderId="0" applyFont="0" applyAlignment="0" applyProtection="0"/>
    <xf numFmtId="0" fontId="1" fillId="0" borderId="0">
      <alignment/>
      <protection/>
    </xf>
    <xf numFmtId="9" fontId="0" fillId="0" borderId="0" applyFont="0" applyFill="0" applyAlignment="0" applyProtection="0"/>
    <xf numFmtId="172" fontId="0" fillId="3" borderId="0" applyFont="0" applyAlignment="0" applyProtection="0"/>
    <xf numFmtId="172" fontId="0" fillId="4" borderId="0" applyFon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3" fontId="4" fillId="0" borderId="3" xfId="0" applyNumberFormat="1" applyFont="1" applyFill="1" applyBorder="1" applyAlignment="1">
      <alignment/>
    </xf>
    <xf numFmtId="173" fontId="4" fillId="0" borderId="1" xfId="0" applyNumberFormat="1" applyFont="1" applyBorder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Fill="1" applyBorder="1" applyAlignment="1">
      <alignment/>
    </xf>
    <xf numFmtId="17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9" fontId="4" fillId="0" borderId="1" xfId="21" applyFont="1" applyFill="1" applyBorder="1" applyAlignment="1" applyProtection="1">
      <alignment horizontal="center" wrapText="1"/>
      <protection/>
    </xf>
    <xf numFmtId="49" fontId="4" fillId="0" borderId="1" xfId="0" applyNumberFormat="1" applyFont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right" wrapText="1"/>
    </xf>
    <xf numFmtId="3" fontId="4" fillId="5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20" applyBorder="1">
      <alignment/>
      <protection/>
    </xf>
    <xf numFmtId="0" fontId="1" fillId="0" borderId="0" xfId="20" applyBorder="1" applyAlignment="1">
      <alignment horizontal="center"/>
      <protection/>
    </xf>
    <xf numFmtId="15" fontId="0" fillId="0" borderId="6" xfId="20" applyNumberFormat="1" applyFont="1" applyBorder="1" applyAlignment="1">
      <alignment horizontal="left"/>
      <protection/>
    </xf>
    <xf numFmtId="0" fontId="5" fillId="0" borderId="7" xfId="20" applyFont="1" applyBorder="1" applyAlignment="1">
      <alignment horizontal="left"/>
      <protection/>
    </xf>
    <xf numFmtId="0" fontId="0" fillId="0" borderId="7" xfId="20" applyFont="1" applyBorder="1">
      <alignment/>
      <protection/>
    </xf>
    <xf numFmtId="0" fontId="0" fillId="0" borderId="7" xfId="20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0" fillId="0" borderId="8" xfId="20" applyFont="1" applyBorder="1" applyAlignment="1">
      <alignment horizontal="left" wrapText="1"/>
      <protection/>
    </xf>
    <xf numFmtId="0" fontId="0" fillId="0" borderId="5" xfId="20" applyFont="1" applyBorder="1" applyAlignment="1">
      <alignment horizontal="left" wrapText="1"/>
      <protection/>
    </xf>
    <xf numFmtId="0" fontId="6" fillId="0" borderId="0" xfId="20" applyFont="1" applyBorder="1" applyAlignment="1">
      <alignment horizontal="center" wrapText="1"/>
      <protection/>
    </xf>
    <xf numFmtId="0" fontId="3" fillId="0" borderId="0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5" xfId="20" applyFont="1" applyBorder="1" applyAlignment="1">
      <alignment horizontal="center"/>
      <protection/>
    </xf>
    <xf numFmtId="0" fontId="1" fillId="0" borderId="0" xfId="20" applyBorder="1" applyAlignment="1">
      <alignment wrapText="1"/>
      <protection/>
    </xf>
    <xf numFmtId="0" fontId="1" fillId="0" borderId="0" xfId="20" applyBorder="1" applyAlignment="1">
      <alignment horizontal="center" wrapText="1"/>
      <protection/>
    </xf>
    <xf numFmtId="176" fontId="1" fillId="0" borderId="0" xfId="17" applyNumberFormat="1" applyFont="1" applyFill="1" applyBorder="1" applyAlignment="1" applyProtection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right"/>
      <protection/>
    </xf>
    <xf numFmtId="176" fontId="1" fillId="0" borderId="7" xfId="17" applyNumberFormat="1" applyFont="1" applyFill="1" applyBorder="1" applyAlignment="1" applyProtection="1">
      <alignment/>
      <protection/>
    </xf>
    <xf numFmtId="0" fontId="1" fillId="0" borderId="0" xfId="20" applyFill="1" applyBorder="1" applyAlignment="1">
      <alignment horizontal="center"/>
      <protection/>
    </xf>
    <xf numFmtId="0" fontId="0" fillId="0" borderId="0" xfId="20" applyFont="1" applyBorder="1" applyAlignment="1">
      <alignment horizontal="left" wrapText="1"/>
      <protection/>
    </xf>
    <xf numFmtId="176" fontId="0" fillId="0" borderId="0" xfId="17" applyNumberFormat="1" applyFont="1" applyFill="1" applyBorder="1" applyAlignment="1" applyProtection="1">
      <alignment/>
      <protection/>
    </xf>
    <xf numFmtId="177" fontId="1" fillId="0" borderId="0" xfId="20" applyNumberFormat="1" applyBorder="1">
      <alignment/>
      <protection/>
    </xf>
    <xf numFmtId="0" fontId="7" fillId="0" borderId="0" xfId="20" applyFont="1" applyFill="1" applyBorder="1">
      <alignment/>
      <protection/>
    </xf>
    <xf numFmtId="0" fontId="3" fillId="0" borderId="0" xfId="20" applyFont="1" applyBorder="1" applyAlignment="1">
      <alignment horizontal="left" wrapText="1"/>
      <protection/>
    </xf>
    <xf numFmtId="0" fontId="3" fillId="0" borderId="0" xfId="20" applyFont="1" applyBorder="1" applyAlignment="1">
      <alignment wrapText="1"/>
      <protection/>
    </xf>
    <xf numFmtId="0" fontId="1" fillId="0" borderId="0" xfId="20" applyBorder="1" applyAlignment="1">
      <alignment horizontal="left"/>
      <protection/>
    </xf>
    <xf numFmtId="0" fontId="0" fillId="0" borderId="8" xfId="20" applyFont="1" applyBorder="1" applyAlignment="1">
      <alignment horizontal="left"/>
      <protection/>
    </xf>
    <xf numFmtId="0" fontId="0" fillId="0" borderId="5" xfId="20" applyFont="1" applyBorder="1" applyAlignment="1">
      <alignment horizontal="left"/>
      <protection/>
    </xf>
    <xf numFmtId="178" fontId="1" fillId="0" borderId="0" xfId="20" applyNumberFormat="1" applyBorder="1">
      <alignment/>
      <protection/>
    </xf>
    <xf numFmtId="0" fontId="3" fillId="0" borderId="5" xfId="20" applyFont="1" applyFill="1" applyBorder="1">
      <alignment/>
      <protection/>
    </xf>
    <xf numFmtId="177" fontId="1" fillId="0" borderId="0" xfId="17" applyNumberFormat="1" applyFont="1" applyFill="1" applyBorder="1" applyAlignment="1" applyProtection="1">
      <alignment/>
      <protection/>
    </xf>
    <xf numFmtId="15" fontId="0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/>
    </xf>
    <xf numFmtId="179" fontId="9" fillId="0" borderId="11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179" fontId="9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6" xfId="0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9" xfId="0" applyNumberFormat="1" applyFont="1" applyBorder="1" applyAlignment="1">
      <alignment/>
    </xf>
    <xf numFmtId="179" fontId="9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179" fontId="9" fillId="0" borderId="15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9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9" fontId="11" fillId="0" borderId="0" xfId="0" applyNumberFormat="1" applyFont="1" applyBorder="1" applyAlignment="1">
      <alignment/>
    </xf>
    <xf numFmtId="0" fontId="12" fillId="0" borderId="14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5" borderId="12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179" fontId="9" fillId="5" borderId="11" xfId="0" applyNumberFormat="1" applyFont="1" applyFill="1" applyBorder="1" applyAlignment="1">
      <alignment/>
    </xf>
    <xf numFmtId="179" fontId="9" fillId="5" borderId="12" xfId="0" applyNumberFormat="1" applyFont="1" applyFill="1" applyBorder="1" applyAlignment="1">
      <alignment/>
    </xf>
    <xf numFmtId="179" fontId="9" fillId="5" borderId="15" xfId="0" applyNumberFormat="1" applyFont="1" applyFill="1" applyBorder="1" applyAlignment="1">
      <alignment/>
    </xf>
    <xf numFmtId="180" fontId="0" fillId="0" borderId="0" xfId="17" applyNumberFormat="1" applyFont="1" applyFill="1" applyBorder="1" applyAlignment="1" applyProtection="1">
      <alignment/>
      <protection/>
    </xf>
    <xf numFmtId="180" fontId="1" fillId="0" borderId="5" xfId="17" applyNumberFormat="1" applyFont="1" applyFill="1" applyBorder="1" applyAlignment="1" applyProtection="1">
      <alignment/>
      <protection/>
    </xf>
    <xf numFmtId="180" fontId="0" fillId="0" borderId="5" xfId="17" applyNumberFormat="1" applyFont="1" applyFill="1" applyBorder="1" applyAlignment="1" applyProtection="1">
      <alignment/>
      <protection/>
    </xf>
    <xf numFmtId="176" fontId="1" fillId="6" borderId="16" xfId="17" applyNumberFormat="1" applyFont="1" applyFill="1" applyBorder="1" applyAlignment="1" applyProtection="1">
      <alignment horizontal="center"/>
      <protection/>
    </xf>
    <xf numFmtId="176" fontId="1" fillId="7" borderId="17" xfId="17" applyNumberFormat="1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5" xfId="20" applyFont="1" applyBorder="1" applyAlignment="1">
      <alignment horizontal="center" wrapText="1"/>
      <protection/>
    </xf>
    <xf numFmtId="0" fontId="6" fillId="0" borderId="14" xfId="20" applyFont="1" applyBorder="1" applyAlignment="1">
      <alignment horizontal="center" wrapText="1"/>
      <protection/>
    </xf>
    <xf numFmtId="0" fontId="3" fillId="0" borderId="5" xfId="20" applyFont="1" applyBorder="1" applyAlignment="1">
      <alignment horizontal="center" wrapText="1"/>
      <protection/>
    </xf>
    <xf numFmtId="0" fontId="3" fillId="0" borderId="0" xfId="20" applyFont="1" applyBorder="1" applyAlignment="1">
      <alignment horizontal="left" wrapText="1"/>
      <protection/>
    </xf>
    <xf numFmtId="0" fontId="1" fillId="0" borderId="0" xfId="20" applyFont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left" wrapText="1"/>
      <protection/>
    </xf>
    <xf numFmtId="0" fontId="6" fillId="0" borderId="14" xfId="20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7" fontId="1" fillId="0" borderId="0" xfId="20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fault Currency" xfId="19"/>
    <cellStyle name="Normal_summary_budgets_v3" xfId="20"/>
    <cellStyle name="Percent" xfId="21"/>
    <cellStyle name="Pink Currency" xfId="22"/>
    <cellStyle name="Yellow Currency" xfId="23"/>
  </cellStyles>
  <dxfs count="3">
    <dxf>
      <fill>
        <patternFill>
          <bgColor rgb="FFE6E64C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fill>
        <patternFill>
          <bgColor rgb="FFFFCC99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6" sqref="F6"/>
    </sheetView>
  </sheetViews>
  <sheetFormatPr defaultColWidth="9.00390625" defaultRowHeight="12.75"/>
  <cols>
    <col min="1" max="1" width="34.875" style="1" customWidth="1"/>
    <col min="2" max="2" width="16.125" style="1" customWidth="1"/>
    <col min="3" max="3" width="13.75390625" style="1" customWidth="1"/>
    <col min="4" max="4" width="18.875" style="1" customWidth="1"/>
    <col min="5" max="5" width="13.75390625" style="1" customWidth="1"/>
    <col min="6" max="6" width="13.375" style="1" customWidth="1"/>
    <col min="7" max="7" width="16.25390625" style="1" customWidth="1"/>
    <col min="8" max="8" width="14.875" style="1" customWidth="1"/>
    <col min="9" max="9" width="17.75390625" style="1" customWidth="1"/>
    <col min="10" max="10" width="21.75390625" style="1" customWidth="1"/>
    <col min="11" max="11" width="14.875" style="1" customWidth="1"/>
    <col min="12" max="16384" width="11.375" style="1" customWidth="1"/>
  </cols>
  <sheetData>
    <row r="1" spans="1:11" ht="12.75">
      <c r="A1" s="66">
        <v>36869</v>
      </c>
      <c r="B1" s="67"/>
      <c r="C1" s="68"/>
      <c r="D1" s="68"/>
      <c r="E1" s="67"/>
      <c r="F1" s="69"/>
      <c r="G1" s="69"/>
      <c r="H1" s="69"/>
      <c r="I1" s="67"/>
      <c r="J1" s="67"/>
      <c r="K1" s="70"/>
    </row>
    <row r="2" spans="1:11" ht="12.75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2.75">
      <c r="A3" s="128" t="s">
        <v>201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>
      <c r="A4" s="128" t="s">
        <v>202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7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ht="12.75">
      <c r="A6" s="74" t="s">
        <v>203</v>
      </c>
      <c r="B6" s="75" t="s">
        <v>204</v>
      </c>
      <c r="C6" s="76" t="s">
        <v>205</v>
      </c>
      <c r="D6" s="76" t="s">
        <v>206</v>
      </c>
      <c r="E6" s="76" t="s">
        <v>207</v>
      </c>
      <c r="F6" s="76" t="s">
        <v>208</v>
      </c>
      <c r="G6" s="76" t="s">
        <v>209</v>
      </c>
      <c r="H6" s="77" t="s">
        <v>210</v>
      </c>
      <c r="I6" s="77" t="s">
        <v>211</v>
      </c>
      <c r="J6" s="78" t="s">
        <v>212</v>
      </c>
      <c r="K6" s="79" t="s">
        <v>213</v>
      </c>
    </row>
    <row r="7" spans="1:11" ht="12.75">
      <c r="A7" s="80"/>
      <c r="B7" s="81" t="s">
        <v>214</v>
      </c>
      <c r="C7" s="82" t="s">
        <v>215</v>
      </c>
      <c r="D7" s="81" t="s">
        <v>216</v>
      </c>
      <c r="E7" s="81" t="s">
        <v>217</v>
      </c>
      <c r="F7" s="81" t="s">
        <v>218</v>
      </c>
      <c r="G7" s="81" t="s">
        <v>219</v>
      </c>
      <c r="H7" s="83" t="s">
        <v>220</v>
      </c>
      <c r="I7" s="83" t="s">
        <v>221</v>
      </c>
      <c r="J7" s="84" t="s">
        <v>222</v>
      </c>
      <c r="K7" s="85"/>
    </row>
    <row r="8" spans="1:12" ht="12.75">
      <c r="A8" s="86" t="s">
        <v>223</v>
      </c>
      <c r="B8" s="87">
        <v>0</v>
      </c>
      <c r="C8" s="88">
        <v>0</v>
      </c>
      <c r="D8" s="88">
        <v>0</v>
      </c>
      <c r="E8" s="87">
        <v>0</v>
      </c>
      <c r="F8" s="88">
        <v>0</v>
      </c>
      <c r="G8" s="88">
        <v>0</v>
      </c>
      <c r="H8" s="88">
        <v>0</v>
      </c>
      <c r="I8" s="88">
        <v>0</v>
      </c>
      <c r="J8" s="89">
        <v>0</v>
      </c>
      <c r="K8" s="87">
        <f aca="true" t="shared" si="0" ref="K8:K23">SUM(B8:J8)</f>
        <v>0</v>
      </c>
      <c r="L8" s="90"/>
    </row>
    <row r="9" spans="1:11" ht="12.75">
      <c r="A9" s="91" t="s">
        <v>224</v>
      </c>
      <c r="B9" s="87">
        <v>0</v>
      </c>
      <c r="C9" s="88">
        <v>0</v>
      </c>
      <c r="D9" s="88">
        <v>35000</v>
      </c>
      <c r="E9" s="87">
        <v>0</v>
      </c>
      <c r="F9" s="88">
        <v>0</v>
      </c>
      <c r="G9" s="88">
        <v>0</v>
      </c>
      <c r="H9" s="88">
        <v>0</v>
      </c>
      <c r="I9" s="88">
        <v>0</v>
      </c>
      <c r="J9" s="89">
        <v>0</v>
      </c>
      <c r="K9" s="87">
        <f t="shared" si="0"/>
        <v>35000</v>
      </c>
    </row>
    <row r="10" spans="1:11" ht="12.75">
      <c r="A10" s="86" t="s">
        <v>225</v>
      </c>
      <c r="B10" s="87">
        <v>0</v>
      </c>
      <c r="C10" s="88">
        <v>117728</v>
      </c>
      <c r="D10" s="88">
        <v>0</v>
      </c>
      <c r="E10" s="88">
        <v>32000</v>
      </c>
      <c r="F10" s="88">
        <v>0</v>
      </c>
      <c r="G10" s="88">
        <v>0</v>
      </c>
      <c r="H10" s="88">
        <v>32000</v>
      </c>
      <c r="I10" s="88">
        <v>85696</v>
      </c>
      <c r="J10" s="89">
        <v>0</v>
      </c>
      <c r="K10" s="87">
        <f t="shared" si="0"/>
        <v>267424</v>
      </c>
    </row>
    <row r="11" spans="1:12" ht="12.75" customHeight="1">
      <c r="A11" s="91" t="s">
        <v>226</v>
      </c>
      <c r="B11" s="87">
        <v>0</v>
      </c>
      <c r="C11" s="88">
        <v>0</v>
      </c>
      <c r="D11" s="88">
        <v>0</v>
      </c>
      <c r="E11" s="87">
        <v>0</v>
      </c>
      <c r="F11" s="88">
        <v>0</v>
      </c>
      <c r="G11" s="88">
        <v>0</v>
      </c>
      <c r="H11" s="88">
        <v>0</v>
      </c>
      <c r="I11" s="88">
        <v>0</v>
      </c>
      <c r="J11" s="89">
        <v>0</v>
      </c>
      <c r="K11" s="87">
        <f t="shared" si="0"/>
        <v>0</v>
      </c>
      <c r="L11" s="90"/>
    </row>
    <row r="12" spans="1:11" ht="12.75" customHeight="1">
      <c r="A12" s="91" t="s">
        <v>227</v>
      </c>
      <c r="B12" s="87">
        <v>0</v>
      </c>
      <c r="C12" s="88">
        <v>0</v>
      </c>
      <c r="D12" s="88">
        <v>0</v>
      </c>
      <c r="E12" s="88">
        <v>0</v>
      </c>
      <c r="F12" s="88">
        <v>10000</v>
      </c>
      <c r="G12" s="88">
        <v>0</v>
      </c>
      <c r="H12" s="88">
        <v>0</v>
      </c>
      <c r="I12" s="88">
        <v>16640</v>
      </c>
      <c r="J12" s="89">
        <v>0</v>
      </c>
      <c r="K12" s="87">
        <f t="shared" si="0"/>
        <v>26640</v>
      </c>
    </row>
    <row r="13" spans="1:12" ht="18" customHeight="1">
      <c r="A13" s="91" t="s">
        <v>228</v>
      </c>
      <c r="B13" s="87">
        <v>0</v>
      </c>
      <c r="C13" s="88">
        <v>24134</v>
      </c>
      <c r="D13" s="88">
        <v>13895</v>
      </c>
      <c r="E13" s="88">
        <v>2880</v>
      </c>
      <c r="F13" s="88">
        <v>300</v>
      </c>
      <c r="G13" s="88">
        <v>0</v>
      </c>
      <c r="H13" s="88">
        <v>8960</v>
      </c>
      <c r="I13" s="88">
        <v>37167</v>
      </c>
      <c r="J13" s="89">
        <v>0</v>
      </c>
      <c r="K13" s="87">
        <f t="shared" si="0"/>
        <v>87336</v>
      </c>
      <c r="L13" s="92"/>
    </row>
    <row r="14" spans="1:12" ht="21.75" customHeight="1">
      <c r="A14" s="91" t="s">
        <v>229</v>
      </c>
      <c r="B14" s="87">
        <f aca="true" t="shared" si="1" ref="B14:J14">SUM(B8:B13)</f>
        <v>0</v>
      </c>
      <c r="C14" s="88">
        <f t="shared" si="1"/>
        <v>141862</v>
      </c>
      <c r="D14" s="88">
        <f t="shared" si="1"/>
        <v>48895</v>
      </c>
      <c r="E14" s="88">
        <f t="shared" si="1"/>
        <v>34880</v>
      </c>
      <c r="F14" s="88">
        <f t="shared" si="1"/>
        <v>10300</v>
      </c>
      <c r="G14" s="88">
        <f t="shared" si="1"/>
        <v>0</v>
      </c>
      <c r="H14" s="88">
        <f t="shared" si="1"/>
        <v>40960</v>
      </c>
      <c r="I14" s="88">
        <f t="shared" si="1"/>
        <v>139503</v>
      </c>
      <c r="J14" s="89">
        <f t="shared" si="1"/>
        <v>0</v>
      </c>
      <c r="K14" s="87">
        <f t="shared" si="0"/>
        <v>416400</v>
      </c>
      <c r="L14" s="90"/>
    </row>
    <row r="15" spans="1:11" ht="30" customHeight="1">
      <c r="A15" s="86" t="s">
        <v>230</v>
      </c>
      <c r="B15" s="87">
        <v>496251</v>
      </c>
      <c r="C15" s="88">
        <v>74798</v>
      </c>
      <c r="D15" s="88">
        <v>0</v>
      </c>
      <c r="E15" s="88">
        <v>16000</v>
      </c>
      <c r="F15" s="88">
        <v>135250</v>
      </c>
      <c r="G15" s="88">
        <v>346765</v>
      </c>
      <c r="H15" s="88">
        <v>54000</v>
      </c>
      <c r="I15" s="88">
        <v>74290</v>
      </c>
      <c r="J15" s="88">
        <v>0</v>
      </c>
      <c r="K15" s="87">
        <f t="shared" si="0"/>
        <v>1197354</v>
      </c>
    </row>
    <row r="16" spans="1:11" ht="24.75" customHeight="1">
      <c r="A16" s="91" t="s">
        <v>231</v>
      </c>
      <c r="B16" s="87">
        <v>0</v>
      </c>
      <c r="C16" s="88">
        <v>0</v>
      </c>
      <c r="D16" s="88">
        <v>2000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9">
        <v>0</v>
      </c>
      <c r="K16" s="87">
        <f t="shared" si="0"/>
        <v>2000</v>
      </c>
    </row>
    <row r="17" spans="1:11" ht="12.75" customHeight="1">
      <c r="A17" s="86" t="s">
        <v>232</v>
      </c>
      <c r="B17" s="87">
        <v>0</v>
      </c>
      <c r="C17" s="88">
        <v>14720</v>
      </c>
      <c r="D17" s="88">
        <v>7500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9">
        <v>0</v>
      </c>
      <c r="K17" s="87">
        <f t="shared" si="0"/>
        <v>22220</v>
      </c>
    </row>
    <row r="18" spans="1:11" ht="12.75" customHeight="1">
      <c r="A18" s="86" t="s">
        <v>233</v>
      </c>
      <c r="B18" s="87">
        <v>0</v>
      </c>
      <c r="C18" s="88">
        <v>5513</v>
      </c>
      <c r="D18" s="88">
        <v>1000</v>
      </c>
      <c r="E18" s="88">
        <v>4750</v>
      </c>
      <c r="F18" s="88">
        <v>3000</v>
      </c>
      <c r="G18" s="88">
        <v>0</v>
      </c>
      <c r="H18" s="88">
        <v>4750</v>
      </c>
      <c r="I18" s="88">
        <v>500</v>
      </c>
      <c r="J18" s="89">
        <v>0</v>
      </c>
      <c r="K18" s="87">
        <f t="shared" si="0"/>
        <v>19513</v>
      </c>
    </row>
    <row r="19" spans="1:11" ht="12.75" customHeight="1">
      <c r="A19" s="91" t="s">
        <v>234</v>
      </c>
      <c r="B19" s="87">
        <v>0</v>
      </c>
      <c r="C19" s="88">
        <f>2000-2000</f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9">
        <v>0</v>
      </c>
      <c r="K19" s="87">
        <f t="shared" si="0"/>
        <v>0</v>
      </c>
    </row>
    <row r="20" spans="1:12" ht="12.75" customHeight="1">
      <c r="A20" s="91" t="s">
        <v>235</v>
      </c>
      <c r="B20" s="87">
        <v>0</v>
      </c>
      <c r="C20" s="88">
        <v>1856</v>
      </c>
      <c r="D20" s="88">
        <v>0</v>
      </c>
      <c r="E20" s="88">
        <v>0</v>
      </c>
      <c r="F20" s="88">
        <v>0</v>
      </c>
      <c r="G20" s="88">
        <v>0</v>
      </c>
      <c r="H20" s="88">
        <v>16000</v>
      </c>
      <c r="I20" s="88">
        <v>18760</v>
      </c>
      <c r="J20" s="89">
        <v>0</v>
      </c>
      <c r="K20" s="87">
        <f t="shared" si="0"/>
        <v>36616</v>
      </c>
      <c r="L20" s="93"/>
    </row>
    <row r="21" spans="1:12" ht="30" customHeight="1">
      <c r="A21" s="94" t="s">
        <v>236</v>
      </c>
      <c r="B21" s="95">
        <f>SUM(B14:B20)+0.2</f>
        <v>496251.2</v>
      </c>
      <c r="C21" s="96">
        <f aca="true" t="shared" si="2" ref="C21:J21">SUM(C14:C20)</f>
        <v>238749</v>
      </c>
      <c r="D21" s="96">
        <f t="shared" si="2"/>
        <v>59395</v>
      </c>
      <c r="E21" s="96">
        <f t="shared" si="2"/>
        <v>55630</v>
      </c>
      <c r="F21" s="96">
        <f t="shared" si="2"/>
        <v>148550</v>
      </c>
      <c r="G21" s="96">
        <f t="shared" si="2"/>
        <v>346765</v>
      </c>
      <c r="H21" s="96">
        <f t="shared" si="2"/>
        <v>115710</v>
      </c>
      <c r="I21" s="96">
        <f t="shared" si="2"/>
        <v>233053</v>
      </c>
      <c r="J21" s="97">
        <f t="shared" si="2"/>
        <v>0</v>
      </c>
      <c r="K21" s="95">
        <f t="shared" si="0"/>
        <v>1694103.2</v>
      </c>
      <c r="L21" s="90"/>
    </row>
    <row r="22" spans="1:11" ht="12.75" customHeight="1">
      <c r="A22" s="91" t="s">
        <v>237</v>
      </c>
      <c r="B22" s="87">
        <v>0</v>
      </c>
      <c r="C22" s="88">
        <v>69094</v>
      </c>
      <c r="D22" s="88">
        <v>15050</v>
      </c>
      <c r="E22" s="88">
        <v>21400</v>
      </c>
      <c r="F22" s="88">
        <v>6983</v>
      </c>
      <c r="G22" s="88">
        <v>0</v>
      </c>
      <c r="H22" s="88">
        <v>26227</v>
      </c>
      <c r="I22" s="88">
        <v>68268</v>
      </c>
      <c r="J22" s="89">
        <v>0</v>
      </c>
      <c r="K22" s="87">
        <f t="shared" si="0"/>
        <v>207022</v>
      </c>
    </row>
    <row r="23" spans="1:12" ht="12.75" customHeight="1">
      <c r="A23" s="98" t="s">
        <v>238</v>
      </c>
      <c r="B23" s="99">
        <f>SUM(B21:B22)</f>
        <v>496251.2</v>
      </c>
      <c r="C23" s="100">
        <f>SUM(C21:C22)</f>
        <v>307843</v>
      </c>
      <c r="D23" s="100">
        <f>SUM(D21:D22)-0.1</f>
        <v>74444.9</v>
      </c>
      <c r="E23" s="100">
        <f>SUM(E21:E22)-0.1</f>
        <v>77029.9</v>
      </c>
      <c r="F23" s="100">
        <f>SUM(F21:F22)</f>
        <v>155533</v>
      </c>
      <c r="G23" s="100">
        <f>SUM(G21:G22)-0.1</f>
        <v>346764.9</v>
      </c>
      <c r="H23" s="100">
        <f>SUM(H21:H22)-0.1</f>
        <v>141936.9</v>
      </c>
      <c r="I23" s="100">
        <f>SUM(I21:I22)-0.1</f>
        <v>301320.9</v>
      </c>
      <c r="J23" s="101">
        <f>SUM(J21:J22)</f>
        <v>0</v>
      </c>
      <c r="K23" s="99">
        <f t="shared" si="0"/>
        <v>1901124.6999999997</v>
      </c>
      <c r="L23" s="90">
        <f>K21+K22</f>
        <v>1901125.2</v>
      </c>
    </row>
    <row r="25" spans="2:9" ht="12.75">
      <c r="B25" s="1" t="s">
        <v>239</v>
      </c>
      <c r="C25" s="102"/>
      <c r="D25" s="102"/>
      <c r="E25" s="102"/>
      <c r="F25" s="102" t="s">
        <v>240</v>
      </c>
      <c r="H25" s="1" t="s">
        <v>241</v>
      </c>
      <c r="I25" s="1" t="s">
        <v>242</v>
      </c>
    </row>
    <row r="26" ht="12.75">
      <c r="B26" s="1" t="s">
        <v>243</v>
      </c>
    </row>
    <row r="27" ht="12.75">
      <c r="B27" s="1" t="s">
        <v>244</v>
      </c>
    </row>
    <row r="28" ht="12.75">
      <c r="B28" s="1" t="s">
        <v>245</v>
      </c>
    </row>
  </sheetData>
  <mergeCells count="3">
    <mergeCell ref="A2:K2"/>
    <mergeCell ref="A3:K3"/>
    <mergeCell ref="A4:K4"/>
  </mergeCells>
  <printOptions/>
  <pageMargins left="0.4" right="0" top="1.0097222222222222" bottom="0.1798611111111111" header="0.35" footer="0.20972222222222223"/>
  <pageSetup fitToHeight="0" horizontalDpi="300" verticalDpi="3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6" sqref="F6"/>
    </sheetView>
  </sheetViews>
  <sheetFormatPr defaultColWidth="9.00390625" defaultRowHeight="12.75"/>
  <cols>
    <col min="1" max="1" width="34.875" style="1" customWidth="1"/>
    <col min="2" max="2" width="16.125" style="1" customWidth="1"/>
    <col min="3" max="3" width="13.75390625" style="1" customWidth="1"/>
    <col min="4" max="4" width="18.875" style="1" customWidth="1"/>
    <col min="5" max="5" width="13.75390625" style="1" customWidth="1"/>
    <col min="6" max="6" width="13.375" style="1" customWidth="1"/>
    <col min="7" max="7" width="16.25390625" style="1" customWidth="1"/>
    <col min="8" max="8" width="14.875" style="1" customWidth="1"/>
    <col min="9" max="9" width="17.75390625" style="1" customWidth="1"/>
    <col min="10" max="10" width="21.75390625" style="1" customWidth="1"/>
    <col min="11" max="11" width="14.875" style="1" customWidth="1"/>
    <col min="12" max="16384" width="11.375" style="1" customWidth="1"/>
  </cols>
  <sheetData>
    <row r="1" spans="1:11" ht="12.75">
      <c r="A1" s="66">
        <v>36880</v>
      </c>
      <c r="B1" s="67"/>
      <c r="C1" s="68"/>
      <c r="D1" s="68"/>
      <c r="E1" s="67"/>
      <c r="F1" s="69"/>
      <c r="G1" s="69"/>
      <c r="H1" s="69"/>
      <c r="I1" s="67"/>
      <c r="J1" s="67"/>
      <c r="K1" s="70"/>
    </row>
    <row r="2" spans="1:11" ht="12.75">
      <c r="A2" s="127" t="s">
        <v>246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2.75">
      <c r="A3" s="128" t="s">
        <v>247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>
      <c r="A4" s="128" t="s">
        <v>248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7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ht="12.75">
      <c r="A6" s="74" t="s">
        <v>249</v>
      </c>
      <c r="B6" s="75" t="s">
        <v>250</v>
      </c>
      <c r="C6" s="76" t="s">
        <v>251</v>
      </c>
      <c r="D6" s="76" t="s">
        <v>252</v>
      </c>
      <c r="E6" s="76" t="s">
        <v>253</v>
      </c>
      <c r="F6" s="76" t="s">
        <v>254</v>
      </c>
      <c r="G6" s="76" t="s">
        <v>255</v>
      </c>
      <c r="H6" s="77" t="s">
        <v>256</v>
      </c>
      <c r="I6" s="77" t="s">
        <v>257</v>
      </c>
      <c r="J6" s="78" t="s">
        <v>258</v>
      </c>
      <c r="K6" s="79" t="s">
        <v>259</v>
      </c>
    </row>
    <row r="7" spans="1:11" ht="12.75">
      <c r="A7" s="80"/>
      <c r="B7" s="81" t="s">
        <v>260</v>
      </c>
      <c r="C7" s="82" t="s">
        <v>261</v>
      </c>
      <c r="D7" s="81" t="s">
        <v>262</v>
      </c>
      <c r="E7" s="81" t="s">
        <v>263</v>
      </c>
      <c r="F7" s="81" t="s">
        <v>264</v>
      </c>
      <c r="G7" s="81" t="s">
        <v>265</v>
      </c>
      <c r="H7" s="83" t="s">
        <v>266</v>
      </c>
      <c r="I7" s="83" t="s">
        <v>267</v>
      </c>
      <c r="J7" s="84" t="s">
        <v>268</v>
      </c>
      <c r="K7" s="85"/>
    </row>
    <row r="8" spans="1:12" ht="12.75">
      <c r="A8" s="86" t="s">
        <v>269</v>
      </c>
      <c r="B8" s="87">
        <f>'Yr 1 Funding by Institution _2_'!B8+'Yr 2 Funding by Institution _2_'!B8</f>
        <v>0</v>
      </c>
      <c r="C8" s="87">
        <f>'Yr 1 Funding by Institution _2_'!C8+'Yr 2 Funding by Institution _2_'!C8</f>
        <v>0</v>
      </c>
      <c r="D8" s="87">
        <f>'Yr 1 Funding by Institution _2_'!D8+'Yr 2 Funding by Institution _2_'!D8</f>
        <v>0</v>
      </c>
      <c r="E8" s="87">
        <f>'Yr 1 Funding by Institution _2_'!E8+'Yr 2 Funding by Institution _2_'!E8</f>
        <v>0</v>
      </c>
      <c r="F8" s="87">
        <f>'Yr 1 Funding by Institution _2_'!F8+'Yr 2 Funding by Institution _2_'!F8</f>
        <v>0</v>
      </c>
      <c r="G8" s="87">
        <f>'Yr 1 Funding by Institution _2_'!G8+'Yr 2 Funding by Institution _2_'!G8</f>
        <v>0</v>
      </c>
      <c r="H8" s="87">
        <f>'Yr 1 Funding by Institution _2_'!H8+'Yr 2 Funding by Institution _2_'!H8</f>
        <v>0</v>
      </c>
      <c r="I8" s="87">
        <f>'Yr 1 Funding by Institution _2_'!I8+'Yr 2 Funding by Institution _2_'!I8</f>
        <v>0</v>
      </c>
      <c r="J8" s="87">
        <f>'Yr 1 Funding by Institution _2_'!J8+'Yr 2 Funding by Institution _2_'!J8</f>
        <v>0</v>
      </c>
      <c r="K8" s="87">
        <f aca="true" t="shared" si="0" ref="K8:K23">SUM(B8:J8)</f>
        <v>0</v>
      </c>
      <c r="L8" s="90"/>
    </row>
    <row r="9" spans="1:11" ht="12.75">
      <c r="A9" s="91" t="s">
        <v>270</v>
      </c>
      <c r="B9" s="87">
        <f>'Yr 1 Funding by Institution _2_'!B9+'Yr 2 Funding by Institution _2_'!B9</f>
        <v>0</v>
      </c>
      <c r="C9" s="87">
        <f>'Yr 1 Funding by Institution _2_'!C9+'Yr 2 Funding by Institution _2_'!C9</f>
        <v>0</v>
      </c>
      <c r="D9" s="87">
        <f>'Yr 1 Funding by Institution _2_'!D9+'Yr 2 Funding by Institution _2_'!D9</f>
        <v>70000</v>
      </c>
      <c r="E9" s="87">
        <f>'Yr 1 Funding by Institution _2_'!E9+'Yr 2 Funding by Institution _2_'!E9</f>
        <v>0</v>
      </c>
      <c r="F9" s="87">
        <f>'Yr 1 Funding by Institution _2_'!F9+'Yr 2 Funding by Institution _2_'!F9</f>
        <v>0</v>
      </c>
      <c r="G9" s="87">
        <f>'Yr 1 Funding by Institution _2_'!G9+'Yr 2 Funding by Institution _2_'!G9</f>
        <v>0</v>
      </c>
      <c r="H9" s="87">
        <f>'Yr 1 Funding by Institution _2_'!H9+'Yr 2 Funding by Institution _2_'!H9</f>
        <v>0</v>
      </c>
      <c r="I9" s="87">
        <f>'Yr 1 Funding by Institution _2_'!I9+'Yr 2 Funding by Institution _2_'!I9</f>
        <v>0</v>
      </c>
      <c r="J9" s="87">
        <f>'Yr 1 Funding by Institution _2_'!J9+'Yr 2 Funding by Institution _2_'!J9</f>
        <v>0</v>
      </c>
      <c r="K9" s="87">
        <f t="shared" si="0"/>
        <v>70000</v>
      </c>
    </row>
    <row r="10" spans="1:11" ht="12.75">
      <c r="A10" s="86" t="s">
        <v>271</v>
      </c>
      <c r="B10" s="87">
        <f>'Yr 1 Funding by Institution _2_'!B10+'Yr 2 Funding by Institution _2_'!B10</f>
        <v>0</v>
      </c>
      <c r="C10" s="87">
        <f>'Yr 1 Funding by Institution _2_'!C10+'Yr 2 Funding by Institution _2_'!C10</f>
        <v>235456</v>
      </c>
      <c r="D10" s="87">
        <f>'Yr 1 Funding by Institution _2_'!D10+'Yr 2 Funding by Institution _2_'!D10</f>
        <v>0</v>
      </c>
      <c r="E10" s="87">
        <f>'Yr 1 Funding by Institution _2_'!E10+'Yr 2 Funding by Institution _2_'!E10</f>
        <v>63000</v>
      </c>
      <c r="F10" s="87">
        <f>'Yr 1 Funding by Institution _2_'!F10+'Yr 2 Funding by Institution _2_'!F10</f>
        <v>0</v>
      </c>
      <c r="G10" s="87">
        <f>'Yr 1 Funding by Institution _2_'!G10+'Yr 2 Funding by Institution _2_'!G10</f>
        <v>0</v>
      </c>
      <c r="H10" s="87">
        <f>'Yr 1 Funding by Institution _2_'!H10+'Yr 2 Funding by Institution _2_'!H10</f>
        <v>63000</v>
      </c>
      <c r="I10" s="87">
        <f>'Yr 1 Funding by Institution _2_'!I10+'Yr 2 Funding by Institution _2_'!I10</f>
        <v>168896</v>
      </c>
      <c r="J10" s="87">
        <f>'Yr 1 Funding by Institution _2_'!J10+'Yr 2 Funding by Institution _2_'!J10</f>
        <v>40500</v>
      </c>
      <c r="K10" s="87">
        <f t="shared" si="0"/>
        <v>570852</v>
      </c>
    </row>
    <row r="11" spans="1:12" ht="12.75" customHeight="1">
      <c r="A11" s="91" t="s">
        <v>272</v>
      </c>
      <c r="B11" s="87">
        <f>'Yr 1 Funding by Institution _2_'!B11+'Yr 2 Funding by Institution _2_'!B11</f>
        <v>0</v>
      </c>
      <c r="C11" s="87">
        <f>'Yr 1 Funding by Institution _2_'!C11+'Yr 2 Funding by Institution _2_'!C11</f>
        <v>0</v>
      </c>
      <c r="D11" s="87">
        <f>'Yr 1 Funding by Institution _2_'!D11+'Yr 2 Funding by Institution _2_'!D11</f>
        <v>0</v>
      </c>
      <c r="E11" s="87">
        <f>'Yr 1 Funding by Institution _2_'!E11+'Yr 2 Funding by Institution _2_'!E11</f>
        <v>0</v>
      </c>
      <c r="F11" s="87">
        <f>'Yr 1 Funding by Institution _2_'!F11+'Yr 2 Funding by Institution _2_'!F11</f>
        <v>0</v>
      </c>
      <c r="G11" s="87">
        <f>'Yr 1 Funding by Institution _2_'!G11+'Yr 2 Funding by Institution _2_'!G11</f>
        <v>0</v>
      </c>
      <c r="H11" s="87">
        <f>'Yr 1 Funding by Institution _2_'!H11+'Yr 2 Funding by Institution _2_'!H11</f>
        <v>0</v>
      </c>
      <c r="I11" s="87">
        <f>'Yr 1 Funding by Institution _2_'!I11+'Yr 2 Funding by Institution _2_'!I11</f>
        <v>0</v>
      </c>
      <c r="J11" s="87">
        <f>'Yr 1 Funding by Institution _2_'!J11+'Yr 2 Funding by Institution _2_'!J11</f>
        <v>0</v>
      </c>
      <c r="K11" s="87">
        <f t="shared" si="0"/>
        <v>0</v>
      </c>
      <c r="L11" s="90"/>
    </row>
    <row r="12" spans="1:11" ht="12.75" customHeight="1">
      <c r="A12" s="91" t="s">
        <v>273</v>
      </c>
      <c r="B12" s="87">
        <f>'Yr 1 Funding by Institution _2_'!B12+'Yr 2 Funding by Institution _2_'!B12</f>
        <v>0</v>
      </c>
      <c r="C12" s="87">
        <f>'Yr 1 Funding by Institution _2_'!C12+'Yr 2 Funding by Institution _2_'!C12</f>
        <v>0</v>
      </c>
      <c r="D12" s="87">
        <f>'Yr 1 Funding by Institution _2_'!D12+'Yr 2 Funding by Institution _2_'!D12</f>
        <v>0</v>
      </c>
      <c r="E12" s="87">
        <f>'Yr 1 Funding by Institution _2_'!E12+'Yr 2 Funding by Institution _2_'!E12</f>
        <v>0</v>
      </c>
      <c r="F12" s="87">
        <f>'Yr 1 Funding by Institution _2_'!F12+'Yr 2 Funding by Institution _2_'!F12</f>
        <v>10800</v>
      </c>
      <c r="G12" s="87">
        <f>'Yr 1 Funding by Institution _2_'!G12+'Yr 2 Funding by Institution _2_'!G12</f>
        <v>0</v>
      </c>
      <c r="H12" s="87">
        <f>'Yr 1 Funding by Institution _2_'!H12+'Yr 2 Funding by Institution _2_'!H12</f>
        <v>0</v>
      </c>
      <c r="I12" s="87">
        <f>'Yr 1 Funding by Institution _2_'!I12+'Yr 2 Funding by Institution _2_'!I12</f>
        <v>33280</v>
      </c>
      <c r="J12" s="87">
        <f>'Yr 1 Funding by Institution _2_'!J12+'Yr 2 Funding by Institution _2_'!J12</f>
        <v>0</v>
      </c>
      <c r="K12" s="87">
        <f t="shared" si="0"/>
        <v>44080</v>
      </c>
    </row>
    <row r="13" spans="1:12" ht="18" customHeight="1">
      <c r="A13" s="91" t="s">
        <v>274</v>
      </c>
      <c r="B13" s="87">
        <f>'Yr 1 Funding by Institution _2_'!B13+'Yr 2 Funding by Institution _2_'!B13</f>
        <v>0</v>
      </c>
      <c r="C13" s="87">
        <f>'Yr 1 Funding by Institution _2_'!C13+'Yr 2 Funding by Institution _2_'!C13</f>
        <v>48268</v>
      </c>
      <c r="D13" s="87">
        <f>'Yr 1 Funding by Institution _2_'!D13+'Yr 2 Funding by Institution _2_'!D13</f>
        <v>27790</v>
      </c>
      <c r="E13" s="87">
        <f>'Yr 1 Funding by Institution _2_'!E13+'Yr 2 Funding by Institution _2_'!E13</f>
        <v>5670</v>
      </c>
      <c r="F13" s="87">
        <f>'Yr 1 Funding by Institution _2_'!F13+'Yr 2 Funding by Institution _2_'!F13</f>
        <v>324</v>
      </c>
      <c r="G13" s="87">
        <f>'Yr 1 Funding by Institution _2_'!G13+'Yr 2 Funding by Institution _2_'!G13</f>
        <v>0</v>
      </c>
      <c r="H13" s="87">
        <f>'Yr 1 Funding by Institution _2_'!H13+'Yr 2 Funding by Institution _2_'!H13</f>
        <v>17640</v>
      </c>
      <c r="I13" s="87">
        <f>'Yr 1 Funding by Institution _2_'!I13+'Yr 2 Funding by Institution _2_'!I13</f>
        <v>73261</v>
      </c>
      <c r="J13" s="87">
        <f>'Yr 1 Funding by Institution _2_'!J13+'Yr 2 Funding by Institution _2_'!J13</f>
        <v>18941</v>
      </c>
      <c r="K13" s="87">
        <f t="shared" si="0"/>
        <v>191894</v>
      </c>
      <c r="L13" s="92"/>
    </row>
    <row r="14" spans="1:12" ht="21.75" customHeight="1">
      <c r="A14" s="91" t="s">
        <v>275</v>
      </c>
      <c r="B14" s="87">
        <f aca="true" t="shared" si="1" ref="B14:J14">SUM(B8:B13)</f>
        <v>0</v>
      </c>
      <c r="C14" s="88">
        <f t="shared" si="1"/>
        <v>283724</v>
      </c>
      <c r="D14" s="88">
        <f t="shared" si="1"/>
        <v>97790</v>
      </c>
      <c r="E14" s="88">
        <f t="shared" si="1"/>
        <v>68670</v>
      </c>
      <c r="F14" s="88">
        <f t="shared" si="1"/>
        <v>11124</v>
      </c>
      <c r="G14" s="88">
        <f t="shared" si="1"/>
        <v>0</v>
      </c>
      <c r="H14" s="88">
        <f t="shared" si="1"/>
        <v>80640</v>
      </c>
      <c r="I14" s="88">
        <f t="shared" si="1"/>
        <v>275437</v>
      </c>
      <c r="J14" s="89">
        <f t="shared" si="1"/>
        <v>59441</v>
      </c>
      <c r="K14" s="87">
        <f t="shared" si="0"/>
        <v>876826</v>
      </c>
      <c r="L14" s="90"/>
    </row>
    <row r="15" spans="1:11" ht="30" customHeight="1">
      <c r="A15" s="86" t="s">
        <v>276</v>
      </c>
      <c r="B15" s="87">
        <f>'Yr 1 Funding by Institution _2_'!B15+'Yr 2 Funding by Institution _2_'!B15</f>
        <v>2448902</v>
      </c>
      <c r="C15" s="87">
        <f>'Yr 1 Funding by Institution _2_'!C15+'Yr 2 Funding by Institution _2_'!C15</f>
        <v>195916</v>
      </c>
      <c r="D15" s="87">
        <f>'Yr 1 Funding by Institution _2_'!D15+'Yr 2 Funding by Institution _2_'!D15</f>
        <v>324863</v>
      </c>
      <c r="E15" s="87">
        <f>'Yr 1 Funding by Institution _2_'!E15+'Yr 2 Funding by Institution _2_'!E15</f>
        <v>1243230</v>
      </c>
      <c r="F15" s="87">
        <f>'Yr 1 Funding by Institution _2_'!F15+'Yr 2 Funding by Institution _2_'!F15</f>
        <v>190750</v>
      </c>
      <c r="G15" s="87">
        <f>'Yr 1 Funding by Institution _2_'!G15+'Yr 2 Funding by Institution _2_'!G15</f>
        <v>453293</v>
      </c>
      <c r="H15" s="87">
        <f>'Yr 1 Funding by Institution _2_'!H15+'Yr 2 Funding by Institution _2_'!H15</f>
        <v>127380</v>
      </c>
      <c r="I15" s="87">
        <f>'Yr 1 Funding by Institution _2_'!I15+'Yr 2 Funding by Institution _2_'!I15</f>
        <v>154080</v>
      </c>
      <c r="J15" s="87">
        <f>'Yr 1 Funding by Institution _2_'!J15+'Yr 2 Funding by Institution _2_'!J15</f>
        <v>100000</v>
      </c>
      <c r="K15" s="87">
        <f t="shared" si="0"/>
        <v>5238414</v>
      </c>
    </row>
    <row r="16" spans="1:11" ht="24.75" customHeight="1">
      <c r="A16" s="91" t="s">
        <v>277</v>
      </c>
      <c r="B16" s="87">
        <f>'Yr 1 Funding by Institution _2_'!B16+'Yr 2 Funding by Institution _2_'!B16</f>
        <v>0</v>
      </c>
      <c r="C16" s="87">
        <f>'Yr 1 Funding by Institution _2_'!C16+'Yr 2 Funding by Institution _2_'!C16</f>
        <v>0</v>
      </c>
      <c r="D16" s="87">
        <f>'Yr 1 Funding by Institution _2_'!D16+'Yr 2 Funding by Institution _2_'!D16</f>
        <v>4000</v>
      </c>
      <c r="E16" s="87">
        <f>'Yr 1 Funding by Institution _2_'!E16+'Yr 2 Funding by Institution _2_'!E16</f>
        <v>0</v>
      </c>
      <c r="F16" s="87">
        <f>'Yr 1 Funding by Institution _2_'!F16+'Yr 2 Funding by Institution _2_'!F16</f>
        <v>0</v>
      </c>
      <c r="G16" s="87">
        <f>'Yr 1 Funding by Institution _2_'!G16+'Yr 2 Funding by Institution _2_'!G16</f>
        <v>0</v>
      </c>
      <c r="H16" s="87">
        <f>'Yr 1 Funding by Institution _2_'!H16+'Yr 2 Funding by Institution _2_'!H16</f>
        <v>0</v>
      </c>
      <c r="I16" s="87">
        <f>'Yr 1 Funding by Institution _2_'!I16+'Yr 2 Funding by Institution _2_'!I16</f>
        <v>0</v>
      </c>
      <c r="J16" s="87">
        <f>'Yr 1 Funding by Institution _2_'!J16+'Yr 2 Funding by Institution _2_'!J16</f>
        <v>0</v>
      </c>
      <c r="K16" s="87">
        <f t="shared" si="0"/>
        <v>4000</v>
      </c>
    </row>
    <row r="17" spans="1:11" ht="12.75" customHeight="1">
      <c r="A17" s="86" t="s">
        <v>278</v>
      </c>
      <c r="B17" s="87">
        <f>'Yr 1 Funding by Institution _2_'!B17+'Yr 2 Funding by Institution _2_'!B17</f>
        <v>0</v>
      </c>
      <c r="C17" s="87">
        <f>'Yr 1 Funding by Institution _2_'!C17+'Yr 2 Funding by Institution _2_'!C17</f>
        <v>29440</v>
      </c>
      <c r="D17" s="87">
        <f>'Yr 1 Funding by Institution _2_'!D17+'Yr 2 Funding by Institution _2_'!D17</f>
        <v>15000</v>
      </c>
      <c r="E17" s="87">
        <f>'Yr 1 Funding by Institution _2_'!E17+'Yr 2 Funding by Institution _2_'!E17</f>
        <v>0</v>
      </c>
      <c r="F17" s="87">
        <f>'Yr 1 Funding by Institution _2_'!F17+'Yr 2 Funding by Institution _2_'!F17</f>
        <v>0</v>
      </c>
      <c r="G17" s="87">
        <f>'Yr 1 Funding by Institution _2_'!G17+'Yr 2 Funding by Institution _2_'!G17</f>
        <v>0</v>
      </c>
      <c r="H17" s="87">
        <f>'Yr 1 Funding by Institution _2_'!H17+'Yr 2 Funding by Institution _2_'!H17</f>
        <v>0</v>
      </c>
      <c r="I17" s="87">
        <f>'Yr 1 Funding by Institution _2_'!I17+'Yr 2 Funding by Institution _2_'!I17</f>
        <v>0</v>
      </c>
      <c r="J17" s="87">
        <f>'Yr 1 Funding by Institution _2_'!J17+'Yr 2 Funding by Institution _2_'!J17</f>
        <v>0</v>
      </c>
      <c r="K17" s="87">
        <f t="shared" si="0"/>
        <v>44440</v>
      </c>
    </row>
    <row r="18" spans="1:11" ht="12.75" customHeight="1">
      <c r="A18" s="86" t="s">
        <v>279</v>
      </c>
      <c r="B18" s="87">
        <f>'Yr 1 Funding by Institution _2_'!B18+'Yr 2 Funding by Institution _2_'!B18</f>
        <v>0</v>
      </c>
      <c r="C18" s="87">
        <f>'Yr 1 Funding by Institution _2_'!C18+'Yr 2 Funding by Institution _2_'!C18</f>
        <v>10686</v>
      </c>
      <c r="D18" s="87">
        <f>'Yr 1 Funding by Institution _2_'!D18+'Yr 2 Funding by Institution _2_'!D18</f>
        <v>2000</v>
      </c>
      <c r="E18" s="87">
        <f>'Yr 1 Funding by Institution _2_'!E18+'Yr 2 Funding by Institution _2_'!E18</f>
        <v>23000</v>
      </c>
      <c r="F18" s="87">
        <f>'Yr 1 Funding by Institution _2_'!F18+'Yr 2 Funding by Institution _2_'!F18</f>
        <v>8000</v>
      </c>
      <c r="G18" s="87">
        <f>'Yr 1 Funding by Institution _2_'!G18+'Yr 2 Funding by Institution _2_'!G18</f>
        <v>0</v>
      </c>
      <c r="H18" s="87">
        <f>'Yr 1 Funding by Institution _2_'!H18+'Yr 2 Funding by Institution _2_'!H18</f>
        <v>9500</v>
      </c>
      <c r="I18" s="87">
        <f>'Yr 1 Funding by Institution _2_'!I18+'Yr 2 Funding by Institution _2_'!I18</f>
        <v>8690</v>
      </c>
      <c r="J18" s="87">
        <f>'Yr 1 Funding by Institution _2_'!J18+'Yr 2 Funding by Institution _2_'!J18</f>
        <v>12715</v>
      </c>
      <c r="K18" s="87">
        <f t="shared" si="0"/>
        <v>74591</v>
      </c>
    </row>
    <row r="19" spans="1:11" ht="12.75" customHeight="1">
      <c r="A19" s="91" t="s">
        <v>280</v>
      </c>
      <c r="B19" s="87">
        <f>'Yr 1 Funding by Institution _2_'!B19+'Yr 2 Funding by Institution _2_'!B19</f>
        <v>0</v>
      </c>
      <c r="C19" s="87">
        <f>'Yr 1 Funding by Institution _2_'!C19+'Yr 2 Funding by Institution _2_'!C19</f>
        <v>0</v>
      </c>
      <c r="D19" s="87">
        <f>'Yr 1 Funding by Institution _2_'!D19+'Yr 2 Funding by Institution _2_'!D19</f>
        <v>7500</v>
      </c>
      <c r="E19" s="87">
        <f>'Yr 1 Funding by Institution _2_'!E19+'Yr 2 Funding by Institution _2_'!E19</f>
        <v>0</v>
      </c>
      <c r="F19" s="87">
        <f>'Yr 1 Funding by Institution _2_'!F19+'Yr 2 Funding by Institution _2_'!F19</f>
        <v>0</v>
      </c>
      <c r="G19" s="87">
        <f>'Yr 1 Funding by Institution _2_'!G19+'Yr 2 Funding by Institution _2_'!G19</f>
        <v>0</v>
      </c>
      <c r="H19" s="87">
        <f>'Yr 1 Funding by Institution _2_'!H19+'Yr 2 Funding by Institution _2_'!H19</f>
        <v>0</v>
      </c>
      <c r="I19" s="87">
        <f>'Yr 1 Funding by Institution _2_'!I19+'Yr 2 Funding by Institution _2_'!I19</f>
        <v>25000</v>
      </c>
      <c r="J19" s="87">
        <f>'Yr 1 Funding by Institution _2_'!J19+'Yr 2 Funding by Institution _2_'!J19</f>
        <v>0</v>
      </c>
      <c r="K19" s="87">
        <f t="shared" si="0"/>
        <v>32500</v>
      </c>
    </row>
    <row r="20" spans="1:12" ht="12.75" customHeight="1">
      <c r="A20" s="91" t="s">
        <v>281</v>
      </c>
      <c r="B20" s="87">
        <f>'Yr 1 Funding by Institution _2_'!B20+'Yr 2 Funding by Institution _2_'!B20</f>
        <v>0</v>
      </c>
      <c r="C20" s="87">
        <f>'Yr 1 Funding by Institution _2_'!C20+'Yr 2 Funding by Institution _2_'!C20</f>
        <v>16212</v>
      </c>
      <c r="D20" s="87">
        <f>'Yr 1 Funding by Institution _2_'!D20+'Yr 2 Funding by Institution _2_'!D20</f>
        <v>0</v>
      </c>
      <c r="E20" s="87">
        <f>'Yr 1 Funding by Institution _2_'!E20+'Yr 2 Funding by Institution _2_'!E20</f>
        <v>0</v>
      </c>
      <c r="F20" s="87">
        <f>'Yr 1 Funding by Institution _2_'!F20+'Yr 2 Funding by Institution _2_'!F20</f>
        <v>0</v>
      </c>
      <c r="G20" s="87">
        <f>'Yr 1 Funding by Institution _2_'!G20+'Yr 2 Funding by Institution _2_'!G20</f>
        <v>0</v>
      </c>
      <c r="H20" s="87">
        <f>'Yr 1 Funding by Institution _2_'!H20+'Yr 2 Funding by Institution _2_'!H20</f>
        <v>32000</v>
      </c>
      <c r="I20" s="87">
        <f>'Yr 1 Funding by Institution _2_'!I20+'Yr 2 Funding by Institution _2_'!I20</f>
        <v>50020</v>
      </c>
      <c r="J20" s="87">
        <f>'Yr 1 Funding by Institution _2_'!J20+'Yr 2 Funding by Institution _2_'!J20</f>
        <v>21927</v>
      </c>
      <c r="K20" s="87">
        <f t="shared" si="0"/>
        <v>120159</v>
      </c>
      <c r="L20" s="93"/>
    </row>
    <row r="21" spans="1:12" ht="30" customHeight="1">
      <c r="A21" s="94" t="s">
        <v>282</v>
      </c>
      <c r="B21" s="95">
        <f>SUM(B14:B20)+0.2</f>
        <v>2448902.2</v>
      </c>
      <c r="C21" s="96">
        <f aca="true" t="shared" si="2" ref="C21:J21">SUM(C14:C20)</f>
        <v>535978</v>
      </c>
      <c r="D21" s="96">
        <f t="shared" si="2"/>
        <v>451153</v>
      </c>
      <c r="E21" s="96">
        <f t="shared" si="2"/>
        <v>1334900</v>
      </c>
      <c r="F21" s="96">
        <f t="shared" si="2"/>
        <v>209874</v>
      </c>
      <c r="G21" s="96">
        <f t="shared" si="2"/>
        <v>453293</v>
      </c>
      <c r="H21" s="96">
        <f t="shared" si="2"/>
        <v>249520</v>
      </c>
      <c r="I21" s="96">
        <f t="shared" si="2"/>
        <v>513227</v>
      </c>
      <c r="J21" s="97">
        <f t="shared" si="2"/>
        <v>194083</v>
      </c>
      <c r="K21" s="95">
        <f t="shared" si="0"/>
        <v>6390930.2</v>
      </c>
      <c r="L21" s="90"/>
    </row>
    <row r="22" spans="1:11" ht="12.75" customHeight="1">
      <c r="A22" s="91" t="s">
        <v>283</v>
      </c>
      <c r="B22" s="87">
        <f>'Yr 1 Funding by Institution _2_'!B22+'Yr 2 Funding by Institution _2_'!B22</f>
        <v>0</v>
      </c>
      <c r="C22" s="87">
        <f>'Yr 1 Funding by Institution _2_'!C22+'Yr 2 Funding by Institution _2_'!C22</f>
        <v>143818</v>
      </c>
      <c r="D22" s="87">
        <f>'Yr 1 Funding by Institution _2_'!D22+'Yr 2 Funding by Institution _2_'!D22</f>
        <v>30100</v>
      </c>
      <c r="E22" s="87">
        <f>'Yr 1 Funding by Institution _2_'!E22+'Yr 2 Funding by Institution _2_'!E22</f>
        <v>49502</v>
      </c>
      <c r="F22" s="87">
        <f>'Yr 1 Funding by Institution _2_'!F22+'Yr 2 Funding by Institution _2_'!F22</f>
        <v>10036</v>
      </c>
      <c r="G22" s="87">
        <f>'Yr 1 Funding by Institution _2_'!G22+'Yr 2 Funding by Institution _2_'!G22</f>
        <v>0</v>
      </c>
      <c r="H22" s="87">
        <f>'Yr 1 Funding by Institution _2_'!H22+'Yr 2 Funding by Institution _2_'!H22</f>
        <v>51910</v>
      </c>
      <c r="I22" s="87">
        <f>'Yr 1 Funding by Institution _2_'!I22+'Yr 2 Funding by Institution _2_'!I22</f>
        <v>154433</v>
      </c>
      <c r="J22" s="87">
        <f>'Yr 1 Funding by Institution _2_'!J22+'Yr 2 Funding by Institution _2_'!J22</f>
        <v>24462</v>
      </c>
      <c r="K22" s="87">
        <f t="shared" si="0"/>
        <v>464261</v>
      </c>
    </row>
    <row r="23" spans="1:12" ht="12.75" customHeight="1">
      <c r="A23" s="98" t="s">
        <v>284</v>
      </c>
      <c r="B23" s="99">
        <f>SUM(B21:B22)</f>
        <v>2448902.2</v>
      </c>
      <c r="C23" s="100">
        <f>SUM(C21:C22)</f>
        <v>679796</v>
      </c>
      <c r="D23" s="100">
        <f>SUM(D21:D22)-0.1</f>
        <v>481252.9</v>
      </c>
      <c r="E23" s="100">
        <f>SUM(E21:E22)-0.1</f>
        <v>1384401.9</v>
      </c>
      <c r="F23" s="100">
        <f>SUM(F21:F22)</f>
        <v>219910</v>
      </c>
      <c r="G23" s="100">
        <f>SUM(G21:G22)-0.1</f>
        <v>453292.9</v>
      </c>
      <c r="H23" s="100">
        <f>SUM(H21:H22)-0.1</f>
        <v>301429.9</v>
      </c>
      <c r="I23" s="100">
        <f>SUM(I21:I22)-0.1</f>
        <v>667659.9</v>
      </c>
      <c r="J23" s="101">
        <f>SUM(J21:J22)</f>
        <v>218545</v>
      </c>
      <c r="K23" s="99">
        <f t="shared" si="0"/>
        <v>6855190.700000001</v>
      </c>
      <c r="L23" s="103">
        <f>K21+K22</f>
        <v>6855191.2</v>
      </c>
    </row>
    <row r="24" spans="1:12" ht="12.75">
      <c r="A24" s="104" t="s">
        <v>285</v>
      </c>
      <c r="B24" s="103">
        <f aca="true" t="shared" si="3" ref="B24:K24">SUM(B14:B20)+B22</f>
        <v>2448902</v>
      </c>
      <c r="C24" s="103">
        <f t="shared" si="3"/>
        <v>679796</v>
      </c>
      <c r="D24" s="103">
        <f t="shared" si="3"/>
        <v>481253</v>
      </c>
      <c r="E24" s="103">
        <f t="shared" si="3"/>
        <v>1384402</v>
      </c>
      <c r="F24" s="103">
        <f t="shared" si="3"/>
        <v>219910</v>
      </c>
      <c r="G24" s="103">
        <f t="shared" si="3"/>
        <v>453293</v>
      </c>
      <c r="H24" s="103">
        <f t="shared" si="3"/>
        <v>301430</v>
      </c>
      <c r="I24" s="103">
        <f t="shared" si="3"/>
        <v>667660</v>
      </c>
      <c r="J24" s="103">
        <f t="shared" si="3"/>
        <v>218545</v>
      </c>
      <c r="K24" s="103">
        <f t="shared" si="3"/>
        <v>6855191</v>
      </c>
      <c r="L24" s="105"/>
    </row>
  </sheetData>
  <mergeCells count="3">
    <mergeCell ref="A2:K2"/>
    <mergeCell ref="A3:K3"/>
    <mergeCell ref="A4:K4"/>
  </mergeCells>
  <printOptions/>
  <pageMargins left="0.4" right="0" top="1.0097222222222222" bottom="0.1798611111111111" header="0.35" footer="0.20972222222222223"/>
  <pageSetup fitToHeight="0" horizontalDpi="300" verticalDpi="3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5">
      <selection activeCell="F6" sqref="F6"/>
    </sheetView>
  </sheetViews>
  <sheetFormatPr defaultColWidth="9.00390625" defaultRowHeight="12.75"/>
  <cols>
    <col min="1" max="1" width="34.875" style="1" customWidth="1"/>
    <col min="2" max="2" width="15.875" style="1" customWidth="1"/>
    <col min="3" max="3" width="12.00390625" style="1" customWidth="1"/>
    <col min="4" max="4" width="17.00390625" style="1" customWidth="1"/>
    <col min="5" max="5" width="20.00390625" style="1" customWidth="1"/>
    <col min="6" max="6" width="10.875" style="1" customWidth="1"/>
    <col min="7" max="7" width="16.25390625" style="1" customWidth="1"/>
    <col min="8" max="8" width="14.875" style="1" customWidth="1"/>
    <col min="9" max="9" width="17.75390625" style="1" customWidth="1"/>
    <col min="10" max="10" width="21.75390625" style="1" customWidth="1"/>
    <col min="11" max="11" width="14.875" style="1" customWidth="1"/>
    <col min="12" max="16384" width="11.375" style="1" customWidth="1"/>
  </cols>
  <sheetData>
    <row r="1" spans="1:6" ht="12.75">
      <c r="A1" s="66">
        <f ca="1">TODAY()</f>
        <v>36901</v>
      </c>
      <c r="B1" s="67"/>
      <c r="C1" s="68"/>
      <c r="D1" s="68"/>
      <c r="E1" s="67"/>
      <c r="F1" s="69"/>
    </row>
    <row r="2" spans="1:6" s="106" customFormat="1" ht="12.75">
      <c r="A2" s="129" t="s">
        <v>286</v>
      </c>
      <c r="B2" s="129"/>
      <c r="C2" s="129"/>
      <c r="D2" s="129"/>
      <c r="E2" s="129"/>
      <c r="F2" s="129"/>
    </row>
    <row r="3" spans="1:6" ht="12.75">
      <c r="A3" s="130" t="s">
        <v>287</v>
      </c>
      <c r="B3" s="130"/>
      <c r="C3" s="130"/>
      <c r="D3" s="130"/>
      <c r="E3" s="130"/>
      <c r="F3" s="130"/>
    </row>
    <row r="4" spans="1:6" ht="7.5" customHeight="1">
      <c r="A4" s="71"/>
      <c r="B4" s="72"/>
      <c r="C4" s="72"/>
      <c r="D4" s="72"/>
      <c r="E4" s="72"/>
      <c r="F4" s="72"/>
    </row>
    <row r="5" spans="1:6" ht="12.75">
      <c r="A5" s="74" t="s">
        <v>288</v>
      </c>
      <c r="B5" s="75" t="s">
        <v>289</v>
      </c>
      <c r="C5" s="76" t="s">
        <v>290</v>
      </c>
      <c r="D5" s="76" t="s">
        <v>291</v>
      </c>
      <c r="E5" s="76" t="s">
        <v>292</v>
      </c>
      <c r="F5" s="76" t="s">
        <v>293</v>
      </c>
    </row>
    <row r="6" spans="1:6" ht="12.75">
      <c r="A6" s="80"/>
      <c r="B6" s="81" t="s">
        <v>294</v>
      </c>
      <c r="C6" s="82" t="s">
        <v>295</v>
      </c>
      <c r="D6" s="81" t="s">
        <v>296</v>
      </c>
      <c r="E6" s="81" t="s">
        <v>297</v>
      </c>
      <c r="F6" s="81" t="s">
        <v>298</v>
      </c>
    </row>
    <row r="7" spans="1:6" ht="12.75">
      <c r="A7" s="86" t="s">
        <v>299</v>
      </c>
      <c r="B7" s="87">
        <f>'Yr 1 Funding by Institution _2_'!B8+'Yr 2 Funding by Institution _2_'!B8</f>
        <v>0</v>
      </c>
      <c r="C7" s="87">
        <f>'Yr 1 Funding by Institution _2_'!C8+'Yr 2 Funding by Institution _2_'!C8</f>
        <v>0</v>
      </c>
      <c r="D7" s="87">
        <f>'Yr 1 Funding by Institution _2_'!D8+'Yr 2 Funding by Institution _2_'!D8</f>
        <v>0</v>
      </c>
      <c r="E7" s="87">
        <f>'Yr 1 Funding by Institution _2_'!E8+'Yr 2 Funding by Institution _2_'!E8</f>
        <v>0</v>
      </c>
      <c r="F7" s="87">
        <f>'Yr 1 Funding by Institution _2_'!F8+'Yr 2 Funding by Institution _2_'!F8</f>
        <v>0</v>
      </c>
    </row>
    <row r="8" spans="1:6" ht="12.75">
      <c r="A8" s="91" t="s">
        <v>300</v>
      </c>
      <c r="B8" s="87">
        <f>'Yr 1 Funding by Institution _2_'!B9+'Yr 2 Funding by Institution _2_'!B9</f>
        <v>0</v>
      </c>
      <c r="C8" s="87">
        <f>'Yr 1 Funding by Institution _2_'!C9+'Yr 2 Funding by Institution _2_'!C9</f>
        <v>0</v>
      </c>
      <c r="D8" s="87">
        <f>'Yr 1 Funding by Institution _2_'!D9+'Yr 2 Funding by Institution _2_'!D9</f>
        <v>70000</v>
      </c>
      <c r="E8" s="87">
        <f>'Yr 1 Funding by Institution _2_'!E9+'Yr 2 Funding by Institution _2_'!E9</f>
        <v>0</v>
      </c>
      <c r="F8" s="87">
        <f>'Yr 1 Funding by Institution _2_'!F9+'Yr 2 Funding by Institution _2_'!F9</f>
        <v>0</v>
      </c>
    </row>
    <row r="9" spans="1:6" ht="12.75">
      <c r="A9" s="86" t="s">
        <v>301</v>
      </c>
      <c r="B9" s="87">
        <f>'Yr 1 Funding by Institution _2_'!B10+'Yr 2 Funding by Institution _2_'!B10</f>
        <v>0</v>
      </c>
      <c r="C9" s="87">
        <f>'Yr 1 Funding by Institution _2_'!C10+'Yr 2 Funding by Institution _2_'!C10</f>
        <v>235456</v>
      </c>
      <c r="D9" s="87">
        <f>'Yr 1 Funding by Institution _2_'!D10+'Yr 2 Funding by Institution _2_'!D10</f>
        <v>0</v>
      </c>
      <c r="E9" s="87">
        <f>'Yr 1 Funding by Institution _2_'!E10+'Yr 2 Funding by Institution _2_'!E10</f>
        <v>63000</v>
      </c>
      <c r="F9" s="87">
        <f>'Yr 1 Funding by Institution _2_'!F10+'Yr 2 Funding by Institution _2_'!F10</f>
        <v>0</v>
      </c>
    </row>
    <row r="10" spans="1:6" ht="12.75" customHeight="1">
      <c r="A10" s="91" t="s">
        <v>302</v>
      </c>
      <c r="B10" s="87">
        <f>'Yr 1 Funding by Institution _2_'!B11+'Yr 2 Funding by Institution _2_'!B11</f>
        <v>0</v>
      </c>
      <c r="C10" s="87">
        <f>'Yr 1 Funding by Institution _2_'!C11+'Yr 2 Funding by Institution _2_'!C11</f>
        <v>0</v>
      </c>
      <c r="D10" s="87">
        <f>'Yr 1 Funding by Institution _2_'!D11+'Yr 2 Funding by Institution _2_'!D11</f>
        <v>0</v>
      </c>
      <c r="E10" s="87">
        <f>'Yr 1 Funding by Institution _2_'!E11+'Yr 2 Funding by Institution _2_'!E11</f>
        <v>0</v>
      </c>
      <c r="F10" s="87">
        <f>'Yr 1 Funding by Institution _2_'!F11+'Yr 2 Funding by Institution _2_'!F11</f>
        <v>0</v>
      </c>
    </row>
    <row r="11" spans="1:6" ht="12.75" customHeight="1">
      <c r="A11" s="91" t="s">
        <v>303</v>
      </c>
      <c r="B11" s="87">
        <f>'Yr 1 Funding by Institution _2_'!B12+'Yr 2 Funding by Institution _2_'!B12</f>
        <v>0</v>
      </c>
      <c r="C11" s="87">
        <f>'Yr 1 Funding by Institution _2_'!C12+'Yr 2 Funding by Institution _2_'!C12</f>
        <v>0</v>
      </c>
      <c r="D11" s="87">
        <f>'Yr 1 Funding by Institution _2_'!D12+'Yr 2 Funding by Institution _2_'!D12</f>
        <v>0</v>
      </c>
      <c r="E11" s="87">
        <f>'Yr 1 Funding by Institution _2_'!E12+'Yr 2 Funding by Institution _2_'!E12</f>
        <v>0</v>
      </c>
      <c r="F11" s="87">
        <f>'Yr 1 Funding by Institution _2_'!F12+'Yr 2 Funding by Institution _2_'!F12</f>
        <v>10800</v>
      </c>
    </row>
    <row r="12" spans="1:6" ht="18" customHeight="1">
      <c r="A12" s="91" t="s">
        <v>304</v>
      </c>
      <c r="B12" s="87">
        <f>'Yr 1 Funding by Institution _2_'!B13+'Yr 2 Funding by Institution _2_'!B13</f>
        <v>0</v>
      </c>
      <c r="C12" s="87">
        <f>'Yr 1 Funding by Institution _2_'!C13+'Yr 2 Funding by Institution _2_'!C13</f>
        <v>48268</v>
      </c>
      <c r="D12" s="87">
        <f>'Yr 1 Funding by Institution _2_'!D13+'Yr 2 Funding by Institution _2_'!D13</f>
        <v>27790</v>
      </c>
      <c r="E12" s="87">
        <f>'Yr 1 Funding by Institution _2_'!E13+'Yr 2 Funding by Institution _2_'!E13</f>
        <v>5670</v>
      </c>
      <c r="F12" s="87">
        <f>'Yr 1 Funding by Institution _2_'!F13+'Yr 2 Funding by Institution _2_'!F13</f>
        <v>324</v>
      </c>
    </row>
    <row r="13" spans="1:6" ht="21.75" customHeight="1">
      <c r="A13" s="91" t="s">
        <v>305</v>
      </c>
      <c r="B13" s="87">
        <f>SUM(B7:B12)</f>
        <v>0</v>
      </c>
      <c r="C13" s="88">
        <f>SUM(C7:C12)</f>
        <v>283724</v>
      </c>
      <c r="D13" s="88">
        <f>SUM(D7:D12)</f>
        <v>97790</v>
      </c>
      <c r="E13" s="88">
        <f>SUM(E7:E12)</f>
        <v>68670</v>
      </c>
      <c r="F13" s="88">
        <f>SUM(F7:F12)</f>
        <v>11124</v>
      </c>
    </row>
    <row r="14" spans="1:6" ht="30" customHeight="1">
      <c r="A14" s="86" t="s">
        <v>306</v>
      </c>
      <c r="B14" s="87">
        <f>'Yr 1 Funding by Institution _2_'!B15+'Yr 2 Funding by Institution _2_'!B15</f>
        <v>2448902</v>
      </c>
      <c r="C14" s="87">
        <f>'Yr 1 Funding by Institution _2_'!C15+'Yr 2 Funding by Institution _2_'!C15</f>
        <v>195916</v>
      </c>
      <c r="D14" s="87">
        <f>'Yr 1 Funding by Institution _2_'!D15+'Yr 2 Funding by Institution _2_'!D15</f>
        <v>324863</v>
      </c>
      <c r="E14" s="87">
        <f>'Yr 1 Funding by Institution _2_'!E15+'Yr 2 Funding by Institution _2_'!E15</f>
        <v>1243230</v>
      </c>
      <c r="F14" s="87">
        <f>'Yr 1 Funding by Institution _2_'!F15+'Yr 2 Funding by Institution _2_'!F15</f>
        <v>190750</v>
      </c>
    </row>
    <row r="15" spans="1:6" ht="24.75" customHeight="1">
      <c r="A15" s="91" t="s">
        <v>307</v>
      </c>
      <c r="B15" s="87">
        <f>'Yr 1 Funding by Institution _2_'!B16+'Yr 2 Funding by Institution _2_'!B16</f>
        <v>0</v>
      </c>
      <c r="C15" s="87">
        <f>'Yr 1 Funding by Institution _2_'!C16+'Yr 2 Funding by Institution _2_'!C16</f>
        <v>0</v>
      </c>
      <c r="D15" s="87">
        <f>'Yr 1 Funding by Institution _2_'!D16+'Yr 2 Funding by Institution _2_'!D16</f>
        <v>4000</v>
      </c>
      <c r="E15" s="87">
        <f>'Yr 1 Funding by Institution _2_'!E16+'Yr 2 Funding by Institution _2_'!E16</f>
        <v>0</v>
      </c>
      <c r="F15" s="87">
        <f>'Yr 1 Funding by Institution _2_'!F16+'Yr 2 Funding by Institution _2_'!F16</f>
        <v>0</v>
      </c>
    </row>
    <row r="16" spans="1:6" ht="12.75" customHeight="1">
      <c r="A16" s="86" t="s">
        <v>308</v>
      </c>
      <c r="B16" s="87">
        <f>'Yr 1 Funding by Institution _2_'!B17+'Yr 2 Funding by Institution _2_'!B17</f>
        <v>0</v>
      </c>
      <c r="C16" s="87">
        <f>'Yr 1 Funding by Institution _2_'!C17+'Yr 2 Funding by Institution _2_'!C17</f>
        <v>29440</v>
      </c>
      <c r="D16" s="87">
        <f>'Yr 1 Funding by Institution _2_'!D17+'Yr 2 Funding by Institution _2_'!D17</f>
        <v>15000</v>
      </c>
      <c r="E16" s="87">
        <f>'Yr 1 Funding by Institution _2_'!E17+'Yr 2 Funding by Institution _2_'!E17</f>
        <v>0</v>
      </c>
      <c r="F16" s="87">
        <f>'Yr 1 Funding by Institution _2_'!F17+'Yr 2 Funding by Institution _2_'!F17</f>
        <v>0</v>
      </c>
    </row>
    <row r="17" spans="1:6" ht="12.75" customHeight="1">
      <c r="A17" s="86" t="s">
        <v>309</v>
      </c>
      <c r="B17" s="87">
        <f>'Yr 1 Funding by Institution _2_'!B18+'Yr 2 Funding by Institution _2_'!B18</f>
        <v>0</v>
      </c>
      <c r="C17" s="87">
        <f>'Yr 1 Funding by Institution _2_'!C18+'Yr 2 Funding by Institution _2_'!C18</f>
        <v>10686</v>
      </c>
      <c r="D17" s="87">
        <f>'Yr 1 Funding by Institution _2_'!D18+'Yr 2 Funding by Institution _2_'!D18</f>
        <v>2000</v>
      </c>
      <c r="E17" s="87">
        <f>'Yr 1 Funding by Institution _2_'!E18+'Yr 2 Funding by Institution _2_'!E18</f>
        <v>23000</v>
      </c>
      <c r="F17" s="87">
        <f>'Yr 1 Funding by Institution _2_'!F18+'Yr 2 Funding by Institution _2_'!F18</f>
        <v>8000</v>
      </c>
    </row>
    <row r="18" spans="1:6" ht="12.75" customHeight="1">
      <c r="A18" s="91" t="s">
        <v>310</v>
      </c>
      <c r="B18" s="87">
        <f>'Yr 1 Funding by Institution _2_'!B19+'Yr 2 Funding by Institution _2_'!B19</f>
        <v>0</v>
      </c>
      <c r="C18" s="87">
        <f>'Yr 1 Funding by Institution _2_'!C19+'Yr 2 Funding by Institution _2_'!C19</f>
        <v>0</v>
      </c>
      <c r="D18" s="87">
        <f>'Yr 1 Funding by Institution _2_'!D19+'Yr 2 Funding by Institution _2_'!D19</f>
        <v>7500</v>
      </c>
      <c r="E18" s="87">
        <f>'Yr 1 Funding by Institution _2_'!E19+'Yr 2 Funding by Institution _2_'!E19</f>
        <v>0</v>
      </c>
      <c r="F18" s="87">
        <f>'Yr 1 Funding by Institution _2_'!F19+'Yr 2 Funding by Institution _2_'!F19</f>
        <v>0</v>
      </c>
    </row>
    <row r="19" spans="1:6" ht="12.75" customHeight="1">
      <c r="A19" s="91" t="s">
        <v>311</v>
      </c>
      <c r="B19" s="87">
        <f>'Yr 1 Funding by Institution _2_'!B20+'Yr 2 Funding by Institution _2_'!B20</f>
        <v>0</v>
      </c>
      <c r="C19" s="87">
        <f>'Yr 1 Funding by Institution _2_'!C20+'Yr 2 Funding by Institution _2_'!C20</f>
        <v>16212</v>
      </c>
      <c r="D19" s="87">
        <f>'Yr 1 Funding by Institution _2_'!D20+'Yr 2 Funding by Institution _2_'!D20</f>
        <v>0</v>
      </c>
      <c r="E19" s="87">
        <f>'Yr 1 Funding by Institution _2_'!E20+'Yr 2 Funding by Institution _2_'!E20</f>
        <v>0</v>
      </c>
      <c r="F19" s="87">
        <f>'Yr 1 Funding by Institution _2_'!F20+'Yr 2 Funding by Institution _2_'!F20</f>
        <v>0</v>
      </c>
    </row>
    <row r="20" spans="1:6" ht="30" customHeight="1">
      <c r="A20" s="94" t="s">
        <v>312</v>
      </c>
      <c r="B20" s="95">
        <f>SUM(B13:B19)+0.2</f>
        <v>2448902.2</v>
      </c>
      <c r="C20" s="96">
        <f>SUM(C13:C19)</f>
        <v>535978</v>
      </c>
      <c r="D20" s="96">
        <f>SUM(D13:D19)</f>
        <v>451153</v>
      </c>
      <c r="E20" s="96">
        <f>SUM(E13:E19)</f>
        <v>1334900</v>
      </c>
      <c r="F20" s="96">
        <f>SUM(F13:F19)</f>
        <v>209874</v>
      </c>
    </row>
    <row r="21" spans="1:6" ht="12.75" customHeight="1">
      <c r="A21" s="91" t="s">
        <v>313</v>
      </c>
      <c r="B21" s="87">
        <f>'Yr 1 Funding by Institution _2_'!B22+'Yr 2 Funding by Institution _2_'!B22</f>
        <v>0</v>
      </c>
      <c r="C21" s="87">
        <f>'Yr 1 Funding by Institution _2_'!C22+'Yr 2 Funding by Institution _2_'!C22</f>
        <v>143818</v>
      </c>
      <c r="D21" s="87">
        <f>'Yr 1 Funding by Institution _2_'!D22+'Yr 2 Funding by Institution _2_'!D22</f>
        <v>30100</v>
      </c>
      <c r="E21" s="87">
        <f>'Yr 1 Funding by Institution _2_'!E22+'Yr 2 Funding by Institution _2_'!E22</f>
        <v>49502</v>
      </c>
      <c r="F21" s="87">
        <f>'Yr 1 Funding by Institution _2_'!F22+'Yr 2 Funding by Institution _2_'!F22</f>
        <v>10036</v>
      </c>
    </row>
    <row r="22" spans="1:6" ht="12.75" customHeight="1">
      <c r="A22" s="98" t="s">
        <v>314</v>
      </c>
      <c r="B22" s="99">
        <f>SUM(B20:B21)</f>
        <v>2448902.2</v>
      </c>
      <c r="C22" s="100">
        <f>SUM(C20:C21)</f>
        <v>679796</v>
      </c>
      <c r="D22" s="100">
        <f>SUM(D20:D21)-0.1</f>
        <v>481252.9</v>
      </c>
      <c r="E22" s="100">
        <f>SUM(E20:E21)-0.1</f>
        <v>1384401.9</v>
      </c>
      <c r="F22" s="100">
        <f>SUM(F20:F21)</f>
        <v>219910</v>
      </c>
    </row>
    <row r="23" spans="1:6" ht="12.75">
      <c r="A23" s="104" t="s">
        <v>315</v>
      </c>
      <c r="B23" s="103">
        <f>SUM(B13:B19)+B21</f>
        <v>2448902</v>
      </c>
      <c r="C23" s="103">
        <f>SUM(C13:C19)+C21</f>
        <v>679796</v>
      </c>
      <c r="D23" s="103">
        <f>SUM(D13:D19)+D21</f>
        <v>481253</v>
      </c>
      <c r="E23" s="103">
        <f>SUM(E13:E19)+E21</f>
        <v>1384402</v>
      </c>
      <c r="F23" s="103">
        <f>SUM(F13:F19)+F21</f>
        <v>219910</v>
      </c>
    </row>
    <row r="25" spans="1:6" ht="12.75">
      <c r="A25" s="107" t="s">
        <v>316</v>
      </c>
      <c r="B25" s="76" t="s">
        <v>317</v>
      </c>
      <c r="C25" s="76" t="s">
        <v>318</v>
      </c>
      <c r="D25" s="76" t="s">
        <v>319</v>
      </c>
      <c r="E25" s="76" t="s">
        <v>320</v>
      </c>
      <c r="F25" s="108" t="s">
        <v>321</v>
      </c>
    </row>
    <row r="26" spans="1:6" ht="12.75">
      <c r="A26" s="80"/>
      <c r="B26" s="81" t="s">
        <v>322</v>
      </c>
      <c r="C26" s="83" t="s">
        <v>323</v>
      </c>
      <c r="D26" s="83" t="s">
        <v>324</v>
      </c>
      <c r="E26" s="84" t="s">
        <v>325</v>
      </c>
      <c r="F26" s="109"/>
    </row>
    <row r="27" spans="1:6" ht="12.75">
      <c r="A27" s="86" t="s">
        <v>326</v>
      </c>
      <c r="B27" s="87">
        <v>0</v>
      </c>
      <c r="C27" s="87">
        <v>0</v>
      </c>
      <c r="D27" s="87">
        <v>0</v>
      </c>
      <c r="E27" s="87">
        <v>0</v>
      </c>
      <c r="F27" s="110">
        <v>0</v>
      </c>
    </row>
    <row r="28" spans="1:6" ht="12.75">
      <c r="A28" s="91" t="s">
        <v>327</v>
      </c>
      <c r="B28" s="87">
        <v>0</v>
      </c>
      <c r="C28" s="87">
        <v>0</v>
      </c>
      <c r="D28" s="87">
        <v>0</v>
      </c>
      <c r="E28" s="87">
        <v>0</v>
      </c>
      <c r="F28" s="110">
        <v>70000</v>
      </c>
    </row>
    <row r="29" spans="1:6" ht="12.75">
      <c r="A29" s="86" t="s">
        <v>328</v>
      </c>
      <c r="B29" s="87">
        <v>0</v>
      </c>
      <c r="C29" s="87">
        <v>63000</v>
      </c>
      <c r="D29" s="87">
        <v>168896</v>
      </c>
      <c r="E29" s="87">
        <v>40500</v>
      </c>
      <c r="F29" s="110">
        <v>570852</v>
      </c>
    </row>
    <row r="30" spans="1:6" ht="12.75" customHeight="1">
      <c r="A30" s="91" t="s">
        <v>329</v>
      </c>
      <c r="B30" s="87">
        <v>0</v>
      </c>
      <c r="C30" s="87">
        <v>0</v>
      </c>
      <c r="D30" s="87">
        <v>0</v>
      </c>
      <c r="E30" s="87">
        <v>0</v>
      </c>
      <c r="F30" s="110">
        <v>0</v>
      </c>
    </row>
    <row r="31" spans="1:6" ht="12.75" customHeight="1">
      <c r="A31" s="91" t="s">
        <v>330</v>
      </c>
      <c r="B31" s="87">
        <v>0</v>
      </c>
      <c r="C31" s="87">
        <v>0</v>
      </c>
      <c r="D31" s="87">
        <v>33280</v>
      </c>
      <c r="E31" s="87">
        <v>0</v>
      </c>
      <c r="F31" s="110">
        <v>44080</v>
      </c>
    </row>
    <row r="32" spans="1:6" ht="18" customHeight="1">
      <c r="A32" s="91" t="s">
        <v>331</v>
      </c>
      <c r="B32" s="87">
        <v>0</v>
      </c>
      <c r="C32" s="87">
        <v>17640</v>
      </c>
      <c r="D32" s="87">
        <v>73261</v>
      </c>
      <c r="E32" s="87">
        <v>18941</v>
      </c>
      <c r="F32" s="110">
        <v>191894</v>
      </c>
    </row>
    <row r="33" spans="1:6" ht="21.75" customHeight="1">
      <c r="A33" s="91" t="s">
        <v>332</v>
      </c>
      <c r="B33" s="87">
        <v>0</v>
      </c>
      <c r="C33" s="88">
        <v>80640</v>
      </c>
      <c r="D33" s="88">
        <v>275437</v>
      </c>
      <c r="E33" s="89">
        <v>59441</v>
      </c>
      <c r="F33" s="110">
        <v>876826</v>
      </c>
    </row>
    <row r="34" spans="1:6" ht="30" customHeight="1">
      <c r="A34" s="86" t="s">
        <v>333</v>
      </c>
      <c r="B34" s="87">
        <v>453293</v>
      </c>
      <c r="C34" s="87">
        <v>127380</v>
      </c>
      <c r="D34" s="87">
        <v>154080</v>
      </c>
      <c r="E34" s="87">
        <v>100000</v>
      </c>
      <c r="F34" s="110">
        <v>5238414</v>
      </c>
    </row>
    <row r="35" spans="1:6" ht="24.75" customHeight="1">
      <c r="A35" s="91" t="s">
        <v>334</v>
      </c>
      <c r="B35" s="87">
        <v>0</v>
      </c>
      <c r="C35" s="87">
        <v>0</v>
      </c>
      <c r="D35" s="87">
        <v>0</v>
      </c>
      <c r="E35" s="87">
        <v>0</v>
      </c>
      <c r="F35" s="110">
        <v>4000</v>
      </c>
    </row>
    <row r="36" spans="1:6" ht="12.75" customHeight="1">
      <c r="A36" s="86" t="s">
        <v>335</v>
      </c>
      <c r="B36" s="87">
        <v>0</v>
      </c>
      <c r="C36" s="87">
        <v>0</v>
      </c>
      <c r="D36" s="87">
        <v>0</v>
      </c>
      <c r="E36" s="87">
        <v>0</v>
      </c>
      <c r="F36" s="110">
        <v>44440</v>
      </c>
    </row>
    <row r="37" spans="1:6" ht="12.75" customHeight="1">
      <c r="A37" s="86" t="s">
        <v>336</v>
      </c>
      <c r="B37" s="87">
        <v>0</v>
      </c>
      <c r="C37" s="87">
        <v>9500</v>
      </c>
      <c r="D37" s="87">
        <v>8690</v>
      </c>
      <c r="E37" s="87">
        <v>12715</v>
      </c>
      <c r="F37" s="110">
        <v>74591</v>
      </c>
    </row>
    <row r="38" spans="1:6" ht="12.75" customHeight="1">
      <c r="A38" s="91" t="s">
        <v>337</v>
      </c>
      <c r="B38" s="87">
        <v>0</v>
      </c>
      <c r="C38" s="87">
        <v>0</v>
      </c>
      <c r="D38" s="87">
        <v>25000</v>
      </c>
      <c r="E38" s="87">
        <v>0</v>
      </c>
      <c r="F38" s="110">
        <v>32500</v>
      </c>
    </row>
    <row r="39" spans="1:6" ht="12.75" customHeight="1">
      <c r="A39" s="91" t="s">
        <v>338</v>
      </c>
      <c r="B39" s="87">
        <v>0</v>
      </c>
      <c r="C39" s="87">
        <v>32000</v>
      </c>
      <c r="D39" s="87">
        <v>50020</v>
      </c>
      <c r="E39" s="87">
        <v>21927</v>
      </c>
      <c r="F39" s="110">
        <v>120159</v>
      </c>
    </row>
    <row r="40" spans="1:6" ht="30" customHeight="1">
      <c r="A40" s="94" t="s">
        <v>339</v>
      </c>
      <c r="B40" s="95">
        <v>453293</v>
      </c>
      <c r="C40" s="96">
        <v>249520</v>
      </c>
      <c r="D40" s="96">
        <v>513227</v>
      </c>
      <c r="E40" s="97">
        <v>194083</v>
      </c>
      <c r="F40" s="111">
        <v>6390930.2</v>
      </c>
    </row>
    <row r="41" spans="1:6" ht="12.75" customHeight="1">
      <c r="A41" s="91" t="s">
        <v>340</v>
      </c>
      <c r="B41" s="87">
        <v>0</v>
      </c>
      <c r="C41" s="87">
        <v>51910</v>
      </c>
      <c r="D41" s="87">
        <v>154433</v>
      </c>
      <c r="E41" s="87">
        <v>24462</v>
      </c>
      <c r="F41" s="110">
        <v>464261</v>
      </c>
    </row>
    <row r="42" spans="1:6" ht="12.75" customHeight="1">
      <c r="A42" s="98" t="s">
        <v>341</v>
      </c>
      <c r="B42" s="99">
        <v>453292.9</v>
      </c>
      <c r="C42" s="100">
        <v>301429.9</v>
      </c>
      <c r="D42" s="100">
        <v>667659.9</v>
      </c>
      <c r="E42" s="101">
        <v>218545</v>
      </c>
      <c r="F42" s="112">
        <v>6855190.700000001</v>
      </c>
    </row>
    <row r="43" spans="1:6" ht="12.75">
      <c r="A43" s="104" t="s">
        <v>342</v>
      </c>
      <c r="B43" s="103">
        <v>2448902</v>
      </c>
      <c r="C43" s="103">
        <v>679796</v>
      </c>
      <c r="D43" s="103">
        <v>481253</v>
      </c>
      <c r="E43" s="103">
        <v>1384402</v>
      </c>
      <c r="F43" s="103">
        <v>219910</v>
      </c>
    </row>
  </sheetData>
  <mergeCells count="2">
    <mergeCell ref="A2:F2"/>
    <mergeCell ref="A3:F3"/>
  </mergeCells>
  <printOptions/>
  <pageMargins left="0.4" right="0" top="1.0097222222222222" bottom="0.1798611111111111" header="0.35" footer="0.20972222222222223"/>
  <pageSetup fitToHeight="0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9.00390625" style="0" customWidth="1"/>
    <col min="2" max="2" width="31.375" style="0" bestFit="1" customWidth="1"/>
    <col min="3" max="5" width="10.25390625" style="0" customWidth="1"/>
    <col min="6" max="6" width="11.875" style="0" customWidth="1"/>
    <col min="8" max="8" width="11.625" style="0" customWidth="1"/>
    <col min="9" max="9" width="8.375" style="0" customWidth="1"/>
    <col min="10" max="10" width="9.375" style="0" customWidth="1"/>
    <col min="11" max="11" width="12.125" style="0" bestFit="1" customWidth="1"/>
  </cols>
  <sheetData>
    <row r="1" spans="1:11" ht="15">
      <c r="A1" s="119" t="s">
        <v>0</v>
      </c>
      <c r="B1" s="118" t="s">
        <v>1</v>
      </c>
      <c r="C1" s="118" t="s">
        <v>2</v>
      </c>
      <c r="D1" s="118"/>
      <c r="E1" s="118"/>
      <c r="F1" s="118"/>
      <c r="G1" s="118"/>
      <c r="H1" s="3"/>
      <c r="I1" s="3"/>
      <c r="J1" s="3"/>
      <c r="K1" s="3"/>
    </row>
    <row r="2" spans="1:11" ht="30">
      <c r="A2" s="119"/>
      <c r="B2" s="118"/>
      <c r="C2" s="118" t="s">
        <v>348</v>
      </c>
      <c r="D2" s="118"/>
      <c r="E2" s="118"/>
      <c r="F2" s="5" t="s">
        <v>349</v>
      </c>
      <c r="G2" s="5"/>
      <c r="H2" s="5" t="s">
        <v>349</v>
      </c>
      <c r="I2" s="5"/>
      <c r="J2" s="5"/>
      <c r="K2" s="118" t="s">
        <v>3</v>
      </c>
    </row>
    <row r="3" spans="1:11" ht="30.75" thickBot="1">
      <c r="A3" s="119"/>
      <c r="B3" s="118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18"/>
    </row>
    <row r="4" spans="1:11" ht="14.25">
      <c r="A4" s="6">
        <v>1</v>
      </c>
      <c r="B4" s="7" t="s">
        <v>350</v>
      </c>
      <c r="C4" s="8">
        <v>3578786.4402615353</v>
      </c>
      <c r="D4" s="8">
        <v>2519437.2074599257</v>
      </c>
      <c r="E4" s="8">
        <v>6098223.64772146</v>
      </c>
      <c r="F4" s="9">
        <v>4871759.798</v>
      </c>
      <c r="G4" s="10">
        <v>0.3612882130077524</v>
      </c>
      <c r="H4" s="9">
        <v>3459603.652</v>
      </c>
      <c r="I4" s="10">
        <v>0.3731652615736121</v>
      </c>
      <c r="J4" s="10">
        <v>0.36619513013645055</v>
      </c>
      <c r="K4" s="11">
        <v>8331363.45</v>
      </c>
    </row>
    <row r="5" spans="1:11" ht="14.25">
      <c r="A5" s="13">
        <v>1.1</v>
      </c>
      <c r="B5" s="14" t="s">
        <v>13</v>
      </c>
      <c r="C5" s="15">
        <v>915555.2991071427</v>
      </c>
      <c r="D5" s="15">
        <v>1015362.1964346764</v>
      </c>
      <c r="E5" s="16">
        <v>1930917.4955418191</v>
      </c>
      <c r="F5" s="9">
        <v>1300162.348</v>
      </c>
      <c r="G5" s="10">
        <v>0.4200806322326236</v>
      </c>
      <c r="H5" s="9">
        <v>1383401.652</v>
      </c>
      <c r="I5" s="10">
        <v>0.3624711032749204</v>
      </c>
      <c r="J5" s="10">
        <v>0.3897869827146534</v>
      </c>
      <c r="K5" s="11">
        <v>2683564</v>
      </c>
    </row>
    <row r="6" spans="1:11" ht="14.25">
      <c r="A6" s="13">
        <v>1.2</v>
      </c>
      <c r="B6" s="14" t="s">
        <v>14</v>
      </c>
      <c r="C6" s="15">
        <v>298017</v>
      </c>
      <c r="D6" s="15">
        <v>289113</v>
      </c>
      <c r="E6" s="16">
        <v>587130</v>
      </c>
      <c r="F6" s="9">
        <v>445864</v>
      </c>
      <c r="G6" s="10">
        <v>0.4961025713298235</v>
      </c>
      <c r="H6" s="9">
        <v>438700</v>
      </c>
      <c r="I6" s="10">
        <v>0.5173997710237865</v>
      </c>
      <c r="J6" s="10">
        <v>0.5065896820125015</v>
      </c>
      <c r="K6" s="11">
        <v>884564</v>
      </c>
    </row>
    <row r="7" spans="1:11" ht="14.25">
      <c r="A7" s="13">
        <v>1.3</v>
      </c>
      <c r="B7" s="14" t="s">
        <v>15</v>
      </c>
      <c r="C7" s="15">
        <v>968444.8785524112</v>
      </c>
      <c r="D7" s="15">
        <v>334457.5645966779</v>
      </c>
      <c r="E7" s="16">
        <v>1302902.443149089</v>
      </c>
      <c r="F7" s="9">
        <v>1263125</v>
      </c>
      <c r="G7" s="10">
        <v>0.3042817696429596</v>
      </c>
      <c r="H7" s="9">
        <v>417112</v>
      </c>
      <c r="I7" s="10">
        <v>0.2471298130242472</v>
      </c>
      <c r="J7" s="10">
        <v>0.2896107523897957</v>
      </c>
      <c r="K7" s="11">
        <v>1680237</v>
      </c>
    </row>
    <row r="8" spans="1:11" ht="14.25">
      <c r="A8" s="13">
        <v>1.4</v>
      </c>
      <c r="B8" s="14" t="s">
        <v>351</v>
      </c>
      <c r="C8" s="15">
        <v>409028.8125</v>
      </c>
      <c r="D8" s="15">
        <v>347249.01785714284</v>
      </c>
      <c r="E8" s="16">
        <v>756277.8303571428</v>
      </c>
      <c r="F8" s="9">
        <v>574730.45</v>
      </c>
      <c r="G8" s="10">
        <v>0.4051099395351274</v>
      </c>
      <c r="H8" s="9">
        <v>479073</v>
      </c>
      <c r="I8" s="10">
        <v>0.37962377246258794</v>
      </c>
      <c r="J8" s="10">
        <v>0.3934078293718517</v>
      </c>
      <c r="K8" s="11">
        <v>1053803.45</v>
      </c>
    </row>
    <row r="9" spans="1:11" ht="14.25">
      <c r="A9" s="13">
        <v>1.5</v>
      </c>
      <c r="B9" s="14" t="s">
        <v>17</v>
      </c>
      <c r="C9" s="15">
        <v>693983.9813519813</v>
      </c>
      <c r="D9" s="15">
        <v>0</v>
      </c>
      <c r="E9" s="16">
        <v>693983.9813519813</v>
      </c>
      <c r="F9" s="9">
        <v>882105</v>
      </c>
      <c r="G9" s="10">
        <v>0.27107400704196616</v>
      </c>
      <c r="H9" s="9">
        <v>0</v>
      </c>
      <c r="I9" s="18"/>
      <c r="J9" s="10">
        <v>0.27107400704196616</v>
      </c>
      <c r="K9" s="11">
        <v>882105</v>
      </c>
    </row>
    <row r="10" spans="1:11" ht="14.25">
      <c r="A10" s="13">
        <v>1.6</v>
      </c>
      <c r="B10" s="14" t="s">
        <v>18</v>
      </c>
      <c r="C10" s="15">
        <v>127626</v>
      </c>
      <c r="D10" s="15">
        <v>468255.4285714286</v>
      </c>
      <c r="E10" s="16">
        <v>595881.4285714286</v>
      </c>
      <c r="F10" s="9">
        <v>175246</v>
      </c>
      <c r="G10" s="10">
        <v>0.3731214642784386</v>
      </c>
      <c r="H10" s="9">
        <v>650317</v>
      </c>
      <c r="I10" s="10">
        <v>0.3888082450725916</v>
      </c>
      <c r="J10" s="10">
        <v>0.3854484473181383</v>
      </c>
      <c r="K10" s="11">
        <v>825563</v>
      </c>
    </row>
    <row r="11" spans="1:11" ht="14.25">
      <c r="A11" s="13">
        <v>1.7</v>
      </c>
      <c r="B11" s="14" t="s">
        <v>19</v>
      </c>
      <c r="C11" s="15">
        <v>149000</v>
      </c>
      <c r="D11" s="15">
        <v>65000</v>
      </c>
      <c r="E11" s="16">
        <v>214000</v>
      </c>
      <c r="F11" s="9">
        <v>208600</v>
      </c>
      <c r="G11" s="10">
        <v>0.4</v>
      </c>
      <c r="H11" s="9">
        <v>91000</v>
      </c>
      <c r="I11" s="10">
        <v>0.4</v>
      </c>
      <c r="J11" s="10">
        <v>0.4</v>
      </c>
      <c r="K11" s="11">
        <v>299600</v>
      </c>
    </row>
    <row r="12" spans="1:11" ht="14.25">
      <c r="A12" s="6">
        <v>2</v>
      </c>
      <c r="B12" s="6" t="s">
        <v>352</v>
      </c>
      <c r="C12" s="20">
        <v>142714.2857142857</v>
      </c>
      <c r="D12" s="20">
        <v>707000</v>
      </c>
      <c r="E12" s="21">
        <v>849714.2857142857</v>
      </c>
      <c r="F12" s="9">
        <v>199800</v>
      </c>
      <c r="G12" s="10">
        <v>0.4</v>
      </c>
      <c r="H12" s="9">
        <v>989800</v>
      </c>
      <c r="I12" s="10">
        <v>0.4</v>
      </c>
      <c r="J12" s="10">
        <v>0.4</v>
      </c>
      <c r="K12" s="11">
        <v>1189600</v>
      </c>
    </row>
    <row r="13" spans="1:11" ht="14.25">
      <c r="A13" s="13">
        <v>2.1</v>
      </c>
      <c r="B13" s="14" t="s">
        <v>21</v>
      </c>
      <c r="C13" s="15">
        <v>40714.28571428572</v>
      </c>
      <c r="D13" s="15">
        <v>274142.85714285716</v>
      </c>
      <c r="E13" s="16">
        <v>314857.1428571429</v>
      </c>
      <c r="F13" s="9">
        <v>57000</v>
      </c>
      <c r="G13" s="10">
        <v>0.4</v>
      </c>
      <c r="H13" s="9">
        <v>383800</v>
      </c>
      <c r="I13" s="10">
        <v>0.4</v>
      </c>
      <c r="J13" s="10">
        <v>0.4</v>
      </c>
      <c r="K13" s="11">
        <v>440800</v>
      </c>
    </row>
    <row r="14" spans="1:11" ht="14.25">
      <c r="A14" s="13">
        <v>2.2</v>
      </c>
      <c r="B14" s="14" t="s">
        <v>22</v>
      </c>
      <c r="C14" s="15">
        <v>102000</v>
      </c>
      <c r="D14" s="15">
        <v>142928.57142857142</v>
      </c>
      <c r="E14" s="16">
        <v>244928.57142857142</v>
      </c>
      <c r="F14" s="9">
        <v>142800</v>
      </c>
      <c r="G14" s="10">
        <v>0.4</v>
      </c>
      <c r="H14" s="9">
        <v>200100</v>
      </c>
      <c r="I14" s="10">
        <v>0.4</v>
      </c>
      <c r="J14" s="10">
        <v>0.4</v>
      </c>
      <c r="K14" s="11">
        <v>342900</v>
      </c>
    </row>
    <row r="15" spans="1:11" ht="14.25">
      <c r="A15" s="13">
        <v>2.3</v>
      </c>
      <c r="B15" s="14" t="s">
        <v>23</v>
      </c>
      <c r="C15" s="15">
        <v>0</v>
      </c>
      <c r="D15" s="15">
        <v>289928.5714285714</v>
      </c>
      <c r="E15" s="22">
        <v>289928.5714285714</v>
      </c>
      <c r="F15" s="9">
        <v>0</v>
      </c>
      <c r="G15" s="23"/>
      <c r="H15" s="9">
        <v>405900</v>
      </c>
      <c r="I15" s="10">
        <v>0.4</v>
      </c>
      <c r="J15" s="10">
        <v>0.4</v>
      </c>
      <c r="K15" s="11">
        <v>405900</v>
      </c>
    </row>
    <row r="16" spans="1:11" ht="14.25">
      <c r="A16" s="24"/>
      <c r="B16" s="7"/>
      <c r="C16" s="15"/>
      <c r="D16" s="25"/>
      <c r="E16" s="20"/>
      <c r="F16" s="9"/>
      <c r="G16" s="9"/>
      <c r="H16" s="26"/>
      <c r="I16" s="26"/>
      <c r="J16" s="26"/>
      <c r="K16" s="11" t="s">
        <v>24</v>
      </c>
    </row>
    <row r="17" spans="1:11" ht="14.25">
      <c r="A17" s="27"/>
      <c r="B17" s="28" t="s">
        <v>25</v>
      </c>
      <c r="C17" s="29">
        <v>3721500.7259758213</v>
      </c>
      <c r="D17" s="29">
        <v>3226437.2074599257</v>
      </c>
      <c r="E17" s="29">
        <v>6947937.933435746</v>
      </c>
      <c r="F17" s="29">
        <v>5071559.798</v>
      </c>
      <c r="G17" s="29"/>
      <c r="H17" s="29">
        <v>4449403.652</v>
      </c>
      <c r="I17" s="29"/>
      <c r="J17" s="29"/>
      <c r="K17" s="29">
        <v>9520963.45</v>
      </c>
    </row>
  </sheetData>
  <mergeCells count="5">
    <mergeCell ref="K2:K3"/>
    <mergeCell ref="A1:A3"/>
    <mergeCell ref="B1:B3"/>
    <mergeCell ref="C1:G1"/>
    <mergeCell ref="C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53"/>
    </sheetView>
  </sheetViews>
  <sheetFormatPr defaultColWidth="9.00390625" defaultRowHeight="12.75"/>
  <sheetData>
    <row r="1" ht="23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C17" sqref="C17:K17"/>
    </sheetView>
  </sheetViews>
  <sheetFormatPr defaultColWidth="9.00390625" defaultRowHeight="12.75"/>
  <cols>
    <col min="1" max="1" width="9.00390625" style="2" customWidth="1"/>
    <col min="2" max="2" width="31.375" style="2" bestFit="1" customWidth="1"/>
    <col min="3" max="5" width="10.25390625" style="2" customWidth="1"/>
    <col min="6" max="6" width="11.875" style="2" customWidth="1"/>
    <col min="7" max="7" width="9.125" style="2" customWidth="1"/>
    <col min="8" max="8" width="11.625" style="2" customWidth="1"/>
    <col min="9" max="9" width="8.375" style="2" customWidth="1"/>
    <col min="10" max="10" width="9.375" style="2" customWidth="1"/>
    <col min="11" max="11" width="12.125" style="2" bestFit="1" customWidth="1"/>
    <col min="12" max="12" width="14.00390625" style="2" customWidth="1"/>
    <col min="13" max="13" width="14.625" style="2" customWidth="1"/>
    <col min="14" max="15" width="12.375" style="2" customWidth="1"/>
    <col min="16" max="16" width="9.125" style="2" customWidth="1"/>
    <col min="17" max="18" width="13.375" style="2" customWidth="1"/>
    <col min="19" max="19" width="13.875" style="2" customWidth="1"/>
    <col min="20" max="20" width="15.25390625" style="2" customWidth="1"/>
    <col min="21" max="255" width="9.00390625" style="2" customWidth="1"/>
    <col min="256" max="16384" width="9.00390625" style="1" customWidth="1"/>
  </cols>
  <sheetData>
    <row r="1" spans="1:255" ht="15" customHeight="1">
      <c r="A1" s="119" t="s">
        <v>0</v>
      </c>
      <c r="B1" s="118" t="s">
        <v>1</v>
      </c>
      <c r="C1" s="118" t="s">
        <v>2</v>
      </c>
      <c r="D1" s="118"/>
      <c r="E1" s="118"/>
      <c r="F1" s="118"/>
      <c r="G1" s="118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0" customHeight="1">
      <c r="A2" s="119"/>
      <c r="B2" s="118"/>
      <c r="C2" s="118" t="s">
        <v>348</v>
      </c>
      <c r="D2" s="118"/>
      <c r="E2" s="118"/>
      <c r="F2" s="5" t="s">
        <v>349</v>
      </c>
      <c r="G2" s="5"/>
      <c r="H2" s="5" t="s">
        <v>349</v>
      </c>
      <c r="I2" s="5"/>
      <c r="J2" s="5"/>
      <c r="K2" s="118" t="s">
        <v>3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30">
      <c r="A3" s="119"/>
      <c r="B3" s="118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1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4.25">
      <c r="A4" s="6">
        <v>1</v>
      </c>
      <c r="B4" s="7" t="s">
        <v>12</v>
      </c>
      <c r="C4" s="8">
        <f>SUM(C5:C11)</f>
        <v>3578786.4402615353</v>
      </c>
      <c r="D4" s="8">
        <f>SUM(D5:D11)</f>
        <v>2519437.2074599257</v>
      </c>
      <c r="E4" s="8">
        <f>SUM(E5:E11)</f>
        <v>6098223.64772146</v>
      </c>
      <c r="F4" s="9">
        <f>SUM(F5:F11)</f>
        <v>4871759.798</v>
      </c>
      <c r="G4" s="10">
        <f aca="true" t="shared" si="0" ref="G4:G14">F4/C4-1</f>
        <v>0.3612882130077524</v>
      </c>
      <c r="H4" s="9">
        <f>SUM(H5:H11)</f>
        <v>3459603.652</v>
      </c>
      <c r="I4" s="10">
        <f>H4/D4-1</f>
        <v>0.3731652615736121</v>
      </c>
      <c r="J4" s="10">
        <f aca="true" t="shared" si="1" ref="J4:J15">K4/E4-1</f>
        <v>0.36619513013645055</v>
      </c>
      <c r="K4" s="11">
        <f aca="true" t="shared" si="2" ref="K4:K15">F4+H4</f>
        <v>8331363.45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38" ht="14.25">
      <c r="A5" s="13">
        <v>1.1</v>
      </c>
      <c r="B5" s="14" t="s">
        <v>13</v>
      </c>
      <c r="C5" s="15">
        <f>'Temple Summaries'!K6</f>
        <v>932685.7678571427</v>
      </c>
      <c r="D5" s="15">
        <f>'Temple Summaries'!L6</f>
        <v>1015362.1964346764</v>
      </c>
      <c r="E5" s="16">
        <f aca="true" t="shared" si="3" ref="E5:E11">C5+D5</f>
        <v>1948047.9642918191</v>
      </c>
      <c r="F5" s="9">
        <f>'Temple Summaries'!M6</f>
        <v>1322089.348</v>
      </c>
      <c r="G5" s="10">
        <f t="shared" si="0"/>
        <v>0.4175077969051859</v>
      </c>
      <c r="H5" s="9">
        <f>'Temple Summaries'!N6</f>
        <v>1383401.652</v>
      </c>
      <c r="I5" s="10">
        <f>H5/D5-1</f>
        <v>0.3624711032749204</v>
      </c>
      <c r="J5" s="10">
        <f t="shared" si="1"/>
        <v>0.3888215534690578</v>
      </c>
      <c r="K5" s="11">
        <f t="shared" si="2"/>
        <v>2705491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</row>
    <row r="6" spans="1:238" ht="14.25">
      <c r="A6" s="13">
        <v>1.2</v>
      </c>
      <c r="B6" s="14" t="s">
        <v>14</v>
      </c>
      <c r="C6" s="15">
        <f>'Temple Summaries'!K7</f>
        <v>298017</v>
      </c>
      <c r="D6" s="15">
        <f>'Temple Summaries'!L7</f>
        <v>289113</v>
      </c>
      <c r="E6" s="16">
        <f t="shared" si="3"/>
        <v>587130</v>
      </c>
      <c r="F6" s="9">
        <f>'Temple Summaries'!M7</f>
        <v>445864</v>
      </c>
      <c r="G6" s="10">
        <f t="shared" si="0"/>
        <v>0.4961025713298235</v>
      </c>
      <c r="H6" s="9">
        <f>'Temple Summaries'!N7</f>
        <v>438700</v>
      </c>
      <c r="I6" s="10">
        <f>H6/D6-1</f>
        <v>0.5173997710237865</v>
      </c>
      <c r="J6" s="10">
        <f t="shared" si="1"/>
        <v>0.5065896820125015</v>
      </c>
      <c r="K6" s="11">
        <f t="shared" si="2"/>
        <v>884564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</row>
    <row r="7" spans="1:238" ht="14.25">
      <c r="A7" s="13">
        <v>1.3</v>
      </c>
      <c r="B7" s="14" t="s">
        <v>15</v>
      </c>
      <c r="C7" s="15">
        <f>'Temple Summaries'!K8</f>
        <v>968444.8785524112</v>
      </c>
      <c r="D7" s="15">
        <f>'Temple Summaries'!L8</f>
        <v>334457.5645966779</v>
      </c>
      <c r="E7" s="16">
        <f t="shared" si="3"/>
        <v>1302902.443149089</v>
      </c>
      <c r="F7" s="9">
        <f>'Temple Summaries'!M8</f>
        <v>1263125</v>
      </c>
      <c r="G7" s="10">
        <f t="shared" si="0"/>
        <v>0.3042817696429596</v>
      </c>
      <c r="H7" s="9">
        <f>'Temple Summaries'!N8</f>
        <v>417112</v>
      </c>
      <c r="I7" s="10">
        <f>H7/D7-1</f>
        <v>0.2471298130242472</v>
      </c>
      <c r="J7" s="10">
        <f t="shared" si="1"/>
        <v>0.2896107523897957</v>
      </c>
      <c r="K7" s="11">
        <f t="shared" si="2"/>
        <v>1680237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</row>
    <row r="8" spans="1:238" ht="14.25">
      <c r="A8" s="13">
        <v>1.4</v>
      </c>
      <c r="B8" s="14" t="s">
        <v>16</v>
      </c>
      <c r="C8" s="15">
        <f>'Temple Summaries'!K9</f>
        <v>409028.8125</v>
      </c>
      <c r="D8" s="15">
        <f>'Temple Summaries'!L9</f>
        <v>347249.01785714284</v>
      </c>
      <c r="E8" s="16">
        <f t="shared" si="3"/>
        <v>756277.8303571428</v>
      </c>
      <c r="F8" s="9">
        <f>'Temple Summaries'!M9</f>
        <v>574730.45</v>
      </c>
      <c r="G8" s="10">
        <f t="shared" si="0"/>
        <v>0.4051099395351274</v>
      </c>
      <c r="H8" s="9">
        <f>'Temple Summaries'!N9</f>
        <v>479072.99999999994</v>
      </c>
      <c r="I8" s="10">
        <f>H8/D8-1</f>
        <v>0.37962377246258794</v>
      </c>
      <c r="J8" s="10">
        <f t="shared" si="1"/>
        <v>0.3934078293718517</v>
      </c>
      <c r="K8" s="11">
        <f t="shared" si="2"/>
        <v>1053803.45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</row>
    <row r="9" spans="1:238" ht="14.25">
      <c r="A9" s="13">
        <v>1.5</v>
      </c>
      <c r="B9" s="14" t="s">
        <v>17</v>
      </c>
      <c r="C9" s="15">
        <f>'Temple Summaries'!K10</f>
        <v>693983.9813519813</v>
      </c>
      <c r="D9" s="15">
        <f>'Temple Summaries'!L10</f>
        <v>0</v>
      </c>
      <c r="E9" s="16">
        <f t="shared" si="3"/>
        <v>693983.9813519813</v>
      </c>
      <c r="F9" s="9">
        <f>'Temple Summaries'!M10</f>
        <v>882105</v>
      </c>
      <c r="G9" s="10">
        <f t="shared" si="0"/>
        <v>0.27107400704196616</v>
      </c>
      <c r="H9" s="9">
        <f>'Temple Summaries'!N10</f>
        <v>0</v>
      </c>
      <c r="I9" s="18"/>
      <c r="J9" s="10">
        <f t="shared" si="1"/>
        <v>0.27107400704196616</v>
      </c>
      <c r="K9" s="11">
        <f t="shared" si="2"/>
        <v>882105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</row>
    <row r="10" spans="1:238" ht="14.25">
      <c r="A10" s="13">
        <v>1.6</v>
      </c>
      <c r="B10" s="14" t="s">
        <v>18</v>
      </c>
      <c r="C10" s="15">
        <f>'Temple Summaries'!K11</f>
        <v>127626</v>
      </c>
      <c r="D10" s="15">
        <f>'Temple Summaries'!L11</f>
        <v>468255.4285714286</v>
      </c>
      <c r="E10" s="16">
        <f t="shared" si="3"/>
        <v>595881.4285714286</v>
      </c>
      <c r="F10" s="9">
        <f>'Temple Summaries'!M11</f>
        <v>175246</v>
      </c>
      <c r="G10" s="10">
        <f t="shared" si="0"/>
        <v>0.3731214642784386</v>
      </c>
      <c r="H10" s="9">
        <f>'Temple Summaries'!N11</f>
        <v>650317</v>
      </c>
      <c r="I10" s="10">
        <f aca="true" t="shared" si="4" ref="I10:I15">H10/D10-1</f>
        <v>0.3888082450725916</v>
      </c>
      <c r="J10" s="10">
        <f t="shared" si="1"/>
        <v>0.3854484473181383</v>
      </c>
      <c r="K10" s="11">
        <f t="shared" si="2"/>
        <v>825563</v>
      </c>
      <c r="L10" s="19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</row>
    <row r="11" spans="1:238" ht="14.25">
      <c r="A11" s="13">
        <v>1.7</v>
      </c>
      <c r="B11" s="14" t="s">
        <v>19</v>
      </c>
      <c r="C11" s="15">
        <f>'Temple Summaries'!K12</f>
        <v>149000</v>
      </c>
      <c r="D11" s="15">
        <f>'Temple Summaries'!L12</f>
        <v>65000.00000000001</v>
      </c>
      <c r="E11" s="16">
        <f t="shared" si="3"/>
        <v>214000</v>
      </c>
      <c r="F11" s="9">
        <f>'Temple Summaries'!M12</f>
        <v>208600</v>
      </c>
      <c r="G11" s="10">
        <f t="shared" si="0"/>
        <v>0.3999999999999999</v>
      </c>
      <c r="H11" s="9">
        <f>'Temple Summaries'!N12</f>
        <v>91000</v>
      </c>
      <c r="I11" s="10">
        <f t="shared" si="4"/>
        <v>0.3999999999999999</v>
      </c>
      <c r="J11" s="10">
        <f t="shared" si="1"/>
        <v>0.3999999999999999</v>
      </c>
      <c r="K11" s="11">
        <f t="shared" si="2"/>
        <v>299600</v>
      </c>
      <c r="L11" s="19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</row>
    <row r="12" spans="1:238" ht="14.25">
      <c r="A12" s="6">
        <v>2</v>
      </c>
      <c r="B12" s="6" t="s">
        <v>20</v>
      </c>
      <c r="C12" s="20">
        <f>SUM(C13:C15)</f>
        <v>142714.2857142857</v>
      </c>
      <c r="D12" s="20">
        <f>SUM(D13:D15)</f>
        <v>707000</v>
      </c>
      <c r="E12" s="21">
        <f>SUM(E13:E15)</f>
        <v>849714.2857142857</v>
      </c>
      <c r="F12" s="9">
        <f>SUM(F13:F15)</f>
        <v>199800</v>
      </c>
      <c r="G12" s="10">
        <f t="shared" si="0"/>
        <v>0.40000000000000013</v>
      </c>
      <c r="H12" s="9">
        <f>SUM(H13:H15)</f>
        <v>989800</v>
      </c>
      <c r="I12" s="10">
        <f t="shared" si="4"/>
        <v>0.3999999999999999</v>
      </c>
      <c r="J12" s="10">
        <f t="shared" si="1"/>
        <v>0.40000000000000013</v>
      </c>
      <c r="K12" s="11">
        <f t="shared" si="2"/>
        <v>1189600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</row>
    <row r="13" spans="1:238" ht="14.25">
      <c r="A13" s="13">
        <v>2.1</v>
      </c>
      <c r="B13" s="14" t="s">
        <v>21</v>
      </c>
      <c r="C13" s="15">
        <f>'Temple Summaries'!K13</f>
        <v>40714.28571428572</v>
      </c>
      <c r="D13" s="15">
        <f>'Temple Summaries'!L13</f>
        <v>274142.85714285716</v>
      </c>
      <c r="E13" s="16">
        <f>C13+D13</f>
        <v>314857.1428571429</v>
      </c>
      <c r="F13" s="9">
        <f>'Temple Summaries'!M13</f>
        <v>57000</v>
      </c>
      <c r="G13" s="10">
        <f t="shared" si="0"/>
        <v>0.3999999999999999</v>
      </c>
      <c r="H13" s="9">
        <f>'Temple Summaries'!N13</f>
        <v>383800</v>
      </c>
      <c r="I13" s="10">
        <f t="shared" si="4"/>
        <v>0.3999999999999999</v>
      </c>
      <c r="J13" s="10">
        <f t="shared" si="1"/>
        <v>0.3999999999999999</v>
      </c>
      <c r="K13" s="11">
        <f t="shared" si="2"/>
        <v>440800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</row>
    <row r="14" spans="1:238" ht="14.25">
      <c r="A14" s="13">
        <v>2.2</v>
      </c>
      <c r="B14" s="14" t="s">
        <v>22</v>
      </c>
      <c r="C14" s="15">
        <f>'Temple Summaries'!K14</f>
        <v>102000</v>
      </c>
      <c r="D14" s="15">
        <f>'Temple Summaries'!L14</f>
        <v>142928.57142857142</v>
      </c>
      <c r="E14" s="16">
        <f>C14+D14</f>
        <v>244928.57142857142</v>
      </c>
      <c r="F14" s="9">
        <f>'Temple Summaries'!M14</f>
        <v>142800</v>
      </c>
      <c r="G14" s="10">
        <f t="shared" si="0"/>
        <v>0.3999999999999999</v>
      </c>
      <c r="H14" s="9">
        <f>'Temple Summaries'!N14</f>
        <v>200099.99999999997</v>
      </c>
      <c r="I14" s="10">
        <f t="shared" si="4"/>
        <v>0.3999999999999999</v>
      </c>
      <c r="J14" s="10">
        <f t="shared" si="1"/>
        <v>0.40000000000000013</v>
      </c>
      <c r="K14" s="11">
        <f t="shared" si="2"/>
        <v>342900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</row>
    <row r="15" spans="1:238" ht="14.25">
      <c r="A15" s="13">
        <v>2.3</v>
      </c>
      <c r="B15" s="14" t="s">
        <v>23</v>
      </c>
      <c r="C15" s="15">
        <f>'Temple Summaries'!K15</f>
        <v>0</v>
      </c>
      <c r="D15" s="15">
        <f>'Temple Summaries'!L15</f>
        <v>289928.5714285714</v>
      </c>
      <c r="E15" s="22">
        <f>C15+D15</f>
        <v>289928.5714285714</v>
      </c>
      <c r="F15" s="9">
        <f>'Temple Summaries'!M15</f>
        <v>0</v>
      </c>
      <c r="G15" s="23"/>
      <c r="H15" s="9">
        <f>'Temple Summaries'!N15</f>
        <v>405899.99999999994</v>
      </c>
      <c r="I15" s="10">
        <f t="shared" si="4"/>
        <v>0.3999999999999999</v>
      </c>
      <c r="J15" s="10">
        <f t="shared" si="1"/>
        <v>0.3999999999999999</v>
      </c>
      <c r="K15" s="11">
        <f t="shared" si="2"/>
        <v>405899.99999999994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</row>
    <row r="16" spans="1:238" ht="14.25">
      <c r="A16" s="24"/>
      <c r="B16" s="7"/>
      <c r="C16" s="15"/>
      <c r="D16" s="25"/>
      <c r="E16" s="20"/>
      <c r="F16" s="9"/>
      <c r="G16" s="9"/>
      <c r="H16" s="26"/>
      <c r="I16" s="26"/>
      <c r="J16" s="26"/>
      <c r="K16" s="11" t="s">
        <v>24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</row>
    <row r="17" spans="1:255" ht="14.25">
      <c r="A17" s="27"/>
      <c r="B17" s="28" t="s">
        <v>25</v>
      </c>
      <c r="C17" s="29">
        <f>C4+C12</f>
        <v>3721500.7259758213</v>
      </c>
      <c r="D17" s="29">
        <f>D4+D12</f>
        <v>3226437.2074599257</v>
      </c>
      <c r="E17" s="29">
        <f>E4+E12</f>
        <v>6947937.933435746</v>
      </c>
      <c r="F17" s="29">
        <f>F4+F12</f>
        <v>5071559.798</v>
      </c>
      <c r="G17" s="29"/>
      <c r="H17" s="29">
        <f>H4+H12</f>
        <v>4449403.652</v>
      </c>
      <c r="I17" s="29"/>
      <c r="J17" s="29"/>
      <c r="K17" s="29">
        <f>K4+K12</f>
        <v>9520963.45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20" ht="15" customHeight="1"/>
    <row r="21" ht="30.75" customHeight="1"/>
  </sheetData>
  <mergeCells count="5">
    <mergeCell ref="K2:K3"/>
    <mergeCell ref="A1:A3"/>
    <mergeCell ref="B1:B3"/>
    <mergeCell ref="C1:G1"/>
    <mergeCell ref="C2:E2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G20" sqref="A1:H20"/>
    </sheetView>
  </sheetViews>
  <sheetFormatPr defaultColWidth="9.00390625" defaultRowHeight="12.75"/>
  <cols>
    <col min="1" max="1" width="27.00390625" style="31" customWidth="1"/>
    <col min="2" max="2" width="7.00390625" style="32" customWidth="1"/>
    <col min="3" max="3" width="0" style="31" hidden="1" customWidth="1"/>
    <col min="4" max="4" width="15.125" style="31" customWidth="1"/>
    <col min="5" max="5" width="15.375" style="31" customWidth="1"/>
    <col min="6" max="6" width="14.875" style="31" customWidth="1"/>
    <col min="7" max="7" width="14.25390625" style="31" customWidth="1"/>
    <col min="8" max="8" width="10.125" style="31" customWidth="1"/>
    <col min="9" max="10" width="8.875" style="31" customWidth="1"/>
    <col min="11" max="11" width="10.00390625" style="31" customWidth="1"/>
    <col min="12" max="12" width="10.75390625" style="31" customWidth="1"/>
    <col min="13" max="13" width="10.00390625" style="31" customWidth="1"/>
    <col min="14" max="14" width="9.875" style="31" customWidth="1"/>
    <col min="15" max="16384" width="8.875" style="31" customWidth="1"/>
  </cols>
  <sheetData>
    <row r="1" spans="1:8" s="37" customFormat="1" ht="12.75">
      <c r="A1" s="33">
        <f ca="1">TODAY()</f>
        <v>36901</v>
      </c>
      <c r="B1" s="34"/>
      <c r="C1" s="35"/>
      <c r="D1" s="35"/>
      <c r="E1" s="34"/>
      <c r="F1" s="36"/>
      <c r="G1" s="36"/>
      <c r="H1" s="36"/>
    </row>
    <row r="2" spans="1:8" s="38" customFormat="1" ht="48.75" customHeight="1">
      <c r="A2" s="121" t="s">
        <v>26</v>
      </c>
      <c r="B2" s="121"/>
      <c r="C2" s="121"/>
      <c r="D2" s="121"/>
      <c r="E2" s="121"/>
      <c r="F2" s="121"/>
      <c r="G2" s="121"/>
      <c r="H2" s="121"/>
    </row>
    <row r="3" spans="1:8" s="38" customFormat="1" ht="8.25" customHeight="1">
      <c r="A3" s="39"/>
      <c r="B3" s="40"/>
      <c r="C3" s="40"/>
      <c r="D3" s="40"/>
      <c r="E3" s="40"/>
      <c r="F3" s="40"/>
      <c r="G3" s="40"/>
      <c r="H3" s="41"/>
    </row>
    <row r="4" spans="1:14" s="38" customFormat="1" ht="12.75" customHeight="1">
      <c r="A4" s="42"/>
      <c r="B4" s="122" t="s">
        <v>27</v>
      </c>
      <c r="C4" s="31"/>
      <c r="D4" s="120" t="s">
        <v>28</v>
      </c>
      <c r="E4" s="120" t="s">
        <v>29</v>
      </c>
      <c r="F4" s="120" t="s">
        <v>30</v>
      </c>
      <c r="G4" s="120" t="s">
        <v>31</v>
      </c>
      <c r="H4" s="41"/>
      <c r="K4" s="38" t="str">
        <f aca="true" t="shared" si="0" ref="K4:N5">K22</f>
        <v>M&amp;S</v>
      </c>
      <c r="L4" s="38" t="str">
        <f t="shared" si="0"/>
        <v>SWF</v>
      </c>
      <c r="M4" s="38" t="str">
        <f t="shared" si="0"/>
        <v>M&amp;S</v>
      </c>
      <c r="N4" s="38" t="str">
        <f t="shared" si="0"/>
        <v>SWF </v>
      </c>
    </row>
    <row r="5" spans="1:14" s="38" customFormat="1" ht="15.75" customHeight="1">
      <c r="A5" s="43" t="s">
        <v>32</v>
      </c>
      <c r="B5" s="122"/>
      <c r="C5" s="44" t="s">
        <v>33</v>
      </c>
      <c r="D5" s="120"/>
      <c r="E5" s="120"/>
      <c r="F5" s="120"/>
      <c r="G5" s="120"/>
      <c r="H5" s="41"/>
      <c r="K5" s="38" t="str">
        <f t="shared" si="0"/>
        <v>Base</v>
      </c>
      <c r="L5" s="38" t="str">
        <f t="shared" si="0"/>
        <v>Base</v>
      </c>
      <c r="M5" s="38" t="str">
        <f t="shared" si="0"/>
        <v>w/ Cont</v>
      </c>
      <c r="N5" s="38" t="str">
        <f t="shared" si="0"/>
        <v>w/ Cont</v>
      </c>
    </row>
    <row r="6" spans="1:14" s="38" customFormat="1" ht="30" customHeight="1">
      <c r="A6" s="45" t="s">
        <v>34</v>
      </c>
      <c r="B6" s="46">
        <v>1.1</v>
      </c>
      <c r="C6" s="31"/>
      <c r="D6" s="113">
        <f aca="true" t="shared" si="1" ref="D6:G11">IF(ISNUMBER(D24),D24,0)+D40</f>
        <v>1322088.758255</v>
      </c>
      <c r="E6" s="113">
        <f t="shared" si="1"/>
        <v>1338358.5389364848</v>
      </c>
      <c r="F6" s="113">
        <f t="shared" si="1"/>
        <v>45073.702808515125</v>
      </c>
      <c r="G6" s="113">
        <f t="shared" si="1"/>
        <v>2705521</v>
      </c>
      <c r="H6" s="41"/>
      <c r="K6" s="47">
        <f aca="true" t="shared" si="2" ref="K6:N15">IF(ISNUMBER(K24),K24,0)+K40</f>
        <v>932685.7678571427</v>
      </c>
      <c r="L6" s="47">
        <f t="shared" si="2"/>
        <v>1015362.1964346764</v>
      </c>
      <c r="M6" s="47">
        <f t="shared" si="2"/>
        <v>1322089.348</v>
      </c>
      <c r="N6" s="47">
        <f t="shared" si="2"/>
        <v>1383401.652</v>
      </c>
    </row>
    <row r="7" spans="1:14" s="38" customFormat="1" ht="17.25" customHeight="1">
      <c r="A7" s="45" t="s">
        <v>35</v>
      </c>
      <c r="B7" s="46">
        <v>1.2</v>
      </c>
      <c r="C7" s="31"/>
      <c r="D7" s="113">
        <f t="shared" si="1"/>
        <v>445864</v>
      </c>
      <c r="E7" s="113">
        <f t="shared" si="1"/>
        <v>369740</v>
      </c>
      <c r="F7" s="113">
        <f t="shared" si="1"/>
        <v>68960</v>
      </c>
      <c r="G7" s="113">
        <f t="shared" si="1"/>
        <v>884564</v>
      </c>
      <c r="H7" s="41"/>
      <c r="K7" s="47">
        <f t="shared" si="2"/>
        <v>298017</v>
      </c>
      <c r="L7" s="47">
        <f t="shared" si="2"/>
        <v>289113</v>
      </c>
      <c r="M7" s="47">
        <f t="shared" si="2"/>
        <v>445864</v>
      </c>
      <c r="N7" s="47">
        <f t="shared" si="2"/>
        <v>438700</v>
      </c>
    </row>
    <row r="8" spans="1:14" s="38" customFormat="1" ht="18" customHeight="1">
      <c r="A8" s="31" t="s">
        <v>36</v>
      </c>
      <c r="B8" s="32">
        <v>1.3</v>
      </c>
      <c r="C8" s="31"/>
      <c r="D8" s="113">
        <f t="shared" si="1"/>
        <v>1263124</v>
      </c>
      <c r="E8" s="113">
        <f t="shared" si="1"/>
        <v>417112</v>
      </c>
      <c r="F8" s="113">
        <f t="shared" si="1"/>
        <v>0</v>
      </c>
      <c r="G8" s="113">
        <f t="shared" si="1"/>
        <v>1680236</v>
      </c>
      <c r="H8" s="41"/>
      <c r="K8" s="47">
        <f t="shared" si="2"/>
        <v>968444.8785524112</v>
      </c>
      <c r="L8" s="47">
        <f t="shared" si="2"/>
        <v>334457.5645966779</v>
      </c>
      <c r="M8" s="47">
        <f t="shared" si="2"/>
        <v>1263125</v>
      </c>
      <c r="N8" s="47">
        <f t="shared" si="2"/>
        <v>417112</v>
      </c>
    </row>
    <row r="9" spans="1:14" s="38" customFormat="1" ht="13.5" customHeight="1">
      <c r="A9" s="48" t="s">
        <v>37</v>
      </c>
      <c r="B9" s="49">
        <v>1.4</v>
      </c>
      <c r="C9" s="31"/>
      <c r="D9" s="113">
        <f t="shared" si="1"/>
        <v>574730</v>
      </c>
      <c r="E9" s="113">
        <f t="shared" si="1"/>
        <v>19714.197281680743</v>
      </c>
      <c r="F9" s="113">
        <f t="shared" si="1"/>
        <v>459358.80271831923</v>
      </c>
      <c r="G9" s="113">
        <f t="shared" si="1"/>
        <v>1053803</v>
      </c>
      <c r="H9" s="41"/>
      <c r="K9" s="47">
        <f t="shared" si="2"/>
        <v>409028.8125</v>
      </c>
      <c r="L9" s="47">
        <f t="shared" si="2"/>
        <v>347249.01785714284</v>
      </c>
      <c r="M9" s="47">
        <f t="shared" si="2"/>
        <v>574730.45</v>
      </c>
      <c r="N9" s="47">
        <f t="shared" si="2"/>
        <v>479072.99999999994</v>
      </c>
    </row>
    <row r="10" spans="1:14" s="38" customFormat="1" ht="13.5" customHeight="1">
      <c r="A10" s="31" t="s">
        <v>38</v>
      </c>
      <c r="B10" s="50">
        <v>1.5</v>
      </c>
      <c r="C10" s="31"/>
      <c r="D10" s="113">
        <f t="shared" si="1"/>
        <v>882105</v>
      </c>
      <c r="E10" s="113">
        <f t="shared" si="1"/>
        <v>0</v>
      </c>
      <c r="F10" s="113">
        <f t="shared" si="1"/>
        <v>0</v>
      </c>
      <c r="G10" s="113">
        <f t="shared" si="1"/>
        <v>882105</v>
      </c>
      <c r="H10" s="41"/>
      <c r="K10" s="47">
        <f t="shared" si="2"/>
        <v>693983.9813519813</v>
      </c>
      <c r="L10" s="47">
        <f t="shared" si="2"/>
        <v>0</v>
      </c>
      <c r="M10" s="47">
        <f t="shared" si="2"/>
        <v>882105</v>
      </c>
      <c r="N10" s="47">
        <f t="shared" si="2"/>
        <v>0</v>
      </c>
    </row>
    <row r="11" spans="1:14" s="38" customFormat="1" ht="13.5" customHeight="1">
      <c r="A11" s="31" t="s">
        <v>39</v>
      </c>
      <c r="B11" s="32">
        <v>1.6</v>
      </c>
      <c r="C11" s="31"/>
      <c r="D11" s="113">
        <f t="shared" si="1"/>
        <v>154666</v>
      </c>
      <c r="E11" s="113">
        <f t="shared" si="1"/>
        <v>512932</v>
      </c>
      <c r="F11" s="113">
        <f t="shared" si="1"/>
        <v>157964</v>
      </c>
      <c r="G11" s="113">
        <f t="shared" si="1"/>
        <v>825562</v>
      </c>
      <c r="H11" s="41"/>
      <c r="K11" s="47">
        <f t="shared" si="2"/>
        <v>127626</v>
      </c>
      <c r="L11" s="47">
        <f t="shared" si="2"/>
        <v>468255.4285714286</v>
      </c>
      <c r="M11" s="47">
        <f t="shared" si="2"/>
        <v>175246</v>
      </c>
      <c r="N11" s="47">
        <f t="shared" si="2"/>
        <v>650317</v>
      </c>
    </row>
    <row r="12" spans="1:14" s="38" customFormat="1" ht="13.5" customHeight="1">
      <c r="A12" s="48" t="s">
        <v>40</v>
      </c>
      <c r="B12" s="32">
        <v>1.7</v>
      </c>
      <c r="C12" s="31"/>
      <c r="D12" s="113">
        <f aca="true" t="shared" si="3" ref="D12:F15">IF(ISNUMBER(D30),D30,0)</f>
        <v>208600</v>
      </c>
      <c r="E12" s="113">
        <f t="shared" si="3"/>
        <v>0</v>
      </c>
      <c r="F12" s="113">
        <f t="shared" si="3"/>
        <v>91000</v>
      </c>
      <c r="G12" s="113">
        <f>IF(ISNUMBER(G30),G30,0)</f>
        <v>299600</v>
      </c>
      <c r="H12" s="41"/>
      <c r="K12" s="47">
        <f t="shared" si="2"/>
        <v>149000</v>
      </c>
      <c r="L12" s="47">
        <f t="shared" si="2"/>
        <v>65000.00000000001</v>
      </c>
      <c r="M12" s="47">
        <f t="shared" si="2"/>
        <v>208600</v>
      </c>
      <c r="N12" s="47">
        <f t="shared" si="2"/>
        <v>91000</v>
      </c>
    </row>
    <row r="13" spans="1:14" s="38" customFormat="1" ht="13.5" customHeight="1">
      <c r="A13" s="48" t="s">
        <v>41</v>
      </c>
      <c r="B13" s="32">
        <v>2.1</v>
      </c>
      <c r="C13" s="31"/>
      <c r="D13" s="113">
        <f t="shared" si="3"/>
        <v>57000</v>
      </c>
      <c r="E13" s="113">
        <f t="shared" si="3"/>
        <v>184400.00000000003</v>
      </c>
      <c r="F13" s="113">
        <f t="shared" si="3"/>
        <v>199399.99999999997</v>
      </c>
      <c r="G13" s="113">
        <f>IF(ISNUMBER(G31),G31,0)</f>
        <v>440800</v>
      </c>
      <c r="H13" s="41"/>
      <c r="K13" s="47">
        <f t="shared" si="2"/>
        <v>40714.28571428572</v>
      </c>
      <c r="L13" s="47">
        <f t="shared" si="2"/>
        <v>274142.85714285716</v>
      </c>
      <c r="M13" s="47">
        <f t="shared" si="2"/>
        <v>57000</v>
      </c>
      <c r="N13" s="47">
        <f t="shared" si="2"/>
        <v>383800</v>
      </c>
    </row>
    <row r="14" spans="1:14" s="38" customFormat="1" ht="13.5" customHeight="1">
      <c r="A14" s="48" t="s">
        <v>42</v>
      </c>
      <c r="B14" s="32">
        <v>2.2</v>
      </c>
      <c r="C14" s="31"/>
      <c r="D14" s="113">
        <f t="shared" si="3"/>
        <v>142800</v>
      </c>
      <c r="E14" s="113">
        <f t="shared" si="3"/>
        <v>150099.99999999997</v>
      </c>
      <c r="F14" s="113">
        <f t="shared" si="3"/>
        <v>50000</v>
      </c>
      <c r="G14" s="113">
        <f>IF(ISNUMBER(G32),G32,0)</f>
        <v>342900</v>
      </c>
      <c r="H14" s="41"/>
      <c r="K14" s="47">
        <f t="shared" si="2"/>
        <v>102000</v>
      </c>
      <c r="L14" s="47">
        <f t="shared" si="2"/>
        <v>142928.57142857142</v>
      </c>
      <c r="M14" s="47">
        <f t="shared" si="2"/>
        <v>142800</v>
      </c>
      <c r="N14" s="47">
        <f t="shared" si="2"/>
        <v>200099.99999999997</v>
      </c>
    </row>
    <row r="15" spans="1:14" s="38" customFormat="1" ht="13.5" customHeight="1">
      <c r="A15" s="48" t="s">
        <v>43</v>
      </c>
      <c r="B15" s="32">
        <v>2.3</v>
      </c>
      <c r="C15" s="31"/>
      <c r="D15" s="113">
        <f t="shared" si="3"/>
        <v>0</v>
      </c>
      <c r="E15" s="113">
        <f t="shared" si="3"/>
        <v>405899.99999999994</v>
      </c>
      <c r="F15" s="113">
        <f t="shared" si="3"/>
        <v>0</v>
      </c>
      <c r="G15" s="113">
        <f>IF(ISNUMBER(G33),G33,0)</f>
        <v>405899.99999999994</v>
      </c>
      <c r="H15" s="41"/>
      <c r="K15" s="47">
        <f t="shared" si="2"/>
        <v>0</v>
      </c>
      <c r="L15" s="47">
        <f t="shared" si="2"/>
        <v>289928.5714285714</v>
      </c>
      <c r="M15" s="47">
        <f t="shared" si="2"/>
        <v>0</v>
      </c>
      <c r="N15" s="47">
        <f t="shared" si="2"/>
        <v>405899.99999999994</v>
      </c>
    </row>
    <row r="16" spans="1:8" s="38" customFormat="1" ht="6.75" customHeight="1">
      <c r="A16" s="48"/>
      <c r="B16" s="32"/>
      <c r="C16" s="31"/>
      <c r="D16" s="114"/>
      <c r="E16" s="114"/>
      <c r="F16" s="115"/>
      <c r="G16" s="114"/>
      <c r="H16" s="41"/>
    </row>
    <row r="17" spans="1:14" s="38" customFormat="1" ht="15.75" customHeight="1">
      <c r="A17" s="51" t="s">
        <v>44</v>
      </c>
      <c r="B17" s="32"/>
      <c r="C17" s="31"/>
      <c r="D17" s="113">
        <f>SUM(D6:D15)</f>
        <v>5050977.758255</v>
      </c>
      <c r="E17" s="113">
        <f>SUM(E6:E15)</f>
        <v>3398256.736218165</v>
      </c>
      <c r="F17" s="113">
        <f>SUM(F6:F15)</f>
        <v>1071756.5055268344</v>
      </c>
      <c r="G17" s="113">
        <f>SUM(G6:G15)</f>
        <v>9520991</v>
      </c>
      <c r="H17" s="41"/>
      <c r="K17" s="52">
        <f>SUM(K6:K15)</f>
        <v>3721500.7259758213</v>
      </c>
      <c r="L17" s="52">
        <f>SUM(L6:L15)</f>
        <v>3226437.2074599257</v>
      </c>
      <c r="M17" s="52">
        <f>SUM(M6:M15)</f>
        <v>5071559.798</v>
      </c>
      <c r="N17" s="52">
        <f>SUM(N6:N15)</f>
        <v>4449403.652</v>
      </c>
    </row>
    <row r="18" spans="1:8" s="37" customFormat="1" ht="12.75" customHeight="1">
      <c r="A18" s="48"/>
      <c r="B18" s="53"/>
      <c r="C18" s="32"/>
      <c r="D18" s="47"/>
      <c r="E18" s="47"/>
      <c r="F18" s="47"/>
      <c r="G18" s="47"/>
      <c r="H18" s="54"/>
    </row>
    <row r="19" spans="1:8" s="37" customFormat="1" ht="12.75" customHeight="1">
      <c r="A19" s="48"/>
      <c r="B19" s="53"/>
      <c r="C19" s="32"/>
      <c r="D19" s="47" t="s">
        <v>346</v>
      </c>
      <c r="E19" s="116" t="s">
        <v>344</v>
      </c>
      <c r="F19" s="47"/>
      <c r="G19" s="47"/>
      <c r="H19" s="54"/>
    </row>
    <row r="20" spans="1:8" s="37" customFormat="1" ht="12.75" customHeight="1">
      <c r="A20" s="48"/>
      <c r="B20" s="53"/>
      <c r="C20" s="32"/>
      <c r="D20" s="47" t="s">
        <v>347</v>
      </c>
      <c r="E20" s="117" t="s">
        <v>345</v>
      </c>
      <c r="F20" s="47"/>
      <c r="G20" s="47"/>
      <c r="H20" s="54"/>
    </row>
    <row r="21" spans="1:8" s="37" customFormat="1" ht="12.75" customHeight="1">
      <c r="A21" s="48"/>
      <c r="B21" s="53"/>
      <c r="C21" s="32"/>
      <c r="D21" s="47"/>
      <c r="E21" s="47"/>
      <c r="F21" s="47"/>
      <c r="G21" s="47"/>
      <c r="H21" s="54"/>
    </row>
    <row r="22" spans="1:14" ht="12" customHeight="1">
      <c r="A22" s="42" t="s">
        <v>45</v>
      </c>
      <c r="B22" s="122" t="s">
        <v>46</v>
      </c>
      <c r="D22" s="120" t="s">
        <v>47</v>
      </c>
      <c r="E22" s="120" t="s">
        <v>48</v>
      </c>
      <c r="F22" s="120" t="s">
        <v>49</v>
      </c>
      <c r="G22" s="120" t="s">
        <v>50</v>
      </c>
      <c r="K22" s="31" t="str">
        <f aca="true" t="shared" si="4" ref="K22:N23">K38</f>
        <v>M&amp;S</v>
      </c>
      <c r="L22" s="31" t="str">
        <f t="shared" si="4"/>
        <v>SWF</v>
      </c>
      <c r="M22" s="31" t="str">
        <f t="shared" si="4"/>
        <v>M&amp;S</v>
      </c>
      <c r="N22" s="31" t="str">
        <f t="shared" si="4"/>
        <v>SWF </v>
      </c>
    </row>
    <row r="23" spans="1:14" ht="12.75" customHeight="1">
      <c r="A23" s="43" t="s">
        <v>51</v>
      </c>
      <c r="B23" s="122"/>
      <c r="C23" s="44" t="s">
        <v>52</v>
      </c>
      <c r="D23" s="120"/>
      <c r="E23" s="120"/>
      <c r="F23" s="120"/>
      <c r="G23" s="120"/>
      <c r="K23" s="31" t="str">
        <f t="shared" si="4"/>
        <v>Base</v>
      </c>
      <c r="L23" s="31" t="str">
        <f t="shared" si="4"/>
        <v>Base</v>
      </c>
      <c r="M23" s="31" t="str">
        <f t="shared" si="4"/>
        <v>w/ Cont</v>
      </c>
      <c r="N23" s="31" t="str">
        <f t="shared" si="4"/>
        <v>w/ Cont</v>
      </c>
    </row>
    <row r="24" spans="1:14" ht="25.5">
      <c r="A24" s="45" t="s">
        <v>53</v>
      </c>
      <c r="B24" s="46">
        <v>1.1</v>
      </c>
      <c r="D24" s="47">
        <v>0</v>
      </c>
      <c r="E24" s="47">
        <f>(232000+2000+80000)*$I$26</f>
        <v>439600</v>
      </c>
      <c r="F24" s="47">
        <v>0</v>
      </c>
      <c r="G24" s="47">
        <f aca="true" t="shared" si="5" ref="G24:G33">SUM(D24:F24)</f>
        <v>439600</v>
      </c>
      <c r="K24" s="31">
        <f aca="true" t="shared" si="6" ref="K24:K33">D24/$I$26</f>
        <v>0</v>
      </c>
      <c r="L24" s="31">
        <f aca="true" t="shared" si="7" ref="L24:L33">(F24+E24)/$I$26</f>
        <v>314000</v>
      </c>
      <c r="M24" s="31">
        <f aca="true" t="shared" si="8" ref="M24:M33">K24*$I$26</f>
        <v>0</v>
      </c>
      <c r="N24" s="31">
        <f aca="true" t="shared" si="9" ref="N24:N33">L24*$I$26</f>
        <v>439600</v>
      </c>
    </row>
    <row r="25" spans="1:14" ht="12.75">
      <c r="A25" s="45" t="s">
        <v>54</v>
      </c>
      <c r="B25" s="46">
        <v>1.2</v>
      </c>
      <c r="D25" s="47">
        <v>0</v>
      </c>
      <c r="E25" s="47">
        <f>(2000+34000+2000)*$I$26</f>
        <v>53200</v>
      </c>
      <c r="F25" s="47">
        <f>3000*$I$26</f>
        <v>4200</v>
      </c>
      <c r="G25" s="47">
        <f t="shared" si="5"/>
        <v>57400</v>
      </c>
      <c r="I25" s="48" t="s">
        <v>55</v>
      </c>
      <c r="K25" s="31">
        <f t="shared" si="6"/>
        <v>0</v>
      </c>
      <c r="L25" s="31">
        <f t="shared" si="7"/>
        <v>41000</v>
      </c>
      <c r="M25" s="31">
        <f t="shared" si="8"/>
        <v>0</v>
      </c>
      <c r="N25" s="31">
        <f t="shared" si="9"/>
        <v>57399.99999999999</v>
      </c>
    </row>
    <row r="26" spans="1:14" ht="12.75">
      <c r="A26" s="31" t="s">
        <v>56</v>
      </c>
      <c r="B26" s="32">
        <v>1.3</v>
      </c>
      <c r="D26" s="47">
        <v>0</v>
      </c>
      <c r="E26" s="47">
        <v>0</v>
      </c>
      <c r="F26" s="47">
        <v>0</v>
      </c>
      <c r="G26" s="47">
        <f t="shared" si="5"/>
        <v>0</v>
      </c>
      <c r="I26" s="31">
        <v>1.4</v>
      </c>
      <c r="K26" s="31">
        <f t="shared" si="6"/>
        <v>0</v>
      </c>
      <c r="L26" s="31">
        <f t="shared" si="7"/>
        <v>0</v>
      </c>
      <c r="M26" s="31">
        <f t="shared" si="8"/>
        <v>0</v>
      </c>
      <c r="N26" s="31">
        <f t="shared" si="9"/>
        <v>0</v>
      </c>
    </row>
    <row r="27" spans="1:14" ht="12.75">
      <c r="A27" s="48" t="s">
        <v>57</v>
      </c>
      <c r="B27" s="49">
        <v>1.4</v>
      </c>
      <c r="D27" s="47">
        <f>0*$I$26</f>
        <v>0</v>
      </c>
      <c r="E27" s="47">
        <v>0</v>
      </c>
      <c r="F27" s="47">
        <f>(186000/1.4+9000+130000)*$I$26</f>
        <v>380599.99999999994</v>
      </c>
      <c r="G27" s="47">
        <f t="shared" si="5"/>
        <v>380599.99999999994</v>
      </c>
      <c r="K27" s="31">
        <f t="shared" si="6"/>
        <v>0</v>
      </c>
      <c r="L27" s="31">
        <f t="shared" si="7"/>
        <v>271857.14285714284</v>
      </c>
      <c r="M27" s="31">
        <f t="shared" si="8"/>
        <v>0</v>
      </c>
      <c r="N27" s="31">
        <f t="shared" si="9"/>
        <v>380599.99999999994</v>
      </c>
    </row>
    <row r="28" spans="1:14" ht="12.75">
      <c r="A28" s="31" t="s">
        <v>58</v>
      </c>
      <c r="B28" s="50">
        <v>1.5</v>
      </c>
      <c r="D28" s="47">
        <v>0</v>
      </c>
      <c r="E28" s="47">
        <v>0</v>
      </c>
      <c r="F28" s="47">
        <v>0</v>
      </c>
      <c r="G28" s="47">
        <f t="shared" si="5"/>
        <v>0</v>
      </c>
      <c r="K28" s="31">
        <f t="shared" si="6"/>
        <v>0</v>
      </c>
      <c r="L28" s="31">
        <f t="shared" si="7"/>
        <v>0</v>
      </c>
      <c r="M28" s="31">
        <f t="shared" si="8"/>
        <v>0</v>
      </c>
      <c r="N28" s="31">
        <f t="shared" si="9"/>
        <v>0</v>
      </c>
    </row>
    <row r="29" spans="1:14" ht="12.75">
      <c r="A29" s="31" t="s">
        <v>59</v>
      </c>
      <c r="B29" s="32">
        <v>1.6</v>
      </c>
      <c r="D29" s="47">
        <v>0</v>
      </c>
      <c r="E29" s="47">
        <f>(19000/1.4+33000/1.4+103000/1.4+5000/1.4+130000/2)*$I$26</f>
        <v>251000</v>
      </c>
      <c r="F29" s="47">
        <f>(64000/1.4/2+16000/1.4)*$I$26</f>
        <v>48000</v>
      </c>
      <c r="G29" s="47">
        <f t="shared" si="5"/>
        <v>299000</v>
      </c>
      <c r="K29" s="31">
        <f t="shared" si="6"/>
        <v>0</v>
      </c>
      <c r="L29" s="31">
        <f t="shared" si="7"/>
        <v>213571.42857142858</v>
      </c>
      <c r="M29" s="31">
        <f t="shared" si="8"/>
        <v>0</v>
      </c>
      <c r="N29" s="31">
        <f t="shared" si="9"/>
        <v>299000</v>
      </c>
    </row>
    <row r="30" spans="1:14" ht="12.75">
      <c r="A30" s="48" t="s">
        <v>60</v>
      </c>
      <c r="B30" s="32">
        <v>1.7</v>
      </c>
      <c r="D30" s="47">
        <f>(39000+110000)*$I$26</f>
        <v>208600</v>
      </c>
      <c r="E30" s="47">
        <v>0</v>
      </c>
      <c r="F30" s="55">
        <f>65000*$I$26</f>
        <v>91000</v>
      </c>
      <c r="G30" s="47">
        <f t="shared" si="5"/>
        <v>299600</v>
      </c>
      <c r="K30" s="31">
        <f t="shared" si="6"/>
        <v>149000</v>
      </c>
      <c r="L30" s="31">
        <f t="shared" si="7"/>
        <v>65000.00000000001</v>
      </c>
      <c r="M30" s="31">
        <f t="shared" si="8"/>
        <v>208600</v>
      </c>
      <c r="N30" s="31">
        <f t="shared" si="9"/>
        <v>91000</v>
      </c>
    </row>
    <row r="31" spans="1:14" ht="12.75">
      <c r="A31" s="48" t="s">
        <v>61</v>
      </c>
      <c r="B31" s="32">
        <v>2.1</v>
      </c>
      <c r="D31" s="47">
        <f>(22000/1.4+25000)*$I$26</f>
        <v>57000</v>
      </c>
      <c r="E31" s="47">
        <f>(72000/1.4+104000/1.4+6000)*$I$26</f>
        <v>184400.00000000003</v>
      </c>
      <c r="F31" s="55">
        <f>(64000/1.4/2+15000/1.4+15000/1.4+64000/1.4+36000/1.4+36000/1.4+1400/1.4)*$I$26</f>
        <v>199399.99999999997</v>
      </c>
      <c r="G31" s="47">
        <f t="shared" si="5"/>
        <v>440800</v>
      </c>
      <c r="K31" s="31">
        <f t="shared" si="6"/>
        <v>40714.28571428572</v>
      </c>
      <c r="L31" s="31">
        <f t="shared" si="7"/>
        <v>274142.85714285716</v>
      </c>
      <c r="M31" s="31">
        <f t="shared" si="8"/>
        <v>57000</v>
      </c>
      <c r="N31" s="31">
        <f t="shared" si="9"/>
        <v>383800</v>
      </c>
    </row>
    <row r="32" spans="1:14" ht="12.75">
      <c r="A32" s="48" t="s">
        <v>62</v>
      </c>
      <c r="B32" s="32">
        <v>2.2</v>
      </c>
      <c r="D32" s="47">
        <f>(9000+12000+81000)*$I$26</f>
        <v>142800</v>
      </c>
      <c r="E32" s="47">
        <f>(34000/1.4+2000/1.4+49000+130000/4)*$I$26</f>
        <v>150099.99999999997</v>
      </c>
      <c r="F32" s="55">
        <f>50000/1.4*$I$26</f>
        <v>50000</v>
      </c>
      <c r="G32" s="47">
        <f t="shared" si="5"/>
        <v>342900</v>
      </c>
      <c r="I32" s="48" t="s">
        <v>63</v>
      </c>
      <c r="K32" s="31">
        <f t="shared" si="6"/>
        <v>102000</v>
      </c>
      <c r="L32" s="31">
        <f t="shared" si="7"/>
        <v>142928.57142857142</v>
      </c>
      <c r="M32" s="31">
        <f t="shared" si="8"/>
        <v>142800</v>
      </c>
      <c r="N32" s="31">
        <f t="shared" si="9"/>
        <v>200099.99999999997</v>
      </c>
    </row>
    <row r="33" spans="1:14" ht="12.75">
      <c r="A33" s="48" t="s">
        <v>64</v>
      </c>
      <c r="B33" s="32">
        <v>2.3</v>
      </c>
      <c r="D33" s="47">
        <v>0</v>
      </c>
      <c r="E33" s="47">
        <f>(130000/4+1400/1.4+115000/1.4+1000/1.4+100000+7000/1.4+10000/1.4+86000/1.4)*$I$26</f>
        <v>405899.99999999994</v>
      </c>
      <c r="F33" s="55">
        <v>0</v>
      </c>
      <c r="G33" s="47">
        <f t="shared" si="5"/>
        <v>405899.99999999994</v>
      </c>
      <c r="K33" s="31">
        <f t="shared" si="6"/>
        <v>0</v>
      </c>
      <c r="L33" s="31">
        <f t="shared" si="7"/>
        <v>289928.5714285714</v>
      </c>
      <c r="M33" s="31">
        <f t="shared" si="8"/>
        <v>0</v>
      </c>
      <c r="N33" s="31">
        <f t="shared" si="9"/>
        <v>405899.99999999994</v>
      </c>
    </row>
    <row r="34" spans="1:7" ht="13.5" customHeight="1">
      <c r="A34" s="48"/>
      <c r="D34" s="47"/>
      <c r="E34" s="47"/>
      <c r="F34" s="55"/>
      <c r="G34" s="47"/>
    </row>
    <row r="35" spans="1:7" ht="12.75">
      <c r="A35" s="51" t="s">
        <v>65</v>
      </c>
      <c r="D35" s="52">
        <f>SUM(D24:D33)</f>
        <v>408400</v>
      </c>
      <c r="E35" s="52">
        <f>SUM(E24:E33)</f>
        <v>1484200</v>
      </c>
      <c r="F35" s="52">
        <f>SUM(F24:F33)</f>
        <v>773199.9999999999</v>
      </c>
      <c r="G35" s="52">
        <f>SUM(D35:F35)</f>
        <v>2665800</v>
      </c>
    </row>
    <row r="36" spans="1:8" ht="12.75">
      <c r="A36" s="48"/>
      <c r="B36" s="53"/>
      <c r="C36" s="32"/>
      <c r="D36" s="47"/>
      <c r="E36" s="47"/>
      <c r="F36" s="47"/>
      <c r="G36" s="47"/>
      <c r="H36" s="47"/>
    </row>
    <row r="37" spans="1:8" ht="12.75">
      <c r="A37" s="48"/>
      <c r="B37" s="53"/>
      <c r="C37" s="32"/>
      <c r="D37" s="47"/>
      <c r="E37" s="47"/>
      <c r="F37" s="47"/>
      <c r="G37" s="47"/>
      <c r="H37" s="47"/>
    </row>
    <row r="38" spans="1:14" ht="12.75">
      <c r="A38" s="42" t="s">
        <v>66</v>
      </c>
      <c r="B38" s="122" t="s">
        <v>67</v>
      </c>
      <c r="D38" s="120" t="s">
        <v>68</v>
      </c>
      <c r="E38" s="120" t="s">
        <v>69</v>
      </c>
      <c r="F38" s="120" t="s">
        <v>70</v>
      </c>
      <c r="G38" s="120" t="s">
        <v>71</v>
      </c>
      <c r="H38" s="124" t="s">
        <v>343</v>
      </c>
      <c r="K38" s="31" t="str">
        <f>'Project Summary'!J4</f>
        <v>M&amp;S</v>
      </c>
      <c r="L38" s="31" t="str">
        <f>'Project Summary'!K4</f>
        <v>SWF</v>
      </c>
      <c r="M38" s="31" t="str">
        <f>'Project Summary'!L4</f>
        <v>M&amp;S</v>
      </c>
      <c r="N38" s="31" t="str">
        <f>'Project Summary'!M4</f>
        <v>SWF </v>
      </c>
    </row>
    <row r="39" spans="1:14" ht="12.75" customHeight="1">
      <c r="A39" s="43" t="s">
        <v>72</v>
      </c>
      <c r="B39" s="122"/>
      <c r="C39" s="44" t="s">
        <v>73</v>
      </c>
      <c r="D39" s="120"/>
      <c r="E39" s="120"/>
      <c r="F39" s="120"/>
      <c r="G39" s="120"/>
      <c r="H39" s="124"/>
      <c r="K39" s="31" t="str">
        <f>'Project Summary'!J5</f>
        <v>Base</v>
      </c>
      <c r="L39" s="31" t="str">
        <f>'Project Summary'!K5</f>
        <v>Base</v>
      </c>
      <c r="M39" s="31" t="str">
        <f>'Project Summary'!L5</f>
        <v>w/ Cont</v>
      </c>
      <c r="N39" s="31" t="str">
        <f>'Project Summary'!M5</f>
        <v>w/ Cont</v>
      </c>
    </row>
    <row r="40" spans="1:14" ht="25.5">
      <c r="A40" s="45" t="s">
        <v>74</v>
      </c>
      <c r="B40" s="46">
        <v>1.1</v>
      </c>
      <c r="D40" s="47">
        <f>1262666+G51*(1-H40)</f>
        <v>1322088.758255</v>
      </c>
      <c r="E40" s="47">
        <f>648042+G51/(E51+F51)*E51*H40</f>
        <v>898758.5389364848</v>
      </c>
      <c r="F40" s="47">
        <f>32500+G51/(E51+F51)*F51*H40</f>
        <v>45073.702808515125</v>
      </c>
      <c r="G40" s="47">
        <f>SUM(D40:F40)</f>
        <v>2265921</v>
      </c>
      <c r="H40" s="48">
        <v>0.815865</v>
      </c>
      <c r="K40" s="56">
        <f>'Project Summary'!J22</f>
        <v>932685.7678571427</v>
      </c>
      <c r="L40" s="56">
        <f>'Project Summary'!K22</f>
        <v>701362.1964346764</v>
      </c>
      <c r="M40" s="56">
        <f>'Project Summary'!L22</f>
        <v>1322089.348</v>
      </c>
      <c r="N40" s="56">
        <f>'Project Summary'!M22</f>
        <v>943801.652</v>
      </c>
    </row>
    <row r="41" spans="1:14" ht="12.75">
      <c r="A41" s="45" t="s">
        <v>75</v>
      </c>
      <c r="B41" s="46">
        <v>1.2</v>
      </c>
      <c r="D41" s="47">
        <v>445864</v>
      </c>
      <c r="E41" s="47">
        <v>316540</v>
      </c>
      <c r="F41" s="47">
        <v>64760</v>
      </c>
      <c r="G41" s="47">
        <f>SUM(D41:F41)</f>
        <v>827164</v>
      </c>
      <c r="K41" s="56">
        <f>'Project Summary'!J23</f>
        <v>298017</v>
      </c>
      <c r="L41" s="56">
        <f>'Project Summary'!K23</f>
        <v>248113</v>
      </c>
      <c r="M41" s="56">
        <f>'Project Summary'!L23</f>
        <v>445864</v>
      </c>
      <c r="N41" s="56">
        <f>'Project Summary'!M23</f>
        <v>381300</v>
      </c>
    </row>
    <row r="42" spans="1:14" ht="12.75">
      <c r="A42" s="31" t="s">
        <v>76</v>
      </c>
      <c r="B42" s="32">
        <v>1.3</v>
      </c>
      <c r="D42" s="47">
        <v>1263124</v>
      </c>
      <c r="E42" s="47">
        <f>285600+G53</f>
        <v>417112</v>
      </c>
      <c r="F42" s="47">
        <v>0</v>
      </c>
      <c r="G42" s="47">
        <f>SUM(D42:F42)</f>
        <v>1680236</v>
      </c>
      <c r="K42" s="56">
        <f>'Project Summary'!J24</f>
        <v>968444.8785524112</v>
      </c>
      <c r="L42" s="56">
        <f>'Project Summary'!K24</f>
        <v>334457.5645966779</v>
      </c>
      <c r="M42" s="56">
        <f>'Project Summary'!L24</f>
        <v>1263125</v>
      </c>
      <c r="N42" s="56">
        <f>'Project Summary'!M24</f>
        <v>417112</v>
      </c>
    </row>
    <row r="43" spans="1:14" ht="12.75">
      <c r="A43" s="48" t="s">
        <v>77</v>
      </c>
      <c r="B43" s="49">
        <v>1.4</v>
      </c>
      <c r="D43" s="47">
        <v>574730</v>
      </c>
      <c r="E43" s="47">
        <f>17705+G54/(E54+F54)*E54</f>
        <v>19714.197281680743</v>
      </c>
      <c r="F43" s="47">
        <f>70732+G54/(F54+E54)*F54</f>
        <v>78758.80271831926</v>
      </c>
      <c r="G43" s="47">
        <f>SUM(D43:F43)</f>
        <v>673203</v>
      </c>
      <c r="K43" s="56">
        <f>'Project Summary'!J25</f>
        <v>409028.8125</v>
      </c>
      <c r="L43" s="56">
        <f>'Project Summary'!K25</f>
        <v>75391.875</v>
      </c>
      <c r="M43" s="56">
        <f>'Project Summary'!L25</f>
        <v>574730.45</v>
      </c>
      <c r="N43" s="56">
        <f>'Project Summary'!M25</f>
        <v>98473</v>
      </c>
    </row>
    <row r="44" spans="1:14" ht="12.75">
      <c r="A44" s="31" t="s">
        <v>78</v>
      </c>
      <c r="B44" s="50">
        <v>1.5</v>
      </c>
      <c r="D44" s="47">
        <v>882105</v>
      </c>
      <c r="E44" s="47">
        <v>0</v>
      </c>
      <c r="F44" s="47">
        <v>0</v>
      </c>
      <c r="G44" s="47">
        <f>SUM(D44:F44)</f>
        <v>882105</v>
      </c>
      <c r="K44" s="56">
        <f>'Project Summary'!J26</f>
        <v>693983.9813519813</v>
      </c>
      <c r="L44" s="56">
        <f>'Project Summary'!K26</f>
        <v>0</v>
      </c>
      <c r="M44" s="56">
        <f>'Project Summary'!L26</f>
        <v>882105</v>
      </c>
      <c r="N44" s="56">
        <f>'Project Summary'!M26</f>
        <v>0</v>
      </c>
    </row>
    <row r="45" spans="1:14" ht="12.75">
      <c r="A45" s="31" t="s">
        <v>79</v>
      </c>
      <c r="B45" s="32">
        <v>1.6</v>
      </c>
      <c r="D45" s="47">
        <v>154666</v>
      </c>
      <c r="E45" s="47">
        <v>261932</v>
      </c>
      <c r="F45" s="47">
        <v>109964</v>
      </c>
      <c r="G45" s="47">
        <f>SUM(D45:F45)</f>
        <v>526562</v>
      </c>
      <c r="K45" s="56">
        <f>'Project Summary'!J27</f>
        <v>127626</v>
      </c>
      <c r="L45" s="56">
        <f>'Project Summary'!K27</f>
        <v>254684</v>
      </c>
      <c r="M45" s="56">
        <f>'Project Summary'!L27</f>
        <v>175246</v>
      </c>
      <c r="N45" s="56">
        <f>'Project Summary'!M27</f>
        <v>351317</v>
      </c>
    </row>
    <row r="46" spans="4:7" ht="12.75">
      <c r="D46" s="47"/>
      <c r="E46" s="47"/>
      <c r="F46" s="1"/>
      <c r="G46" s="1"/>
    </row>
    <row r="47" spans="1:7" ht="12.75">
      <c r="A47" s="51" t="s">
        <v>80</v>
      </c>
      <c r="D47" s="52">
        <f>SUM(D40:D45)</f>
        <v>4642577.758255</v>
      </c>
      <c r="E47" s="52">
        <f>SUM(E40:E45)</f>
        <v>1914056.7362181656</v>
      </c>
      <c r="F47" s="52">
        <f>SUM(F40:F45)</f>
        <v>298556.5055268344</v>
      </c>
      <c r="G47" s="52">
        <f>SUM(D47:F47)</f>
        <v>6855191</v>
      </c>
    </row>
    <row r="48" spans="1:7" ht="12.75">
      <c r="A48" s="48"/>
      <c r="B48" s="53"/>
      <c r="C48" s="32"/>
      <c r="D48" s="47"/>
      <c r="E48" s="47"/>
      <c r="F48" s="47"/>
      <c r="G48" s="47"/>
    </row>
    <row r="49" spans="2:8" ht="12.75">
      <c r="B49" s="122" t="s">
        <v>81</v>
      </c>
      <c r="D49" s="120" t="s">
        <v>82</v>
      </c>
      <c r="E49" s="120" t="s">
        <v>83</v>
      </c>
      <c r="F49" s="120" t="s">
        <v>84</v>
      </c>
      <c r="G49" s="120" t="s">
        <v>85</v>
      </c>
      <c r="H49" s="120" t="s">
        <v>86</v>
      </c>
    </row>
    <row r="50" spans="1:14" ht="12.75" customHeight="1">
      <c r="A50" s="43" t="s">
        <v>87</v>
      </c>
      <c r="B50" s="122"/>
      <c r="C50" s="44" t="s">
        <v>88</v>
      </c>
      <c r="D50" s="120"/>
      <c r="E50" s="120"/>
      <c r="F50" s="120"/>
      <c r="G50" s="120"/>
      <c r="H50" s="120"/>
      <c r="N50" s="131" t="s">
        <v>24</v>
      </c>
    </row>
    <row r="51" spans="1:14" ht="25.5">
      <c r="A51" s="45" t="s">
        <v>89</v>
      </c>
      <c r="B51" s="46">
        <v>1.1</v>
      </c>
      <c r="D51" s="47">
        <f>'Project Summary'!D22</f>
        <v>1262666</v>
      </c>
      <c r="E51" s="47">
        <f>'Project Summary'!E22</f>
        <v>648042</v>
      </c>
      <c r="F51" s="47">
        <f>'Project Summary'!F22</f>
        <v>32500</v>
      </c>
      <c r="G51" s="47">
        <f>'Project Summary'!G22</f>
        <v>322713</v>
      </c>
      <c r="H51" s="47">
        <f>'Project Summary'!H22</f>
        <v>2265921</v>
      </c>
      <c r="N51" s="131" t="s">
        <v>24</v>
      </c>
    </row>
    <row r="52" spans="1:8" ht="12.75">
      <c r="A52" s="45" t="s">
        <v>90</v>
      </c>
      <c r="B52" s="46">
        <v>1.2</v>
      </c>
      <c r="D52" s="47">
        <f>'Project Summary'!D23</f>
        <v>445864</v>
      </c>
      <c r="E52" s="47">
        <f>'Project Summary'!E23</f>
        <v>316540</v>
      </c>
      <c r="F52" s="47">
        <f>'Project Summary'!F23</f>
        <v>64760</v>
      </c>
      <c r="G52" s="47">
        <f>'Project Summary'!G23</f>
        <v>0</v>
      </c>
      <c r="H52" s="47">
        <f>'Project Summary'!H23</f>
        <v>827164</v>
      </c>
    </row>
    <row r="53" spans="1:8" ht="12.75">
      <c r="A53" s="31" t="s">
        <v>91</v>
      </c>
      <c r="B53" s="32">
        <v>1.3</v>
      </c>
      <c r="D53" s="47">
        <f>'Project Summary'!D24</f>
        <v>1263124</v>
      </c>
      <c r="E53" s="47">
        <f>'Project Summary'!E24</f>
        <v>285600</v>
      </c>
      <c r="F53" s="47">
        <f>'Project Summary'!F24</f>
        <v>0</v>
      </c>
      <c r="G53" s="47">
        <f>'Project Summary'!G24</f>
        <v>131512</v>
      </c>
      <c r="H53" s="47">
        <f>'Project Summary'!H24</f>
        <v>1680236</v>
      </c>
    </row>
    <row r="54" spans="1:8" ht="12.75">
      <c r="A54" s="48" t="s">
        <v>92</v>
      </c>
      <c r="B54" s="49">
        <v>1.4</v>
      </c>
      <c r="D54" s="47">
        <f>'Project Summary'!D25</f>
        <v>574730</v>
      </c>
      <c r="E54" s="47">
        <f>'Project Summary'!E25</f>
        <v>17705</v>
      </c>
      <c r="F54" s="47">
        <f>'Project Summary'!F25</f>
        <v>70732</v>
      </c>
      <c r="G54" s="47">
        <f>'Project Summary'!G25</f>
        <v>10036</v>
      </c>
      <c r="H54" s="47">
        <f>'Project Summary'!H25</f>
        <v>673203</v>
      </c>
    </row>
    <row r="55" spans="1:8" ht="12.75">
      <c r="A55" s="31" t="s">
        <v>93</v>
      </c>
      <c r="B55" s="50">
        <v>1.5</v>
      </c>
      <c r="D55" s="47">
        <f>'Project Summary'!D26</f>
        <v>882105</v>
      </c>
      <c r="E55" s="47">
        <f>'Project Summary'!E26</f>
        <v>0</v>
      </c>
      <c r="F55" s="47">
        <f>'Project Summary'!F26</f>
        <v>0</v>
      </c>
      <c r="G55" s="47">
        <f>'Project Summary'!G26</f>
        <v>0</v>
      </c>
      <c r="H55" s="47">
        <f>'Project Summary'!H26</f>
        <v>882105</v>
      </c>
    </row>
    <row r="56" spans="1:8" ht="12.75">
      <c r="A56" s="31" t="s">
        <v>94</v>
      </c>
      <c r="B56" s="32">
        <v>1.6</v>
      </c>
      <c r="D56" s="47">
        <f>'Project Summary'!D27</f>
        <v>154666</v>
      </c>
      <c r="E56" s="47">
        <f>'Project Summary'!E27</f>
        <v>261932</v>
      </c>
      <c r="F56" s="47">
        <f>'Project Summary'!F27</f>
        <v>109964</v>
      </c>
      <c r="G56" s="47">
        <f>'Project Summary'!G27</f>
        <v>0</v>
      </c>
      <c r="H56" s="47">
        <f>'Project Summary'!H27</f>
        <v>526562</v>
      </c>
    </row>
    <row r="57" spans="4:8" ht="12.75">
      <c r="D57" s="47"/>
      <c r="E57" s="47"/>
      <c r="F57" s="1"/>
      <c r="G57" s="1"/>
      <c r="H57" s="1"/>
    </row>
    <row r="58" spans="1:8" ht="12.75">
      <c r="A58" s="51" t="s">
        <v>95</v>
      </c>
      <c r="D58" s="52">
        <f>SUM(D51:D56)</f>
        <v>4583155</v>
      </c>
      <c r="E58" s="52">
        <f>SUM(E51:E56)</f>
        <v>1529819</v>
      </c>
      <c r="F58" s="52">
        <f>SUM(F51:F56)</f>
        <v>277956</v>
      </c>
      <c r="G58" s="52">
        <f>SUM(G51:G56)</f>
        <v>464261</v>
      </c>
      <c r="H58" s="52">
        <f>SUM(D58:G58)</f>
        <v>6855191</v>
      </c>
    </row>
    <row r="60" ht="12.75">
      <c r="A60" s="57" t="s">
        <v>96</v>
      </c>
    </row>
    <row r="61" spans="1:8" ht="12.75" customHeight="1">
      <c r="A61" s="125" t="s">
        <v>97</v>
      </c>
      <c r="B61" s="125"/>
      <c r="C61" s="125"/>
      <c r="D61" s="125"/>
      <c r="E61" s="125"/>
      <c r="F61" s="125"/>
      <c r="G61" s="125"/>
      <c r="H61" s="125"/>
    </row>
    <row r="62" spans="1:8" ht="12.75">
      <c r="A62" s="125"/>
      <c r="B62" s="125"/>
      <c r="C62" s="125"/>
      <c r="D62" s="125"/>
      <c r="E62" s="125"/>
      <c r="F62" s="125"/>
      <c r="G62" s="125"/>
      <c r="H62" s="125"/>
    </row>
    <row r="63" spans="1:8" ht="12.75" customHeight="1">
      <c r="A63" s="125" t="s">
        <v>98</v>
      </c>
      <c r="B63" s="125"/>
      <c r="C63" s="125"/>
      <c r="D63" s="125"/>
      <c r="E63" s="125"/>
      <c r="F63" s="125"/>
      <c r="G63" s="125"/>
      <c r="H63" s="125"/>
    </row>
    <row r="64" spans="1:8" ht="12.75">
      <c r="A64" s="125"/>
      <c r="B64" s="125"/>
      <c r="C64" s="125"/>
      <c r="D64" s="125"/>
      <c r="E64" s="125"/>
      <c r="F64" s="125"/>
      <c r="G64" s="125"/>
      <c r="H64" s="125"/>
    </row>
    <row r="65" spans="1:8" ht="12.75" customHeight="1">
      <c r="A65" s="123" t="s">
        <v>99</v>
      </c>
      <c r="B65" s="123"/>
      <c r="C65" s="123"/>
      <c r="D65" s="123"/>
      <c r="E65" s="123"/>
      <c r="F65" s="123"/>
      <c r="G65" s="123"/>
      <c r="H65" s="123"/>
    </row>
    <row r="66" spans="1:8" ht="12.75" customHeight="1">
      <c r="A66" s="123" t="s">
        <v>100</v>
      </c>
      <c r="B66" s="123"/>
      <c r="C66" s="123"/>
      <c r="D66" s="123"/>
      <c r="E66" s="123"/>
      <c r="F66" s="123"/>
      <c r="G66" s="123"/>
      <c r="H66" s="123"/>
    </row>
    <row r="67" spans="1:8" ht="12.75">
      <c r="A67" s="59"/>
      <c r="B67" s="59"/>
      <c r="C67" s="59"/>
      <c r="D67" s="59"/>
      <c r="E67" s="59"/>
      <c r="F67" s="59"/>
      <c r="G67" s="59"/>
      <c r="H67" s="59"/>
    </row>
    <row r="68" spans="1:8" ht="12.75">
      <c r="A68" s="58"/>
      <c r="B68" s="58"/>
      <c r="C68" s="58"/>
      <c r="D68" s="58"/>
      <c r="E68" s="58"/>
      <c r="F68" s="58"/>
      <c r="G68" s="58"/>
      <c r="H68" s="58"/>
    </row>
    <row r="69" spans="1:8" ht="12.75">
      <c r="A69" s="58"/>
      <c r="B69" s="58"/>
      <c r="C69" s="58"/>
      <c r="D69" s="58"/>
      <c r="E69" s="58"/>
      <c r="F69" s="58"/>
      <c r="G69" s="58"/>
      <c r="H69" s="58"/>
    </row>
    <row r="70" spans="1:8" ht="12.75">
      <c r="A70" s="58"/>
      <c r="B70" s="58"/>
      <c r="C70" s="58"/>
      <c r="D70" s="58"/>
      <c r="E70" s="58"/>
      <c r="F70" s="58"/>
      <c r="G70" s="58"/>
      <c r="H70" s="58"/>
    </row>
    <row r="74" ht="12.75">
      <c r="E74" s="60">
        <v>6</v>
      </c>
    </row>
  </sheetData>
  <mergeCells count="27">
    <mergeCell ref="A65:H65"/>
    <mergeCell ref="A66:H66"/>
    <mergeCell ref="H38:H39"/>
    <mergeCell ref="G49:G50"/>
    <mergeCell ref="H49:H50"/>
    <mergeCell ref="A61:H62"/>
    <mergeCell ref="A63:H64"/>
    <mergeCell ref="B49:B50"/>
    <mergeCell ref="D49:D50"/>
    <mergeCell ref="E49:E50"/>
    <mergeCell ref="F49:F50"/>
    <mergeCell ref="G22:G23"/>
    <mergeCell ref="B38:B39"/>
    <mergeCell ref="D38:D39"/>
    <mergeCell ref="E38:E39"/>
    <mergeCell ref="F38:F39"/>
    <mergeCell ref="G38:G39"/>
    <mergeCell ref="B22:B23"/>
    <mergeCell ref="D22:D23"/>
    <mergeCell ref="E22:E23"/>
    <mergeCell ref="F22:F23"/>
    <mergeCell ref="A2:H2"/>
    <mergeCell ref="B4:B5"/>
    <mergeCell ref="D4:D5"/>
    <mergeCell ref="E4:E5"/>
    <mergeCell ref="F4:F5"/>
    <mergeCell ref="G4:G5"/>
  </mergeCells>
  <conditionalFormatting sqref="D6:G15 D17:G17">
    <cfRule type="cellIs" priority="1" dxfId="0" operator="lessThan" stopIfTrue="1">
      <formula>3/2*D24</formula>
    </cfRule>
    <cfRule type="cellIs" priority="2" dxfId="1" operator="lessThan" stopIfTrue="1">
      <formula>4*D24</formula>
    </cfRule>
    <cfRule type="cellIs" priority="3" dxfId="2" operator="greaterThanOrEqual" stopIfTrue="1">
      <formula>4*D24</formula>
    </cfRule>
  </conditionalFormatting>
  <printOptions/>
  <pageMargins left="0.7875" right="0.7875" top="1.65" bottom="0.7875" header="0.5" footer="0.5"/>
  <pageSetup fitToHeight="1" fitToWidth="1" horizontalDpi="300" verticalDpi="300" orientation="portrait" scale="5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2">
      <selection activeCell="D22" sqref="D22"/>
    </sheetView>
  </sheetViews>
  <sheetFormatPr defaultColWidth="9.00390625" defaultRowHeight="12.75"/>
  <cols>
    <col min="1" max="1" width="27.00390625" style="31" customWidth="1"/>
    <col min="2" max="2" width="7.00390625" style="32" customWidth="1"/>
    <col min="3" max="3" width="0" style="31" hidden="1" customWidth="1"/>
    <col min="4" max="4" width="15.125" style="31" customWidth="1"/>
    <col min="5" max="5" width="15.375" style="31" customWidth="1"/>
    <col min="6" max="6" width="12.75390625" style="31" customWidth="1"/>
    <col min="7" max="7" width="9.75390625" style="31" customWidth="1"/>
    <col min="8" max="8" width="10.125" style="31" customWidth="1"/>
    <col min="9" max="9" width="8.875" style="31" customWidth="1"/>
    <col min="10" max="10" width="10.375" style="31" customWidth="1"/>
    <col min="11" max="11" width="9.75390625" style="31" customWidth="1"/>
    <col min="12" max="12" width="10.75390625" style="31" customWidth="1"/>
    <col min="13" max="13" width="10.125" style="31" customWidth="1"/>
    <col min="14" max="14" width="10.625" style="31" customWidth="1"/>
    <col min="15" max="16384" width="8.875" style="31" customWidth="1"/>
  </cols>
  <sheetData>
    <row r="1" spans="1:8" s="37" customFormat="1" ht="12.75">
      <c r="A1" s="33">
        <f ca="1">TODAY()</f>
        <v>36901</v>
      </c>
      <c r="B1" s="34"/>
      <c r="C1" s="35"/>
      <c r="D1" s="35"/>
      <c r="E1" s="34"/>
      <c r="F1" s="36"/>
      <c r="G1" s="36"/>
      <c r="H1" s="36"/>
    </row>
    <row r="2" spans="1:8" s="38" customFormat="1" ht="23.25">
      <c r="A2" s="126" t="s">
        <v>101</v>
      </c>
      <c r="B2" s="126"/>
      <c r="C2" s="126"/>
      <c r="D2" s="126"/>
      <c r="E2" s="126"/>
      <c r="F2" s="126"/>
      <c r="G2" s="126"/>
      <c r="H2" s="126"/>
    </row>
    <row r="3" spans="1:8" s="37" customFormat="1" ht="7.5" customHeight="1">
      <c r="A3" s="61"/>
      <c r="B3" s="62"/>
      <c r="C3" s="62"/>
      <c r="D3" s="62"/>
      <c r="E3" s="62"/>
      <c r="F3" s="62"/>
      <c r="G3" s="62"/>
      <c r="H3" s="62"/>
    </row>
    <row r="4" spans="2:13" ht="12.75">
      <c r="B4" s="122" t="s">
        <v>102</v>
      </c>
      <c r="D4" s="120" t="s">
        <v>103</v>
      </c>
      <c r="E4" s="120" t="s">
        <v>104</v>
      </c>
      <c r="F4" s="120" t="s">
        <v>105</v>
      </c>
      <c r="G4" s="120" t="s">
        <v>106</v>
      </c>
      <c r="H4" s="120" t="s">
        <v>107</v>
      </c>
      <c r="J4" s="31" t="s">
        <v>108</v>
      </c>
      <c r="K4" s="31" t="s">
        <v>109</v>
      </c>
      <c r="L4" s="31" t="s">
        <v>110</v>
      </c>
      <c r="M4" s="31" t="s">
        <v>111</v>
      </c>
    </row>
    <row r="5" spans="1:14" ht="12.75" customHeight="1">
      <c r="A5" s="43" t="s">
        <v>112</v>
      </c>
      <c r="B5" s="122"/>
      <c r="C5" s="44" t="s">
        <v>113</v>
      </c>
      <c r="D5" s="120"/>
      <c r="E5" s="120"/>
      <c r="F5" s="120"/>
      <c r="G5" s="120"/>
      <c r="H5" s="120"/>
      <c r="J5" s="31" t="s">
        <v>114</v>
      </c>
      <c r="K5" s="31" t="s">
        <v>115</v>
      </c>
      <c r="L5" s="31" t="s">
        <v>116</v>
      </c>
      <c r="M5" s="31" t="s">
        <v>117</v>
      </c>
      <c r="N5" s="31" t="s">
        <v>118</v>
      </c>
    </row>
    <row r="6" spans="1:14" ht="12.75">
      <c r="A6" s="48" t="s">
        <v>119</v>
      </c>
      <c r="B6" s="53">
        <v>1.1</v>
      </c>
      <c r="C6" s="32">
        <v>1</v>
      </c>
      <c r="D6" s="47">
        <v>222814</v>
      </c>
      <c r="E6" s="47">
        <v>313164</v>
      </c>
      <c r="F6" s="47"/>
      <c r="G6" s="47">
        <v>143818</v>
      </c>
      <c r="H6" s="47">
        <f aca="true" t="shared" si="0" ref="H6:H19">SUM(D6:G6)</f>
        <v>679796</v>
      </c>
      <c r="J6" s="56">
        <v>0</v>
      </c>
      <c r="K6" s="56">
        <v>0</v>
      </c>
      <c r="L6" s="56">
        <v>0</v>
      </c>
      <c r="M6" s="56">
        <v>0</v>
      </c>
      <c r="N6" s="31" t="s">
        <v>120</v>
      </c>
    </row>
    <row r="7" spans="1:14" ht="12.75">
      <c r="A7" s="48" t="s">
        <v>121</v>
      </c>
      <c r="B7" s="53">
        <v>1.3</v>
      </c>
      <c r="C7" s="32">
        <v>3</v>
      </c>
      <c r="D7" s="47">
        <v>330863</v>
      </c>
      <c r="E7" s="47">
        <v>120290</v>
      </c>
      <c r="F7" s="47"/>
      <c r="G7" s="47">
        <v>30100</v>
      </c>
      <c r="H7" s="47">
        <f t="shared" si="0"/>
        <v>481253</v>
      </c>
      <c r="J7" s="56">
        <f>J12+1000+19613/1.3</f>
        <v>250894.92307692306</v>
      </c>
      <c r="K7" s="56">
        <f>M7/(24/18)</f>
        <v>112792.5</v>
      </c>
      <c r="L7" s="56">
        <f>L12+2000+19613+4000</f>
        <v>330864</v>
      </c>
      <c r="M7" s="56">
        <f>112790+9500+30100-2000</f>
        <v>150390</v>
      </c>
      <c r="N7" s="31" t="s">
        <v>122</v>
      </c>
    </row>
    <row r="8" spans="1:13" ht="12.75">
      <c r="A8" s="48" t="s">
        <v>123</v>
      </c>
      <c r="B8" s="53">
        <v>1.1</v>
      </c>
      <c r="C8" s="32">
        <v>1</v>
      </c>
      <c r="D8" s="47">
        <f>'Summary Funding _Reformat_'!$E$34+'Summary Funding _Reformat_'!$E$37+'Summary Funding _Reformat_'!$E$39</f>
        <v>134642</v>
      </c>
      <c r="E8" s="47">
        <v>59441</v>
      </c>
      <c r="F8" s="47"/>
      <c r="G8" s="47">
        <v>24462</v>
      </c>
      <c r="H8" s="47">
        <f t="shared" si="0"/>
        <v>218545</v>
      </c>
      <c r="J8" s="56">
        <f>L8/1.28</f>
        <v>105189.0625</v>
      </c>
      <c r="K8" s="56">
        <f>M8/1.3</f>
        <v>64517.692307692305</v>
      </c>
      <c r="L8" s="56">
        <v>134642</v>
      </c>
      <c r="M8" s="56">
        <f>59411+24462</f>
        <v>83873</v>
      </c>
    </row>
    <row r="9" spans="1:14" ht="12.75">
      <c r="A9" s="48" t="s">
        <v>124</v>
      </c>
      <c r="B9" s="53">
        <v>1.4</v>
      </c>
      <c r="C9" s="32">
        <v>4</v>
      </c>
      <c r="D9" s="47">
        <v>436480</v>
      </c>
      <c r="E9" s="47">
        <v>7405</v>
      </c>
      <c r="F9" s="47">
        <v>9408</v>
      </c>
      <c r="G9" s="47" t="s">
        <v>125</v>
      </c>
      <c r="H9" s="47">
        <f t="shared" si="0"/>
        <v>453293</v>
      </c>
      <c r="J9" s="56">
        <v>301021</v>
      </c>
      <c r="K9" s="56">
        <f>11595</f>
        <v>11595</v>
      </c>
      <c r="L9" s="56">
        <f>J9*1.45</f>
        <v>436480.45</v>
      </c>
      <c r="M9" s="56">
        <f>7405+9408</f>
        <v>16813</v>
      </c>
      <c r="N9" s="31" t="s">
        <v>126</v>
      </c>
    </row>
    <row r="10" spans="1:13" ht="12.75">
      <c r="A10" s="48" t="s">
        <v>127</v>
      </c>
      <c r="B10" s="32">
        <v>1.1</v>
      </c>
      <c r="C10" s="32">
        <v>1</v>
      </c>
      <c r="D10" s="47">
        <v>699920</v>
      </c>
      <c r="E10" s="47"/>
      <c r="F10" s="47"/>
      <c r="G10" s="47"/>
      <c r="H10" s="47">
        <f t="shared" si="0"/>
        <v>699920</v>
      </c>
      <c r="J10" s="56">
        <f>326164+138432-$K$10</f>
        <v>460824.5714285714</v>
      </c>
      <c r="K10" s="56">
        <f>M10/1.4</f>
        <v>3771.4285714285716</v>
      </c>
      <c r="L10" s="56">
        <f>208905+491015-5280</f>
        <v>694640</v>
      </c>
      <c r="M10" s="56">
        <v>5280</v>
      </c>
    </row>
    <row r="11" spans="1:13" ht="12.75">
      <c r="A11" s="48" t="s">
        <v>128</v>
      </c>
      <c r="B11" s="32">
        <v>1.2</v>
      </c>
      <c r="C11" s="32">
        <v>2</v>
      </c>
      <c r="D11" s="47">
        <v>445864</v>
      </c>
      <c r="E11" s="47">
        <v>316540</v>
      </c>
      <c r="F11" s="47">
        <v>64760</v>
      </c>
      <c r="G11" s="47" t="s">
        <v>129</v>
      </c>
      <c r="H11" s="47">
        <f t="shared" si="0"/>
        <v>827164</v>
      </c>
      <c r="J11" s="56">
        <f>182195+115822</f>
        <v>298017</v>
      </c>
      <c r="K11" s="56">
        <v>248113</v>
      </c>
      <c r="L11" s="56">
        <f>280910+164954</f>
        <v>445864</v>
      </c>
      <c r="M11" s="56">
        <v>381300</v>
      </c>
    </row>
    <row r="12" spans="1:13" ht="12.75">
      <c r="A12" s="48" t="s">
        <v>130</v>
      </c>
      <c r="B12" s="53">
        <v>1.3</v>
      </c>
      <c r="C12" s="32">
        <v>3</v>
      </c>
      <c r="D12" s="47">
        <v>305251</v>
      </c>
      <c r="E12" s="47"/>
      <c r="F12" s="47"/>
      <c r="G12" s="47"/>
      <c r="H12" s="47">
        <f t="shared" si="0"/>
        <v>305251</v>
      </c>
      <c r="J12" s="56">
        <v>234808</v>
      </c>
      <c r="K12" s="56">
        <v>0</v>
      </c>
      <c r="L12" s="56">
        <v>305251</v>
      </c>
      <c r="M12" s="56">
        <v>0</v>
      </c>
    </row>
    <row r="13" spans="1:13" ht="12.75">
      <c r="A13" s="48" t="s">
        <v>131</v>
      </c>
      <c r="B13" s="53">
        <v>1.5</v>
      </c>
      <c r="C13" s="32">
        <v>6</v>
      </c>
      <c r="D13" s="47">
        <v>90005</v>
      </c>
      <c r="E13" s="47"/>
      <c r="F13" s="47"/>
      <c r="G13" s="47"/>
      <c r="H13" s="47">
        <f t="shared" si="0"/>
        <v>90005</v>
      </c>
      <c r="J13" s="56">
        <v>81882</v>
      </c>
      <c r="K13" s="56">
        <v>0</v>
      </c>
      <c r="L13" s="56">
        <v>90005</v>
      </c>
      <c r="M13" s="56">
        <v>0</v>
      </c>
    </row>
    <row r="14" spans="1:13" ht="12.75">
      <c r="A14" s="48" t="s">
        <v>132</v>
      </c>
      <c r="B14" s="32">
        <v>1.6</v>
      </c>
      <c r="C14" s="32">
        <v>7</v>
      </c>
      <c r="D14" s="47">
        <v>154666</v>
      </c>
      <c r="E14" s="47">
        <v>261932</v>
      </c>
      <c r="F14" s="47">
        <v>109964</v>
      </c>
      <c r="G14" s="47" t="s">
        <v>133</v>
      </c>
      <c r="H14" s="47">
        <f t="shared" si="0"/>
        <v>526562</v>
      </c>
      <c r="J14" s="56">
        <v>127626</v>
      </c>
      <c r="K14" s="56">
        <v>254684</v>
      </c>
      <c r="L14" s="56">
        <v>175246</v>
      </c>
      <c r="M14" s="56">
        <v>351317</v>
      </c>
    </row>
    <row r="15" spans="1:14" ht="12.75">
      <c r="A15" s="48" t="s">
        <v>134</v>
      </c>
      <c r="B15" s="53">
        <v>1.3</v>
      </c>
      <c r="C15" s="32">
        <v>3</v>
      </c>
      <c r="D15" s="47">
        <f>168880+305250</f>
        <v>474130</v>
      </c>
      <c r="E15" s="47">
        <v>68670</v>
      </c>
      <c r="F15" s="47"/>
      <c r="G15" s="47">
        <v>49502</v>
      </c>
      <c r="H15" s="47">
        <f t="shared" si="0"/>
        <v>592302</v>
      </c>
      <c r="J15" s="56">
        <f>(474130-L12)*J17/L17+J12</f>
        <v>364939.0560597993</v>
      </c>
      <c r="K15" s="56">
        <f>M15*(K17/M17)</f>
        <v>98209.38660297472</v>
      </c>
      <c r="L15" s="56">
        <f>(474130-L12)+L12</f>
        <v>474130</v>
      </c>
      <c r="M15" s="56">
        <f>E15+G15</f>
        <v>118172</v>
      </c>
      <c r="N15" s="31" t="s">
        <v>135</v>
      </c>
    </row>
    <row r="16" spans="1:13" ht="12.75">
      <c r="A16" s="48" t="s">
        <v>136</v>
      </c>
      <c r="B16" s="53">
        <v>1.5</v>
      </c>
      <c r="C16" s="32">
        <v>6</v>
      </c>
      <c r="D16" s="47">
        <v>792100</v>
      </c>
      <c r="E16" s="47"/>
      <c r="F16" s="47"/>
      <c r="G16" s="47"/>
      <c r="H16" s="47">
        <f t="shared" si="0"/>
        <v>792100</v>
      </c>
      <c r="J16" s="56">
        <f>755600/1.3+30500/1.2+6000/1.1</f>
        <v>612101.9813519813</v>
      </c>
      <c r="K16" s="56">
        <v>0</v>
      </c>
      <c r="L16" s="56">
        <f>755600+30500+6000</f>
        <v>792100</v>
      </c>
      <c r="M16" s="56">
        <v>0</v>
      </c>
    </row>
    <row r="17" spans="1:14" ht="12.75">
      <c r="A17" s="48" t="s">
        <v>137</v>
      </c>
      <c r="B17" s="53">
        <v>1.3</v>
      </c>
      <c r="C17" s="32">
        <v>3</v>
      </c>
      <c r="D17" s="47">
        <v>152880</v>
      </c>
      <c r="E17" s="47">
        <v>96640</v>
      </c>
      <c r="F17" s="47"/>
      <c r="G17" s="47">
        <v>51910</v>
      </c>
      <c r="H17" s="47">
        <f t="shared" si="0"/>
        <v>301430</v>
      </c>
      <c r="J17" s="56">
        <f>108000/1.31+13500/1.22+5880/1.4+16000/1.3+9500/1.22</f>
        <v>117802.8994156888</v>
      </c>
      <c r="K17" s="56">
        <f>(80640/1.2+16000/1.22)*(1+51910/96640)</f>
        <v>123455.6779937032</v>
      </c>
      <c r="L17" s="56">
        <v>152880</v>
      </c>
      <c r="M17" s="56">
        <f>96640+51910</f>
        <v>148550</v>
      </c>
      <c r="N17" s="31" t="s">
        <v>138</v>
      </c>
    </row>
    <row r="18" spans="1:14" ht="12.75">
      <c r="A18" s="48" t="s">
        <v>139</v>
      </c>
      <c r="B18" s="53">
        <v>1.4</v>
      </c>
      <c r="C18" s="32">
        <v>5</v>
      </c>
      <c r="D18" s="47">
        <v>138250</v>
      </c>
      <c r="E18" s="47">
        <v>10300</v>
      </c>
      <c r="F18" s="47">
        <v>61324</v>
      </c>
      <c r="G18" s="47">
        <v>10036</v>
      </c>
      <c r="H18" s="47">
        <f t="shared" si="0"/>
        <v>219910</v>
      </c>
      <c r="J18" s="56">
        <f>L18/1.28</f>
        <v>108007.8125</v>
      </c>
      <c r="K18" s="56">
        <f>M18/1.28</f>
        <v>63796.875</v>
      </c>
      <c r="L18" s="56">
        <f>D18</f>
        <v>138250</v>
      </c>
      <c r="M18" s="56">
        <f>(E18+F18+G18)</f>
        <v>81660</v>
      </c>
      <c r="N18" s="31" t="s">
        <v>140</v>
      </c>
    </row>
    <row r="19" spans="1:14" ht="12.75">
      <c r="A19" s="48" t="s">
        <v>141</v>
      </c>
      <c r="B19" s="53">
        <v>1.1</v>
      </c>
      <c r="C19" s="32">
        <v>1</v>
      </c>
      <c r="D19" s="47">
        <v>205290</v>
      </c>
      <c r="E19" s="47">
        <v>275437</v>
      </c>
      <c r="F19" s="47">
        <v>32500</v>
      </c>
      <c r="G19" s="47">
        <v>154433</v>
      </c>
      <c r="H19" s="47">
        <f t="shared" si="0"/>
        <v>667660</v>
      </c>
      <c r="J19" s="56">
        <f>L19/1.344</f>
        <v>366672.1339285714</v>
      </c>
      <c r="K19" s="56">
        <f>M19/1.35</f>
        <v>633073.0755555555</v>
      </c>
      <c r="L19" s="56">
        <f>H6+H19-M19</f>
        <v>492807.348</v>
      </c>
      <c r="M19" s="56">
        <f>1.452*(313164+275437)</f>
        <v>854648.652</v>
      </c>
      <c r="N19" s="31" t="s">
        <v>142</v>
      </c>
    </row>
    <row r="20" spans="1:14" ht="12.75">
      <c r="A20" s="48"/>
      <c r="B20" s="53"/>
      <c r="C20" s="32"/>
      <c r="D20" s="47"/>
      <c r="E20" s="47"/>
      <c r="F20" s="47"/>
      <c r="G20" s="47"/>
      <c r="H20" s="47" t="s">
        <v>24</v>
      </c>
      <c r="J20" s="56"/>
      <c r="K20" s="56"/>
      <c r="L20" s="56"/>
      <c r="M20" s="63" t="s">
        <v>143</v>
      </c>
      <c r="N20" s="56"/>
    </row>
    <row r="21" spans="1:13" ht="12.75" customHeight="1">
      <c r="A21" s="64" t="s">
        <v>144</v>
      </c>
      <c r="D21" s="47"/>
      <c r="E21" s="47"/>
      <c r="F21" s="47"/>
      <c r="G21" s="47"/>
      <c r="H21" s="47"/>
      <c r="J21" s="56"/>
      <c r="K21" s="56"/>
      <c r="L21" s="56"/>
      <c r="M21" s="56" t="s">
        <v>145</v>
      </c>
    </row>
    <row r="22" spans="1:14" ht="25.5">
      <c r="A22" s="45" t="s">
        <v>146</v>
      </c>
      <c r="B22" s="46">
        <v>1.1</v>
      </c>
      <c r="D22" s="47">
        <f>SUMIF(C6:C19,"=1",D6:D19)</f>
        <v>1262666</v>
      </c>
      <c r="E22" s="47">
        <f>SUMIF(C6:C19,"=1",E6:E19)</f>
        <v>648042</v>
      </c>
      <c r="F22" s="47">
        <f>SUMIF(C6:C19,"=1",F6:F19)</f>
        <v>32500</v>
      </c>
      <c r="G22" s="47">
        <f>SUMIF(C6:C19,"=1",G6:G19)</f>
        <v>322713</v>
      </c>
      <c r="H22" s="47">
        <f aca="true" t="shared" si="1" ref="H22:H27">SUM(D22:G22)</f>
        <v>2265921</v>
      </c>
      <c r="J22" s="65">
        <f>SUMIF($C$6:$C$19,"=1",J$6:J$19)</f>
        <v>932685.7678571427</v>
      </c>
      <c r="K22" s="65">
        <f>SUMIF($C$6:$C$19,"=1",K$6:K$19)</f>
        <v>701362.1964346764</v>
      </c>
      <c r="L22" s="65">
        <f>SUMIF($C$6:$C$19,"=1",L$6:L$19)</f>
        <v>1322089.348</v>
      </c>
      <c r="M22" s="65">
        <f>SUMIF($C$6:$C$19,"=1",M$6:M$19)</f>
        <v>943801.652</v>
      </c>
      <c r="N22" s="56">
        <f aca="true" t="shared" si="2" ref="N22:N27">L22+M22</f>
        <v>2265891</v>
      </c>
    </row>
    <row r="23" spans="1:14" ht="12.75">
      <c r="A23" s="45" t="s">
        <v>147</v>
      </c>
      <c r="B23" s="46">
        <v>1.2</v>
      </c>
      <c r="D23" s="47">
        <f>SUMIF(C6:C19,"=2",D6:D19)</f>
        <v>445864</v>
      </c>
      <c r="E23" s="47">
        <f>SUMIF(C6:C19,"=2",E6:E19)</f>
        <v>316540</v>
      </c>
      <c r="F23" s="47">
        <f>SUMIF(C6:C19,"=2",F6:F19)</f>
        <v>64760</v>
      </c>
      <c r="G23" s="47">
        <f>SUMIF(C6:C19,"=2",G6:G19)</f>
        <v>0</v>
      </c>
      <c r="H23" s="47">
        <f t="shared" si="1"/>
        <v>827164</v>
      </c>
      <c r="J23" s="65">
        <f>SUMIF($C$6:$C$19,"=2",J$6:J$19)</f>
        <v>298017</v>
      </c>
      <c r="K23" s="65">
        <f>SUMIF($C$6:$C$19,"=2",K$6:K$19)</f>
        <v>248113</v>
      </c>
      <c r="L23" s="65">
        <f>SUMIF($C$6:$C$19,"=2",L$6:L$19)</f>
        <v>445864</v>
      </c>
      <c r="M23" s="65">
        <f>SUMIF($C$6:$C$19,"=2",M$6:M$19)</f>
        <v>381300</v>
      </c>
      <c r="N23" s="56">
        <f t="shared" si="2"/>
        <v>827164</v>
      </c>
    </row>
    <row r="24" spans="1:14" ht="12.75">
      <c r="A24" s="31" t="s">
        <v>148</v>
      </c>
      <c r="B24" s="32">
        <v>1.3</v>
      </c>
      <c r="D24" s="47">
        <f>SUMIF(C6:C19,"=3",D6:D19)</f>
        <v>1263124</v>
      </c>
      <c r="E24" s="47">
        <f>SUMIF(C6:C19,"=3",E6:E19)</f>
        <v>285600</v>
      </c>
      <c r="F24" s="47">
        <f>SUMIF(C6:C19,"=3",F6:F19)</f>
        <v>0</v>
      </c>
      <c r="G24" s="47">
        <f>SUMIF(C6:C19,"=3",G6:G19)</f>
        <v>131512</v>
      </c>
      <c r="H24" s="47">
        <f t="shared" si="1"/>
        <v>1680236</v>
      </c>
      <c r="J24" s="65">
        <f>SUMIF($C$6:$C$19,"=3",J$6:J$19)</f>
        <v>968444.8785524112</v>
      </c>
      <c r="K24" s="65">
        <f>SUMIF($C$6:$C$19,"=3",K$6:K$19)</f>
        <v>334457.5645966779</v>
      </c>
      <c r="L24" s="65">
        <f>SUMIF($C$6:$C$19,"=3",L$6:L$19)</f>
        <v>1263125</v>
      </c>
      <c r="M24" s="65">
        <f>SUMIF($C$6:$C$19,"=3",M$6:M$19)</f>
        <v>417112</v>
      </c>
      <c r="N24" s="56">
        <f t="shared" si="2"/>
        <v>1680237</v>
      </c>
    </row>
    <row r="25" spans="1:14" ht="12.75">
      <c r="A25" s="48" t="s">
        <v>149</v>
      </c>
      <c r="B25" s="49">
        <v>1.4</v>
      </c>
      <c r="D25" s="47">
        <f>SUMIF(C6:C19,"=4",D6:D19)+SUMIF(C6:C19,"=5",D6:D19)</f>
        <v>574730</v>
      </c>
      <c r="E25" s="47">
        <f>SUMIF(C6:C19,"=4",E6:E19)+SUMIF(C6:C19,"=5",E6:E19)</f>
        <v>17705</v>
      </c>
      <c r="F25" s="47">
        <f>SUMIF(C6:C19,"=4",F6:F19)+SUMIF(C6:C19,"=5",F6:F19)</f>
        <v>70732</v>
      </c>
      <c r="G25" s="47">
        <f>SUMIF(C6:C19,"=4",G6:G19)+SUMIF(C6:C19,"=5",G6:G19)</f>
        <v>10036</v>
      </c>
      <c r="H25" s="47">
        <f t="shared" si="1"/>
        <v>673203</v>
      </c>
      <c r="J25" s="65">
        <f>SUMIF($C$6:$C$19,"=4",J$6:J$19)+SUMIF($C$6:$C$19,"=5",J$6:J$19)</f>
        <v>409028.8125</v>
      </c>
      <c r="K25" s="65">
        <f>SUMIF($C$6:$C$19,"=4",K$6:K$19)+SUMIF($C$6:$C$19,"=5",K$6:K$19)</f>
        <v>75391.875</v>
      </c>
      <c r="L25" s="65">
        <f>SUMIF($C$6:$C$19,"=4",L$6:L$19)+SUMIF($C$6:$C$19,"=5",L$6:L$19)</f>
        <v>574730.45</v>
      </c>
      <c r="M25" s="65">
        <f>SUMIF($C$6:$C$19,"=4",M$6:M$19)+SUMIF($C$6:$C$19,"=5",M$6:M$19)</f>
        <v>98473</v>
      </c>
      <c r="N25" s="56">
        <f t="shared" si="2"/>
        <v>673203.45</v>
      </c>
    </row>
    <row r="26" spans="1:14" ht="12.75">
      <c r="A26" s="31" t="s">
        <v>150</v>
      </c>
      <c r="B26" s="50">
        <v>1.5</v>
      </c>
      <c r="D26" s="47">
        <f>SUMIF(C6:C19,"=6",D6:D19)</f>
        <v>882105</v>
      </c>
      <c r="E26" s="47">
        <f>SUMIF(C6:C19,"=6",E6:E19)</f>
        <v>0</v>
      </c>
      <c r="F26" s="47">
        <f>SUMIF(C6:C19,"=6",F6:F19)</f>
        <v>0</v>
      </c>
      <c r="G26" s="47">
        <f>SUMIF(C6:C19,"=6",G6:G19)</f>
        <v>0</v>
      </c>
      <c r="H26" s="47">
        <f t="shared" si="1"/>
        <v>882105</v>
      </c>
      <c r="J26" s="65">
        <f>SUMIF($C$6:$C$19,"=6",J$6:J$19)</f>
        <v>693983.9813519813</v>
      </c>
      <c r="K26" s="65">
        <f>SUMIF($C$6:$C$19,"=6",K$6:K$19)</f>
        <v>0</v>
      </c>
      <c r="L26" s="65">
        <f>SUMIF($C$6:$C$19,"=6",L$6:L$19)</f>
        <v>882105</v>
      </c>
      <c r="M26" s="65">
        <f>SUMIF($C$6:$C$19,"=6",M$6:M$19)</f>
        <v>0</v>
      </c>
      <c r="N26" s="56">
        <f t="shared" si="2"/>
        <v>882105</v>
      </c>
    </row>
    <row r="27" spans="1:14" ht="12.75">
      <c r="A27" s="31" t="s">
        <v>151</v>
      </c>
      <c r="B27" s="32">
        <v>1.6</v>
      </c>
      <c r="D27" s="47">
        <f>SUMIF(C6:C19,"=7",D6:D19)</f>
        <v>154666</v>
      </c>
      <c r="E27" s="47">
        <f>SUMIF(C6:C19,"=7",E6:E19)</f>
        <v>261932</v>
      </c>
      <c r="F27" s="47">
        <f>SUMIF(C6:C19,"=7",F6:F19)</f>
        <v>109964</v>
      </c>
      <c r="G27" s="47">
        <f>SUMIF(C6:C19,"=7",G6:G19)</f>
        <v>0</v>
      </c>
      <c r="H27" s="47">
        <f t="shared" si="1"/>
        <v>526562</v>
      </c>
      <c r="J27" s="65">
        <f>SUMIF($C$6:$C$19,"=7",J$6:J$19)</f>
        <v>127626</v>
      </c>
      <c r="K27" s="65">
        <f>SUMIF($C$6:$C$19,"=7",K$6:K$19)</f>
        <v>254684</v>
      </c>
      <c r="L27" s="65">
        <f>SUMIF($C$6:$C$19,"=7",L$6:L$19)</f>
        <v>175246</v>
      </c>
      <c r="M27" s="65">
        <f>SUMIF($C$6:$C$19,"=7",M$6:M$19)</f>
        <v>351317</v>
      </c>
      <c r="N27" s="56">
        <f t="shared" si="2"/>
        <v>526563</v>
      </c>
    </row>
    <row r="28" spans="4:13" ht="12.75">
      <c r="D28" s="47"/>
      <c r="E28" s="47"/>
      <c r="F28" s="1"/>
      <c r="G28" s="1"/>
      <c r="H28" s="1"/>
      <c r="J28" s="56"/>
      <c r="K28" s="56"/>
      <c r="L28" s="56"/>
      <c r="M28" s="56"/>
    </row>
    <row r="29" spans="1:13" ht="12.75">
      <c r="A29" s="51" t="s">
        <v>152</v>
      </c>
      <c r="D29" s="52">
        <f>SUM(D22:D27)</f>
        <v>4583155</v>
      </c>
      <c r="E29" s="52">
        <f>SUM(E22:E27)</f>
        <v>1529819</v>
      </c>
      <c r="F29" s="52">
        <f>SUM(F22:F27)</f>
        <v>277956</v>
      </c>
      <c r="G29" s="52">
        <f>SUM(G22:G27)</f>
        <v>464261</v>
      </c>
      <c r="H29" s="52">
        <f>SUM(D29:G29)</f>
        <v>6855191</v>
      </c>
      <c r="J29" s="56">
        <f>SUM(J22:J27)</f>
        <v>3429786.4402615353</v>
      </c>
      <c r="K29" s="56">
        <f>SUM(K22:K27)</f>
        <v>1614008.6360313543</v>
      </c>
      <c r="L29" s="56">
        <f>SUM(L22:L27)</f>
        <v>4663159.798</v>
      </c>
      <c r="M29" s="56">
        <f>SUM(M22:M27)</f>
        <v>2192003.652</v>
      </c>
    </row>
    <row r="31" spans="1:13" ht="12.75">
      <c r="A31" s="57" t="s">
        <v>153</v>
      </c>
      <c r="M31" s="56">
        <f>L29+M29</f>
        <v>6855163.45</v>
      </c>
    </row>
    <row r="32" spans="1:8" ht="12.75" customHeight="1">
      <c r="A32" s="125" t="s">
        <v>154</v>
      </c>
      <c r="B32" s="125"/>
      <c r="C32" s="125"/>
      <c r="D32" s="125"/>
      <c r="E32" s="125"/>
      <c r="F32" s="125"/>
      <c r="G32" s="125"/>
      <c r="H32" s="125"/>
    </row>
    <row r="33" spans="1:8" ht="12.75">
      <c r="A33" s="125"/>
      <c r="B33" s="125"/>
      <c r="C33" s="125"/>
      <c r="D33" s="125"/>
      <c r="E33" s="125"/>
      <c r="F33" s="125"/>
      <c r="G33" s="125"/>
      <c r="H33" s="125"/>
    </row>
    <row r="34" spans="1:8" ht="12.75" customHeight="1">
      <c r="A34" s="125" t="s">
        <v>155</v>
      </c>
      <c r="B34" s="125"/>
      <c r="C34" s="125"/>
      <c r="D34" s="125"/>
      <c r="E34" s="125"/>
      <c r="F34" s="125"/>
      <c r="G34" s="125"/>
      <c r="H34" s="125"/>
    </row>
    <row r="35" spans="1:8" ht="12.75">
      <c r="A35" s="125"/>
      <c r="B35" s="125"/>
      <c r="C35" s="125"/>
      <c r="D35" s="125"/>
      <c r="E35" s="125"/>
      <c r="F35" s="125"/>
      <c r="G35" s="125"/>
      <c r="H35" s="125"/>
    </row>
    <row r="36" spans="1:8" ht="12.75" customHeight="1">
      <c r="A36" s="123" t="s">
        <v>156</v>
      </c>
      <c r="B36" s="123"/>
      <c r="C36" s="123"/>
      <c r="D36" s="123"/>
      <c r="E36" s="123"/>
      <c r="F36" s="123"/>
      <c r="G36" s="123"/>
      <c r="H36" s="123"/>
    </row>
    <row r="37" spans="1:8" ht="12.75" customHeight="1">
      <c r="A37" s="123" t="s">
        <v>157</v>
      </c>
      <c r="B37" s="123"/>
      <c r="C37" s="123"/>
      <c r="D37" s="123"/>
      <c r="E37" s="123"/>
      <c r="F37" s="123"/>
      <c r="G37" s="123"/>
      <c r="H37" s="123"/>
    </row>
    <row r="38" spans="1:8" ht="12.75">
      <c r="A38" s="123"/>
      <c r="B38" s="123"/>
      <c r="C38" s="123"/>
      <c r="D38" s="123"/>
      <c r="E38" s="123"/>
      <c r="F38" s="123"/>
      <c r="G38" s="123"/>
      <c r="H38" s="123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5" ht="12.75">
      <c r="E45" s="60">
        <v>6</v>
      </c>
    </row>
  </sheetData>
  <mergeCells count="11">
    <mergeCell ref="A32:H33"/>
    <mergeCell ref="A34:H35"/>
    <mergeCell ref="A36:H36"/>
    <mergeCell ref="A37:H38"/>
    <mergeCell ref="A2:H2"/>
    <mergeCell ref="B4:B5"/>
    <mergeCell ref="D4:D5"/>
    <mergeCell ref="E4:E5"/>
    <mergeCell ref="F4:F5"/>
    <mergeCell ref="G4:G5"/>
    <mergeCell ref="H4:H5"/>
  </mergeCells>
  <printOptions/>
  <pageMargins left="0.7875" right="0.7875" top="1.65" bottom="0.7875" header="0.5" footer="0.5"/>
  <pageSetup fitToHeight="1" fitToWidth="1" horizontalDpi="300" verticalDpi="300" orientation="portrait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C7">
      <selection activeCell="F6" sqref="F6"/>
    </sheetView>
  </sheetViews>
  <sheetFormatPr defaultColWidth="9.00390625" defaultRowHeight="12.75"/>
  <cols>
    <col min="1" max="1" width="34.875" style="1" customWidth="1"/>
    <col min="2" max="2" width="16.125" style="1" customWidth="1"/>
    <col min="3" max="3" width="13.75390625" style="1" customWidth="1"/>
    <col min="4" max="4" width="18.875" style="1" customWidth="1"/>
    <col min="5" max="5" width="13.75390625" style="1" customWidth="1"/>
    <col min="6" max="6" width="13.375" style="1" customWidth="1"/>
    <col min="7" max="7" width="16.25390625" style="1" customWidth="1"/>
    <col min="8" max="8" width="14.875" style="1" customWidth="1"/>
    <col min="9" max="9" width="17.75390625" style="1" customWidth="1"/>
    <col min="10" max="10" width="21.75390625" style="1" customWidth="1"/>
    <col min="11" max="11" width="14.875" style="1" customWidth="1"/>
    <col min="12" max="16384" width="11.375" style="1" customWidth="1"/>
  </cols>
  <sheetData>
    <row r="1" spans="1:11" ht="12.75">
      <c r="A1" s="66">
        <v>36880</v>
      </c>
      <c r="B1" s="67"/>
      <c r="C1" s="68"/>
      <c r="D1" s="68"/>
      <c r="E1" s="67"/>
      <c r="F1" s="69"/>
      <c r="G1" s="69"/>
      <c r="H1" s="69"/>
      <c r="I1" s="67"/>
      <c r="J1" s="67"/>
      <c r="K1" s="70"/>
    </row>
    <row r="2" spans="1:11" ht="12.75">
      <c r="A2" s="127" t="s">
        <v>158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2.75">
      <c r="A3" s="128" t="s">
        <v>159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>
      <c r="A4" s="128" t="s">
        <v>160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7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ht="12.75">
      <c r="A6" s="74" t="s">
        <v>161</v>
      </c>
      <c r="B6" s="75" t="s">
        <v>162</v>
      </c>
      <c r="C6" s="76" t="s">
        <v>163</v>
      </c>
      <c r="D6" s="76" t="s">
        <v>164</v>
      </c>
      <c r="E6" s="76" t="s">
        <v>165</v>
      </c>
      <c r="F6" s="76" t="s">
        <v>166</v>
      </c>
      <c r="G6" s="76" t="s">
        <v>167</v>
      </c>
      <c r="H6" s="77" t="s">
        <v>168</v>
      </c>
      <c r="I6" s="77" t="s">
        <v>169</v>
      </c>
      <c r="J6" s="78" t="s">
        <v>170</v>
      </c>
      <c r="K6" s="79" t="s">
        <v>171</v>
      </c>
    </row>
    <row r="7" spans="1:11" ht="12.75">
      <c r="A7" s="80"/>
      <c r="B7" s="81" t="s">
        <v>172</v>
      </c>
      <c r="C7" s="82" t="s">
        <v>173</v>
      </c>
      <c r="D7" s="81" t="s">
        <v>174</v>
      </c>
      <c r="E7" s="81" t="s">
        <v>175</v>
      </c>
      <c r="F7" s="81" t="s">
        <v>176</v>
      </c>
      <c r="G7" s="81" t="s">
        <v>177</v>
      </c>
      <c r="H7" s="83" t="s">
        <v>178</v>
      </c>
      <c r="I7" s="83" t="s">
        <v>179</v>
      </c>
      <c r="J7" s="84" t="s">
        <v>180</v>
      </c>
      <c r="K7" s="85"/>
    </row>
    <row r="8" spans="1:12" ht="12.75">
      <c r="A8" s="86" t="s">
        <v>181</v>
      </c>
      <c r="B8" s="87">
        <v>0</v>
      </c>
      <c r="C8" s="88">
        <v>0</v>
      </c>
      <c r="D8" s="88">
        <v>0</v>
      </c>
      <c r="E8" s="87">
        <v>0</v>
      </c>
      <c r="F8" s="88">
        <v>0</v>
      </c>
      <c r="G8" s="88">
        <v>0</v>
      </c>
      <c r="H8" s="88">
        <v>0</v>
      </c>
      <c r="I8" s="88">
        <v>0</v>
      </c>
      <c r="J8" s="89">
        <v>0</v>
      </c>
      <c r="K8" s="87">
        <f aca="true" t="shared" si="0" ref="K8:K23">SUM(B8:J8)</f>
        <v>0</v>
      </c>
      <c r="L8" s="90"/>
    </row>
    <row r="9" spans="1:11" ht="12.75">
      <c r="A9" s="91" t="s">
        <v>182</v>
      </c>
      <c r="B9" s="87">
        <v>0</v>
      </c>
      <c r="C9" s="88">
        <v>0</v>
      </c>
      <c r="D9" s="88">
        <v>35000</v>
      </c>
      <c r="E9" s="87">
        <v>0</v>
      </c>
      <c r="F9" s="88">
        <v>0</v>
      </c>
      <c r="G9" s="88">
        <v>0</v>
      </c>
      <c r="H9" s="88">
        <v>0</v>
      </c>
      <c r="I9" s="88">
        <v>0</v>
      </c>
      <c r="J9" s="89">
        <v>0</v>
      </c>
      <c r="K9" s="87">
        <f t="shared" si="0"/>
        <v>35000</v>
      </c>
    </row>
    <row r="10" spans="1:11" ht="12.75">
      <c r="A10" s="86" t="s">
        <v>183</v>
      </c>
      <c r="B10" s="87">
        <v>0</v>
      </c>
      <c r="C10" s="88">
        <v>117728</v>
      </c>
      <c r="D10" s="88">
        <v>0</v>
      </c>
      <c r="E10" s="88">
        <v>31000</v>
      </c>
      <c r="F10" s="88">
        <v>0</v>
      </c>
      <c r="G10" s="88">
        <v>0</v>
      </c>
      <c r="H10" s="88">
        <v>31000</v>
      </c>
      <c r="I10" s="88">
        <v>83200</v>
      </c>
      <c r="J10" s="89">
        <v>40500</v>
      </c>
      <c r="K10" s="87">
        <f t="shared" si="0"/>
        <v>303428</v>
      </c>
    </row>
    <row r="11" spans="1:12" ht="12.75" customHeight="1">
      <c r="A11" s="91" t="s">
        <v>184</v>
      </c>
      <c r="B11" s="87">
        <v>0</v>
      </c>
      <c r="C11" s="88">
        <v>0</v>
      </c>
      <c r="D11" s="88">
        <v>0</v>
      </c>
      <c r="E11" s="87">
        <v>0</v>
      </c>
      <c r="F11" s="88">
        <v>0</v>
      </c>
      <c r="G11" s="88">
        <v>0</v>
      </c>
      <c r="H11" s="88">
        <v>0</v>
      </c>
      <c r="I11" s="88">
        <v>0</v>
      </c>
      <c r="J11" s="89">
        <v>0</v>
      </c>
      <c r="K11" s="87">
        <f t="shared" si="0"/>
        <v>0</v>
      </c>
      <c r="L11" s="90"/>
    </row>
    <row r="12" spans="1:11" ht="12.75" customHeight="1">
      <c r="A12" s="91" t="s">
        <v>185</v>
      </c>
      <c r="B12" s="87">
        <v>0</v>
      </c>
      <c r="C12" s="88">
        <v>0</v>
      </c>
      <c r="D12" s="88">
        <v>0</v>
      </c>
      <c r="E12" s="88">
        <v>0</v>
      </c>
      <c r="F12" s="88">
        <v>800</v>
      </c>
      <c r="G12" s="88">
        <v>0</v>
      </c>
      <c r="H12" s="88">
        <v>0</v>
      </c>
      <c r="I12" s="88">
        <v>16640</v>
      </c>
      <c r="J12" s="89">
        <v>0</v>
      </c>
      <c r="K12" s="87">
        <f t="shared" si="0"/>
        <v>17440</v>
      </c>
    </row>
    <row r="13" spans="1:12" ht="18" customHeight="1">
      <c r="A13" s="91" t="s">
        <v>186</v>
      </c>
      <c r="B13" s="87">
        <v>0</v>
      </c>
      <c r="C13" s="88">
        <v>24134</v>
      </c>
      <c r="D13" s="88">
        <v>13895</v>
      </c>
      <c r="E13" s="88">
        <v>2790</v>
      </c>
      <c r="F13" s="88">
        <v>24</v>
      </c>
      <c r="G13" s="88">
        <v>0</v>
      </c>
      <c r="H13" s="88">
        <v>8680</v>
      </c>
      <c r="I13" s="88">
        <v>36094</v>
      </c>
      <c r="J13" s="89">
        <v>18941</v>
      </c>
      <c r="K13" s="87">
        <f t="shared" si="0"/>
        <v>104558</v>
      </c>
      <c r="L13" s="92"/>
    </row>
    <row r="14" spans="1:12" ht="21.75" customHeight="1">
      <c r="A14" s="91" t="s">
        <v>187</v>
      </c>
      <c r="B14" s="87">
        <f aca="true" t="shared" si="1" ref="B14:J14">SUM(B8:B13)</f>
        <v>0</v>
      </c>
      <c r="C14" s="88">
        <f t="shared" si="1"/>
        <v>141862</v>
      </c>
      <c r="D14" s="88">
        <f t="shared" si="1"/>
        <v>48895</v>
      </c>
      <c r="E14" s="88">
        <f t="shared" si="1"/>
        <v>33790</v>
      </c>
      <c r="F14" s="88">
        <f t="shared" si="1"/>
        <v>824</v>
      </c>
      <c r="G14" s="88">
        <f t="shared" si="1"/>
        <v>0</v>
      </c>
      <c r="H14" s="88">
        <f t="shared" si="1"/>
        <v>39680</v>
      </c>
      <c r="I14" s="88">
        <f t="shared" si="1"/>
        <v>135934</v>
      </c>
      <c r="J14" s="89">
        <f t="shared" si="1"/>
        <v>59441</v>
      </c>
      <c r="K14" s="87">
        <f t="shared" si="0"/>
        <v>460426</v>
      </c>
      <c r="L14" s="90"/>
    </row>
    <row r="15" spans="1:11" ht="30" customHeight="1">
      <c r="A15" s="86" t="s">
        <v>188</v>
      </c>
      <c r="B15" s="87">
        <v>1952651</v>
      </c>
      <c r="C15" s="88">
        <v>121118</v>
      </c>
      <c r="D15" s="88">
        <v>324863</v>
      </c>
      <c r="E15" s="88">
        <v>1227230</v>
      </c>
      <c r="F15" s="88">
        <v>55500</v>
      </c>
      <c r="G15" s="88">
        <v>106528</v>
      </c>
      <c r="H15" s="88">
        <v>73380</v>
      </c>
      <c r="I15" s="88">
        <v>79790</v>
      </c>
      <c r="J15" s="88">
        <v>100000</v>
      </c>
      <c r="K15" s="87">
        <f t="shared" si="0"/>
        <v>4041060</v>
      </c>
    </row>
    <row r="16" spans="1:11" ht="24.75" customHeight="1">
      <c r="A16" s="91" t="s">
        <v>189</v>
      </c>
      <c r="B16" s="87">
        <v>0</v>
      </c>
      <c r="C16" s="88">
        <v>0</v>
      </c>
      <c r="D16" s="88">
        <v>2000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9">
        <v>0</v>
      </c>
      <c r="K16" s="87">
        <f t="shared" si="0"/>
        <v>2000</v>
      </c>
    </row>
    <row r="17" spans="1:11" ht="12.75" customHeight="1">
      <c r="A17" s="86" t="s">
        <v>190</v>
      </c>
      <c r="B17" s="87">
        <v>0</v>
      </c>
      <c r="C17" s="88">
        <v>14720</v>
      </c>
      <c r="D17" s="88">
        <v>7500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9">
        <v>0</v>
      </c>
      <c r="K17" s="87">
        <f t="shared" si="0"/>
        <v>22220</v>
      </c>
    </row>
    <row r="18" spans="1:11" ht="12.75" customHeight="1">
      <c r="A18" s="86" t="s">
        <v>191</v>
      </c>
      <c r="B18" s="87">
        <v>0</v>
      </c>
      <c r="C18" s="88">
        <v>5173</v>
      </c>
      <c r="D18" s="88">
        <v>1000</v>
      </c>
      <c r="E18" s="88">
        <v>18250</v>
      </c>
      <c r="F18" s="88">
        <v>5000</v>
      </c>
      <c r="G18" s="88">
        <v>0</v>
      </c>
      <c r="H18" s="88">
        <v>4750</v>
      </c>
      <c r="I18" s="88">
        <v>8190</v>
      </c>
      <c r="J18" s="89">
        <v>12715</v>
      </c>
      <c r="K18" s="87">
        <f t="shared" si="0"/>
        <v>55078</v>
      </c>
    </row>
    <row r="19" spans="1:11" ht="12.75" customHeight="1">
      <c r="A19" s="91" t="s">
        <v>192</v>
      </c>
      <c r="B19" s="87">
        <v>0</v>
      </c>
      <c r="C19" s="88">
        <f>2000-2000</f>
        <v>0</v>
      </c>
      <c r="D19" s="88">
        <v>7500</v>
      </c>
      <c r="E19" s="88">
        <v>0</v>
      </c>
      <c r="F19" s="88">
        <v>0</v>
      </c>
      <c r="G19" s="88">
        <v>0</v>
      </c>
      <c r="H19" s="88">
        <v>0</v>
      </c>
      <c r="I19" s="88">
        <v>25000</v>
      </c>
      <c r="J19" s="89">
        <v>0</v>
      </c>
      <c r="K19" s="87">
        <f t="shared" si="0"/>
        <v>32500</v>
      </c>
    </row>
    <row r="20" spans="1:12" ht="12.75" customHeight="1">
      <c r="A20" s="91" t="s">
        <v>193</v>
      </c>
      <c r="B20" s="87">
        <v>0</v>
      </c>
      <c r="C20" s="88">
        <v>14356</v>
      </c>
      <c r="D20" s="88">
        <v>0</v>
      </c>
      <c r="E20" s="88">
        <v>0</v>
      </c>
      <c r="F20" s="88">
        <v>0</v>
      </c>
      <c r="G20" s="88">
        <v>0</v>
      </c>
      <c r="H20" s="88">
        <v>16000</v>
      </c>
      <c r="I20" s="88">
        <v>31260</v>
      </c>
      <c r="J20" s="89">
        <v>21927</v>
      </c>
      <c r="K20" s="87">
        <f t="shared" si="0"/>
        <v>83543</v>
      </c>
      <c r="L20" s="93"/>
    </row>
    <row r="21" spans="1:12" ht="30" customHeight="1">
      <c r="A21" s="94" t="s">
        <v>194</v>
      </c>
      <c r="B21" s="95">
        <f>SUM(B14:B20)+0.2</f>
        <v>1952651.2</v>
      </c>
      <c r="C21" s="96">
        <f aca="true" t="shared" si="2" ref="C21:J21">SUM(C14:C20)</f>
        <v>297229</v>
      </c>
      <c r="D21" s="96">
        <f t="shared" si="2"/>
        <v>391758</v>
      </c>
      <c r="E21" s="96">
        <f t="shared" si="2"/>
        <v>1279270</v>
      </c>
      <c r="F21" s="96">
        <f t="shared" si="2"/>
        <v>61324</v>
      </c>
      <c r="G21" s="96">
        <f t="shared" si="2"/>
        <v>106528</v>
      </c>
      <c r="H21" s="96">
        <f t="shared" si="2"/>
        <v>133810</v>
      </c>
      <c r="I21" s="96">
        <f t="shared" si="2"/>
        <v>280174</v>
      </c>
      <c r="J21" s="97">
        <f t="shared" si="2"/>
        <v>194083</v>
      </c>
      <c r="K21" s="95">
        <f t="shared" si="0"/>
        <v>4696827.2</v>
      </c>
      <c r="L21" s="90"/>
    </row>
    <row r="22" spans="1:11" ht="12.75" customHeight="1">
      <c r="A22" s="91" t="s">
        <v>195</v>
      </c>
      <c r="B22" s="87">
        <v>0</v>
      </c>
      <c r="C22" s="88">
        <v>74724</v>
      </c>
      <c r="D22" s="88">
        <v>15050</v>
      </c>
      <c r="E22" s="88">
        <v>28102</v>
      </c>
      <c r="F22" s="88">
        <v>3053</v>
      </c>
      <c r="G22" s="88">
        <v>0</v>
      </c>
      <c r="H22" s="88">
        <v>25683</v>
      </c>
      <c r="I22" s="88">
        <v>86165</v>
      </c>
      <c r="J22" s="89">
        <v>24462</v>
      </c>
      <c r="K22" s="87">
        <f t="shared" si="0"/>
        <v>257239</v>
      </c>
    </row>
    <row r="23" spans="1:12" ht="12.75" customHeight="1">
      <c r="A23" s="98" t="s">
        <v>196</v>
      </c>
      <c r="B23" s="99">
        <f>SUM(B21:B22)</f>
        <v>1952651.2</v>
      </c>
      <c r="C23" s="100">
        <f>SUM(C21:C22)</f>
        <v>371953</v>
      </c>
      <c r="D23" s="100">
        <f>SUM(D21:D22)-0.1</f>
        <v>406807.9</v>
      </c>
      <c r="E23" s="100">
        <f>SUM(E21:E22)-0.1</f>
        <v>1307371.9</v>
      </c>
      <c r="F23" s="100">
        <f>SUM(F21:F22)</f>
        <v>64377</v>
      </c>
      <c r="G23" s="100">
        <f>SUM(G21:G22)-0.1</f>
        <v>106527.9</v>
      </c>
      <c r="H23" s="100">
        <f>SUM(H21:H22)-0.1</f>
        <v>159492.9</v>
      </c>
      <c r="I23" s="100">
        <f>SUM(I21:I22)-0.1</f>
        <v>366338.9</v>
      </c>
      <c r="J23" s="101">
        <f>SUM(J21:J22)</f>
        <v>218545</v>
      </c>
      <c r="K23" s="99">
        <f t="shared" si="0"/>
        <v>4954065.700000001</v>
      </c>
      <c r="L23" s="90">
        <f>K21+K22</f>
        <v>4954066.2</v>
      </c>
    </row>
    <row r="25" spans="3:9" ht="12.75">
      <c r="C25" s="102"/>
      <c r="D25" s="102"/>
      <c r="E25" s="102"/>
      <c r="F25" s="102" t="s">
        <v>197</v>
      </c>
      <c r="H25" s="1" t="s">
        <v>198</v>
      </c>
      <c r="I25" s="1" t="s">
        <v>199</v>
      </c>
    </row>
  </sheetData>
  <mergeCells count="3">
    <mergeCell ref="A2:K2"/>
    <mergeCell ref="A3:K3"/>
    <mergeCell ref="A4:K4"/>
  </mergeCells>
  <printOptions/>
  <pageMargins left="0.4" right="0" top="1.0097222222222222" bottom="0.1798611111111111" header="0.35" footer="0.20972222222222223"/>
  <pageSetup fitToHeight="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</dc:creator>
  <cp:keywords/>
  <dc:description/>
  <cp:lastModifiedBy>Kevin McFarland</cp:lastModifiedBy>
  <cp:lastPrinted>2005-01-11T15:21:04Z</cp:lastPrinted>
  <dcterms:created xsi:type="dcterms:W3CDTF">1997-04-15T18:28:02Z</dcterms:created>
  <dcterms:modified xsi:type="dcterms:W3CDTF">2005-01-11T15:24:22Z</dcterms:modified>
  <cp:category/>
  <cp:version/>
  <cp:contentType/>
  <cp:contentStatus/>
  <cp:revision>1</cp:revision>
</cp:coreProperties>
</file>