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480" windowHeight="10170" tabRatio="555" activeTab="0"/>
  </bookViews>
  <sheets>
    <sheet name="Equipment Spending 1-00" sheetId="1" r:id="rId1"/>
  </sheets>
  <externalReferences>
    <externalReference r:id="rId4"/>
    <externalReference r:id="rId5"/>
    <externalReference r:id="rId6"/>
  </externalReferences>
  <definedNames>
    <definedName name="Budget">'[1]FY97 Alloc'!$A$1:$B$175</definedName>
    <definedName name="ContTC" localSheetId="0">'Equipment Spending 1-00'!#REF!</definedName>
    <definedName name="Equip_Sep">'[2]Equipment Sep96'!$A$1:$L$188</definedName>
    <definedName name="March99">#REF!:#REF!</definedName>
    <definedName name="Obl93">'[2]93_Eq_Oblg'!$A$1:$C$28</definedName>
    <definedName name="Obl94">'[2]94_Eq_Oblg'!$A$1:$C$44</definedName>
    <definedName name="Obl95">'[2]95_Eq_Oblg'!$A$1:$C$58</definedName>
    <definedName name="Oblg_Percent_Sep">'[3]WBS_Oblg_Comp_Sep97'!$A$1:$C$1632</definedName>
    <definedName name="Oblg_Ytd">'[2]Equip_Oblg_YTD'!$A$1:$E$178</definedName>
    <definedName name="Oper_Sep">'[2]Operating Sep96'!$A$1:$M$37</definedName>
    <definedName name="PercentComp" localSheetId="0">'Equipment Spending 1-00'!#REF!</definedName>
    <definedName name="_xlnm.Print_Area" localSheetId="0">'Equipment Spending 1-00'!$A$4:$G$996</definedName>
    <definedName name="_xlnm.Print_Titles" localSheetId="0">'Equipment Spending 1-00'!$1:$3</definedName>
  </definedNames>
  <calcPr fullCalcOnLoad="1"/>
</workbook>
</file>

<file path=xl/comments1.xml><?xml version="1.0" encoding="utf-8"?>
<comments xmlns="http://schemas.openxmlformats.org/spreadsheetml/2006/main">
  <authors>
    <author>Philip Michael Tuts</author>
  </authors>
  <commentList>
    <comment ref="C1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2/11/00 increased by 101,080 to account fr actuals + $40,970 of CSEM order that should be on 1.1.1.3.3</t>
        </r>
      </text>
    </comment>
    <comment ref="C1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take back 5000 to close out because it was moved to operating</t>
        </r>
      </text>
    </comment>
    <comment ref="C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555 to close this out
2/25/00 add 107 to close out</t>
        </r>
      </text>
    </comment>
    <comment ref="C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take back 10k as per discussion with Ron &amp; marel</t>
        </r>
      </text>
    </comment>
    <comment ref="C2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1935 to close this out
2/25/00 add 215 to close out</t>
        </r>
      </text>
    </comment>
    <comment ref="C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14750 to close this out, note this includes $23390 of CSEM order that belongs on 1.1.1.3.3</t>
        </r>
      </text>
    </comment>
    <comment ref="C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60k as per Ron &amp; Marcel discussion</t>
        </r>
      </text>
    </comment>
    <comment ref="D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11,300 to operating</t>
        </r>
      </text>
    </comment>
    <comment ref="C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inceased by 35 to close out</t>
        </r>
      </text>
    </comment>
    <comment ref="C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2k after speaking with Ron &amp; Marcel</t>
        </r>
      </text>
    </comment>
    <comment ref="C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3286 to closeout overrun + 3k for future spending</t>
        </r>
      </text>
    </comment>
    <comment ref="D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25708 to operating</t>
        </r>
      </text>
    </comment>
    <comment ref="C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15k to close it out</t>
        </r>
      </text>
    </comment>
    <comment ref="C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9712 to balance overrun + 21k for future needs
3/1/00 add 72450 + 10750+8000 that was on operating "spares"</t>
        </r>
      </text>
    </comment>
    <comment ref="C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20k to operating</t>
        </r>
      </text>
    </comment>
    <comment ref="C4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655 to close out</t>
        </r>
      </text>
    </comment>
    <comment ref="C4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note that $70.2k has been put on operating</t>
        </r>
      </text>
    </comment>
    <comment ref="C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there is some exposure here while they understand whether Al Clark will be billing us</t>
        </r>
      </text>
    </comment>
    <comment ref="C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10038 for additional HDI spares</t>
        </r>
      </text>
    </comment>
    <comment ref="D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15200 was moved to operating
3/1/00 put back 16620 from operating</t>
        </r>
      </text>
    </comment>
    <comment ref="C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14237 to close out
3/1/00 add back the "operating" reqs 16620</t>
        </r>
      </text>
    </comment>
    <comment ref="G5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we might have an additional exposure of $60k here due to coax piece</t>
        </r>
      </text>
    </comment>
    <comment ref="G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Marcel &amp; Ron will check this ETC</t>
        </r>
      </text>
    </comment>
    <comment ref="C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note that $90k of KSU SWF was put on operating</t>
        </r>
      </text>
    </comment>
    <comment ref="E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leave but Cooper says this is really fiber tracker</t>
        </r>
      </text>
    </comment>
    <comment ref="C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$10k because Marcel &amp; Ron nervous about this low balance</t>
        </r>
      </text>
    </comment>
    <comment ref="G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Marcel &amp; Ron checkimg -- this might be returned</t>
        </r>
      </text>
    </comment>
    <comment ref="C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because of general unease</t>
        </r>
      </text>
    </comment>
    <comment ref="C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because of general unease</t>
        </r>
      </text>
    </comment>
    <comment ref="C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because of general unease</t>
        </r>
      </text>
    </comment>
    <comment ref="C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57656 to account for additional shop charges
2/24/00 add 6985 for Jan charges</t>
        </r>
      </text>
    </comment>
    <comment ref="C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2036 to close out</t>
        </r>
      </text>
    </comment>
    <comment ref="C7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43875.5 to account for additional shop charges</t>
        </r>
      </text>
    </comment>
    <comment ref="C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3352 to close it out</t>
        </r>
      </text>
    </comment>
    <comment ref="C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$3k based on new estimate</t>
        </r>
      </text>
    </comment>
    <comment ref="C8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24190 to close out
2/24/00 add 80 for Jan</t>
        </r>
      </text>
    </comment>
    <comment ref="C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16063 to close out (shipping charges)
3/1/00 add 75000 for charges that were to be on operating</t>
        </r>
      </text>
    </comment>
    <comment ref="C8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$4k based on talk with Alan</t>
        </r>
      </text>
    </comment>
    <comment ref="D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canceled 3900</t>
        </r>
      </text>
    </comment>
    <comment ref="C9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108325 to close out -- due to ~$73k shop charges + $25k sundries</t>
        </r>
      </text>
    </comment>
    <comment ref="C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81643 for shop charges -- these are NOT understood
3/1/00 add 25000 that projected to be on operating</t>
        </r>
      </text>
    </comment>
    <comment ref="C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there is a potential $10k risk here</t>
        </r>
      </text>
    </comment>
    <comment ref="C10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1572 to close out</t>
        </r>
      </text>
    </comment>
    <comment ref="C1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17290 to close out - wastage
2/24/00 add 2829 to cover Jan spending, remove from 1.1.2.5.2.2</t>
        </r>
      </text>
    </comment>
    <comment ref="G1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this may not be all needed?</t>
        </r>
      </text>
    </comment>
    <comment ref="C10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$10k because of nervousness</t>
        </r>
      </text>
    </comment>
    <comment ref="C11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for nervousness</t>
        </r>
      </text>
    </comment>
    <comment ref="C1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18645 for close out -- shop charges??</t>
        </r>
      </text>
    </comment>
    <comment ref="C1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165 to close out</t>
        </r>
      </text>
    </comment>
    <comment ref="C14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2000</t>
        </r>
      </text>
    </comment>
    <comment ref="C14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careful -- these are shop charges!</t>
        </r>
      </text>
    </comment>
    <comment ref="C14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50641 for shop charges</t>
        </r>
      </text>
    </comment>
    <comment ref="C19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47 to close out</t>
        </r>
      </text>
    </comment>
    <comment ref="C20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8 to close out</t>
        </r>
      </text>
    </comment>
    <comment ref="C2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689 to close out</t>
        </r>
      </text>
    </comment>
    <comment ref="C2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10 to close out</t>
        </r>
      </text>
    </comment>
    <comment ref="C2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375 to close out</t>
        </r>
      </text>
    </comment>
    <comment ref="C2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90 to close out</t>
        </r>
      </text>
    </comment>
    <comment ref="C24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add 180 to close out</t>
        </r>
      </text>
    </comment>
    <comment ref="C2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add 13432 to account for overrun, but make up from 1.1.5.2.1.3-1.1.5.2.1.5 as per Marvin disussion
2/24/00 add 1420 in Jan to cover overrun and close?</t>
        </r>
      </text>
    </comment>
    <comment ref="C2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remove 6432 (see 1.1.5.2.1.1)</t>
        </r>
      </text>
    </comment>
    <comment ref="C2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remove 5000 (see 1.1.5.2.1.1)
2/24/00 add 2064 to cover overrun in Jan</t>
        </r>
      </text>
    </comment>
    <comment ref="C2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remove 2000 (see 1.1.5.2.1.1)</t>
        </r>
      </text>
    </comment>
    <comment ref="C2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add 6k as per Marvin -these are spares</t>
        </r>
      </text>
    </comment>
    <comment ref="C25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640 to close out
2/24/00 add 4015 to cover overrun in Jan</t>
        </r>
      </text>
    </comment>
    <comment ref="C2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6k as per Marvin</t>
        </r>
      </text>
    </comment>
    <comment ref="C2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19127 to absorb overrun, then add 5600 as per Marvin - not sure why now?</t>
        </r>
      </text>
    </comment>
    <comment ref="C2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46 to close out</t>
        </r>
      </text>
    </comment>
    <comment ref="G26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expect we might recoup $15k at some point</t>
        </r>
      </text>
    </comment>
    <comment ref="C2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3k as per Marvin
2/24/00 add 5995 to cover overun, make up from 1.1.5.3.6.6</t>
        </r>
      </text>
    </comment>
    <comment ref="C2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remove 3800 as per Marvin, to make up for 1.1.5.3.3.4 overrun
3/14/00 add 4040 from 1.1.5.3.1.9 prior yr correction</t>
        </r>
      </text>
    </comment>
    <comment ref="C2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3805 to cover overrun
3/14/00 add 5200 from 1.1.5.3.6.3</t>
        </r>
      </text>
    </comment>
    <comment ref="C2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25 to close out</t>
        </r>
      </text>
    </comment>
    <comment ref="C3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5 to close out</t>
        </r>
      </text>
    </comment>
    <comment ref="C3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 add 6720 to cover overrun
2/24/00 add 1364 to cover overun, make up from 1.1.5.3.6.6
3/14/00 add 5646 from 1.1.5.3.5.3, 1819 from 1.1.5.3.5.4, 3610 from 1.1.5.3.5.5, 9499 from 1.1.5.3.6.6, 1742 from 1.1.5.3.6.7</t>
        </r>
      </text>
    </comment>
    <comment ref="C31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remove 1000 as per Marvin
3/14/00 remove 3400 to cover 1.1.5.3.6.9</t>
        </r>
      </text>
    </comment>
    <comment ref="C37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8700 to cover overrun for parts losses in assembly
2/24/00 add 36 to close out</t>
        </r>
      </text>
    </comment>
    <comment ref="C3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2351 to cover overruns</t>
        </r>
      </text>
    </comment>
    <comment ref="C39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27 to close out</t>
        </r>
      </text>
    </comment>
    <comment ref="C38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52 to close out</t>
        </r>
      </text>
    </comment>
    <comment ref="C3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870 to cover overruns</t>
        </r>
      </text>
    </comment>
    <comment ref="C3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2335 to cover overruns</t>
        </r>
      </text>
    </comment>
    <comment ref="C4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6650 to cover additional packing needs to cover low yields
2/24/00 add 4033 for PO amount?</t>
        </r>
      </text>
    </comment>
    <comment ref="C6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4355 to close out</t>
        </r>
      </text>
    </comment>
    <comment ref="C69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1361 to close out</t>
        </r>
      </text>
    </comment>
    <comment ref="C69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662 to close out</t>
        </r>
      </text>
    </comment>
    <comment ref="C69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1920 to close out</t>
        </r>
      </text>
    </comment>
    <comment ref="C69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1371 to close out</t>
        </r>
      </text>
    </comment>
    <comment ref="C69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1633 to close out</t>
        </r>
      </text>
    </comment>
    <comment ref="C6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1168 to close out
2/24/00 add 2373 to cover overrun and cover from 1.3.4.4.2</t>
        </r>
      </text>
    </comment>
    <comment ref="C6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6228 to close out
2/24/0 add 603 and cover from 1.3.4.4.2</t>
        </r>
      </text>
    </comment>
    <comment ref="C6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1307 to close out</t>
        </r>
      </text>
    </comment>
    <comment ref="C69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1694 to close out</t>
        </r>
      </text>
    </comment>
    <comment ref="C70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8711 to close out</t>
        </r>
      </text>
    </comment>
    <comment ref="C7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91395 + 9605 to cover overrun
2/24/00 add 66856 to cover Jan and reduce 1.3.4.3.3 by same amount</t>
        </r>
      </text>
    </comment>
    <comment ref="C7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$101k to cover overrun
2/24/00 remove 66856  to cover 1.3.4.3.2 and 5189 to cover 1.3.4.7.1</t>
        </r>
      </text>
    </comment>
    <comment ref="C7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431 to close out
2/24/00 add 930 to cover Jan and remove from 1.3.4.4.2</t>
        </r>
      </text>
    </comment>
    <comment ref="C70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45000 to cover overrun
2/24/00 remove 930 to cover 1.3.4.4.1 overrun</t>
        </r>
      </text>
    </comment>
    <comment ref="C7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780 to close out</t>
        </r>
      </text>
    </comment>
    <comment ref="C71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2401 to close out</t>
        </r>
      </text>
    </comment>
    <comment ref="C7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48 to close out</t>
        </r>
      </text>
    </comment>
    <comment ref="C71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1028 to close out</t>
        </r>
      </text>
    </comment>
    <comment ref="C71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23889 to close out</t>
        </r>
      </text>
    </comment>
    <comment ref="C71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44000 to close out</t>
        </r>
      </text>
    </comment>
    <comment ref="C64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25000 to close out and account for this item</t>
        </r>
      </text>
    </comment>
    <comment ref="C6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4340 to close out</t>
        </r>
      </text>
    </comment>
    <comment ref="F6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increase by 100 to match cost estimate and close out -- done</t>
        </r>
      </text>
    </comment>
    <comment ref="F65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decrease by 100 to match cost estimate and close out - done</t>
        </r>
      </text>
    </comment>
    <comment ref="G6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5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F6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134 to match cost estimate and close out - done</t>
        </r>
      </text>
    </comment>
    <comment ref="C6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11320 to cover overrun and close out</t>
        </r>
      </text>
    </comment>
    <comment ref="C66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1569 to cover overrun and close out</t>
        </r>
      </text>
    </comment>
    <comment ref="C6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1696 to cover overrun and close out</t>
        </r>
      </text>
    </comment>
    <comment ref="C6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4850 + 76150 to cover overrun </t>
        </r>
      </text>
    </comment>
    <comment ref="C6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2000 to close out</t>
        </r>
      </text>
    </comment>
    <comment ref="C6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689 to close out</t>
        </r>
      </text>
    </comment>
    <comment ref="C67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827 to close out, comes from 1.3.3.8.5</t>
        </r>
      </text>
    </comment>
    <comment ref="C6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29899 for overrun, take from 1.3.3.8.5</t>
        </r>
      </text>
    </comment>
    <comment ref="C67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reduce by 29899 and 827 to cover overruns in 1.3.3.8.1&amp;3</t>
        </r>
      </text>
    </comment>
    <comment ref="C68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reduce by 23940</t>
        </r>
      </text>
    </comment>
    <comment ref="C9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2000 to close out</t>
        </r>
      </text>
    </comment>
    <comment ref="C9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13850 to close out</t>
        </r>
      </text>
    </comment>
    <comment ref="C9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4680 to close out</t>
        </r>
      </text>
    </comment>
    <comment ref="C9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1110 to close out</t>
        </r>
      </text>
    </comment>
    <comment ref="G4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9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C4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15 to close out</t>
        </r>
      </text>
    </comment>
    <comment ref="C4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1139 to close out</t>
        </r>
      </text>
    </comment>
    <comment ref="C49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34 to close out</t>
        </r>
      </text>
    </comment>
    <comment ref="G5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this is done, remove from the balance</t>
        </r>
      </text>
    </comment>
    <comment ref="C6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45 to close out</t>
        </r>
      </text>
    </comment>
    <comment ref="C6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94 to close out</t>
        </r>
      </text>
    </comment>
    <comment ref="C6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520 to close out</t>
        </r>
      </text>
    </comment>
    <comment ref="C6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1487 to close out</t>
        </r>
      </text>
    </comment>
    <comment ref="C6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20 to close out</t>
        </r>
      </text>
    </comment>
    <comment ref="C60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19827 to close out overrun</t>
        </r>
      </text>
    </comment>
    <comment ref="C6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270 to close out</t>
        </r>
      </text>
    </comment>
    <comment ref="C61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3526 to close out -- but need to check with Sherie</t>
        </r>
      </text>
    </comment>
    <comment ref="C61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837 to close out</t>
        </r>
      </text>
    </comment>
    <comment ref="C61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373 to close out</t>
        </r>
      </text>
    </comment>
    <comment ref="C6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372 to close out - check w/ Sherie because Tom thinks there may be another $5k?</t>
        </r>
      </text>
    </comment>
    <comment ref="C6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close out, support elsewhere?</t>
        </r>
      </text>
    </comment>
    <comment ref="G6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</t>
        </r>
      </text>
    </comment>
    <comment ref="G6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</t>
        </r>
      </text>
    </comment>
    <comment ref="C6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446 to lose out</t>
        </r>
      </text>
    </comment>
    <comment ref="C62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20904 to close out and cover overrun</t>
        </r>
      </text>
    </comment>
    <comment ref="G6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 - done</t>
        </r>
      </text>
    </comment>
    <comment ref="G6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 - done</t>
        </r>
      </text>
    </comment>
    <comment ref="G6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 - done</t>
        </r>
      </text>
    </comment>
    <comment ref="C64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650 to close out</t>
        </r>
      </text>
    </comment>
    <comment ref="G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the non-DOE contribution from the balance</t>
        </r>
      </text>
    </comment>
    <comment ref="G931" authorId="0">
      <text>
        <r>
          <rPr>
            <b/>
            <sz val="8"/>
            <rFont val="Tahoma"/>
            <family val="0"/>
          </rPr>
          <t xml:space="preserve">Philip Michael Tuts:
</t>
        </r>
        <r>
          <rPr>
            <sz val="8"/>
            <rFont val="Tahoma"/>
            <family val="2"/>
          </rPr>
          <t>2/16/00 remove 174k of non-DOE funds from the balance</t>
        </r>
      </text>
    </comment>
    <comment ref="G93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24k non-DOE funds from balance</t>
        </r>
      </text>
    </comment>
    <comment ref="G9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12k non-DOE funds from balance</t>
        </r>
      </text>
    </comment>
    <comment ref="G93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60k non-DOE funds from balance</t>
        </r>
      </text>
    </comment>
    <comment ref="G9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18k of non-DOE contribution from balance</t>
        </r>
      </text>
    </comment>
    <comment ref="G9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removing 167.5k in non-DOE funds, but note this makes little sense since total cost is 100k!</t>
        </r>
      </text>
    </comment>
    <comment ref="C96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dd 167 to close out</t>
        </r>
      </text>
    </comment>
    <comment ref="C32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1012 to close out?</t>
        </r>
      </text>
    </comment>
    <comment ref="C5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1160 to close out</t>
        </r>
      </text>
    </comment>
    <comment ref="C5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624 to close out</t>
        </r>
      </text>
    </comment>
    <comment ref="C5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176 to close out</t>
        </r>
      </text>
    </comment>
    <comment ref="C7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19 to close out</t>
        </r>
      </text>
    </comment>
    <comment ref="C7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1350 to close out</t>
        </r>
      </text>
    </comment>
    <comment ref="C7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significant $50k exposure if we have to trash and redo</t>
        </r>
      </text>
    </comment>
    <comment ref="C77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1534 to close out</t>
        </r>
      </text>
    </comment>
    <comment ref="C76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1628 to balance, and make up from 1..5.4.2.2</t>
        </r>
      </text>
    </comment>
    <comment ref="C7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remove 1628 to accommodate overrun in 1.3.5.4.2.1</t>
        </r>
      </text>
    </comment>
    <comment ref="C7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remove 584 to close out</t>
        </r>
      </text>
    </comment>
    <comment ref="C4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1116 to cover overrun (from 1.2.1.2.7 and 1.2.1.2.9)</t>
        </r>
      </text>
    </comment>
    <comment ref="C4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8900 to cover overrun (from 1.2.1.2.7 and 1.2.1.2.9)</t>
        </r>
      </text>
    </comment>
    <comment ref="C42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5800 to cover overrun (from 1.2.1.2.7 and 1.2.1.2.9)</t>
        </r>
      </text>
    </comment>
    <comment ref="C4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remove 300 to close out</t>
        </r>
      </text>
    </comment>
    <comment ref="C4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12000 to cover overrun (from 1.2.1.2.7 and 1.2.1.2.9)</t>
        </r>
      </text>
    </comment>
    <comment ref="C4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remve 155 to close out
2/24/00 add 720 to close out Jan</t>
        </r>
      </text>
    </comment>
    <comment ref="C4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2475 to cover overrun (from 1.2.1.2.7 and 1.2.1.2.9)</t>
        </r>
      </text>
    </comment>
    <comment ref="C4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1700 to cover overrun (from 1.2.1.2.7 and 1.2.1.2.9)</t>
        </r>
      </text>
    </comment>
    <comment ref="C4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701 to cover overrun (from 1.2.1.2.7 and 1.2.1.2.9)</t>
        </r>
      </text>
    </comment>
    <comment ref="C4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3 to cover overrun (from 1.2.1.2.7 and 1.2.1.2.9)</t>
        </r>
      </text>
    </comment>
    <comment ref="C45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8248 to cover overrun (from 1.2.1.2.7 and 1.2.1.2.9)</t>
        </r>
      </text>
    </comment>
    <comment ref="C4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11588 to cover overrun (from 1.2.1.2.7 and 1.2.1.2.9)</t>
        </r>
      </text>
    </comment>
    <comment ref="C4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25300 to cover overrun (from 1.2.1.2.7 and 1.2.1.2.9)</t>
        </r>
      </text>
    </comment>
    <comment ref="C4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11650 to cover overrun (from 1.2.1.2.7 and 1.2.1.2.9)</t>
        </r>
      </text>
    </comment>
    <comment ref="C46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335 to cover overrun (from 1.2.1.2.7 and 1.2.1.2.9)</t>
        </r>
      </text>
    </comment>
    <comment ref="C4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11138 to cover overrun (from 1.2.1.2.7 and 1.2.1.2.9)
2/24/00 add 554 to close out</t>
        </r>
      </text>
    </comment>
    <comment ref="C4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20025 to cover overrun (from 1.2.1.2.7 and 1.2.1.2.9)
2/24/00 add 120 to close out</t>
        </r>
      </text>
    </comment>
    <comment ref="C46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1442 to cover overrun (from 1.2.1.2.7 and 1.2.1.2.9)</t>
        </r>
      </text>
    </comment>
    <comment ref="C4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remove 24778 to cover overruns in 1.2.1-.2.4.1,.2.4.2.1-3,.2.4.3.2,.2.4.4.2,.2.5.2.1,.2.5.3-5,.2.6.1.2-6,.2.6.2.2.6.4,.2.6.5</t>
        </r>
      </text>
    </comment>
    <comment ref="C47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remove 97188 to cover overruns in 1.2.1-.2.4.1,.2.4.2.1-3,.2.4.3.2,.2.4.4.2,.2.5.2.1,.2.5.3-5,.2.6.1.2-6,.2.6.2.2.6.4,.2.6.5</t>
        </r>
      </text>
    </comment>
    <comment ref="C1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reduced by 40k because it was moved to operating as part of the pre-Lehman deal to move $400k from M&amp;S to OP</t>
        </r>
      </text>
    </comment>
    <comment ref="A8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New WBS added based on Blazey change control</t>
        </r>
      </text>
    </comment>
    <comment ref="C8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New item added</t>
        </r>
      </text>
    </comment>
    <comment ref="C1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 to close out</t>
        </r>
      </text>
    </comment>
    <comment ref="D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107 for Jan</t>
        </r>
      </text>
    </comment>
    <comment ref="D2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215 for Jan</t>
        </r>
      </text>
    </comment>
    <comment ref="D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944 for Jan
3/1/00 add 72450+10750 +8000 that was moved from operating</t>
        </r>
      </text>
    </comment>
    <comment ref="D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90 for Jan</t>
        </r>
      </text>
    </comment>
    <comment ref="D3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remove 760 for Jan</t>
        </r>
      </text>
    </comment>
    <comment ref="D5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4215 for Jan</t>
        </r>
      </text>
    </comment>
    <comment ref="D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11608 for Jan</t>
        </r>
      </text>
    </comment>
    <comment ref="D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6985 for Jan. This is an overrun</t>
        </r>
      </text>
    </comment>
    <comment ref="D8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2/24/00add 80 for Jan</t>
        </r>
      </text>
    </comment>
    <comment ref="D8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2500 for ND MOU</t>
        </r>
      </text>
    </comment>
    <comment ref="D1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2829 for Jan, Kurt says it as not meant for here - subtract this from 1.1.2.5.2.2</t>
        </r>
      </text>
    </comment>
    <comment ref="C1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remove 2829 to cver overspending in 1.1.2.5.2.1</t>
        </r>
      </text>
    </comment>
    <comment ref="D1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remove 9910 to reflect actual PO amount in Jan</t>
        </r>
      </text>
    </comment>
    <comment ref="D1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3409 for Jan</t>
        </r>
      </text>
    </comment>
    <comment ref="D1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7500 for Jan</t>
        </r>
      </text>
    </comment>
    <comment ref="D1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3000 for Jan, ND MOU</t>
        </r>
      </text>
    </comment>
    <comment ref="D12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3000 for Jan, ND MOU</t>
        </r>
      </text>
    </comment>
    <comment ref="D1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3000 for Jan, ND MOU</t>
        </r>
      </text>
    </comment>
    <comment ref="D1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6000 for Jan, ND MOU</t>
        </r>
      </text>
    </comment>
    <comment ref="D1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8000 for Jan, ND MOU</t>
        </r>
      </text>
    </comment>
    <comment ref="D1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5000 for Jan, ND MOU</t>
        </r>
      </text>
    </comment>
    <comment ref="D12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5000 for Jan, ND MOU</t>
        </r>
      </text>
    </comment>
    <comment ref="D1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2000 for Jan, ND MOU</t>
        </r>
      </text>
    </comment>
    <comment ref="D1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10000 for Jan, ND MOU</t>
        </r>
      </text>
    </comment>
    <comment ref="D14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3900 for Jan</t>
        </r>
      </text>
    </comment>
    <comment ref="D2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3000 for Jan ND MOU</t>
        </r>
      </text>
    </comment>
    <comment ref="D2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10000 for Jan ND MOU</t>
        </r>
      </text>
    </comment>
    <comment ref="C2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increase by 3000 cost estimate for ND MOU</t>
        </r>
      </text>
    </comment>
    <comment ref="C2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increase by 10000 cost estimate for ND MOU</t>
        </r>
      </text>
    </comment>
    <comment ref="D2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1420 for Jan</t>
        </r>
      </text>
    </comment>
    <comment ref="D2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4462 for Jan</t>
        </r>
      </text>
    </comment>
    <comment ref="D2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5366 for Jan</t>
        </r>
      </text>
    </comment>
    <comment ref="D25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4015 for Jan</t>
        </r>
      </text>
    </comment>
    <comment ref="D2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3488 for Jan</t>
        </r>
      </text>
    </comment>
    <comment ref="D2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5362 for Jan</t>
        </r>
      </text>
    </comment>
    <comment ref="D26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101400 for Jan</t>
        </r>
      </text>
    </comment>
    <comment ref="D2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8995 for Jan</t>
        </r>
      </text>
    </comment>
    <comment ref="D27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5475 for Jan
</t>
        </r>
      </text>
    </comment>
    <comment ref="D2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7026 for Jan</t>
        </r>
      </text>
    </comment>
    <comment ref="D2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1548 for Jan</t>
        </r>
      </text>
    </comment>
    <comment ref="D2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2780 for Jan</t>
        </r>
      </text>
    </comment>
    <comment ref="D2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126 for Jan</t>
        </r>
      </text>
    </comment>
    <comment ref="D3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82287 for Jan</t>
        </r>
      </text>
    </comment>
    <comment ref="D3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52000 for Jan</t>
        </r>
      </text>
    </comment>
    <comment ref="C3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3000 to cover overrun, take from 1.1.5.3.6.6
3/14/00 remove 1742 to cover overrun in 1.1.5.3.6.11, and 7498 to cover overrun in 1.1.5.3.6.9</t>
        </r>
      </text>
    </comment>
    <comment ref="C3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remove 3000 to cover overrun in 1.1.5.3.6.7
2/24/00 remove 18454 to cover overruns in 1.1.5.3.1.4,1.1.5.3.1.6,1.1.5.3.1.11,1.1.5.3.3.10,1.1.5.3.7.10
3/14/00 remove 9499 to cover overrun in 1.1.5.3.6.11</t>
        </r>
      </text>
    </comment>
    <comment ref="D3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1364 for Jan</t>
        </r>
      </text>
    </comment>
    <comment ref="D3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1364 for Jan</t>
        </r>
      </text>
    </comment>
    <comment ref="C27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5475 to cover overun, make up from 1.1.5.3.6.6
3/14/00 remove 2970 from prior yr correction and move to 1.1.5.3.1.6</t>
        </r>
      </text>
    </comment>
    <comment ref="C2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1548 to cover overun, make up from 1.1.5.3.6.6</t>
        </r>
      </text>
    </comment>
    <comment ref="C2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2780 to cover overun, make up from 1.1.5.3.6.6</t>
        </r>
      </text>
    </comment>
    <comment ref="C3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1364 to cover overun, make up from 1.1.5.3.6.6</t>
        </r>
      </text>
    </comment>
    <comment ref="D37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36  for Jan</t>
        </r>
      </text>
    </comment>
    <comment ref="D4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4033 for Jan</t>
        </r>
      </text>
    </comment>
    <comment ref="D4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1980 for Jan</t>
        </r>
      </text>
    </comment>
    <comment ref="C4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1980 for items purchsed at FNAL</t>
        </r>
      </text>
    </comment>
    <comment ref="D4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720 for Jan</t>
        </r>
      </text>
    </comment>
    <comment ref="D43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243 for Jan</t>
        </r>
      </text>
    </comment>
    <comment ref="C43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243 to close out</t>
        </r>
      </text>
    </comment>
    <comment ref="D4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554 for Jan</t>
        </r>
      </text>
    </comment>
    <comment ref="D4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120 for Jan</t>
        </r>
      </text>
    </comment>
    <comment ref="D6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211 for Jan</t>
        </r>
      </text>
    </comment>
    <comment ref="D6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4259 for Jan</t>
        </r>
      </text>
    </comment>
    <comment ref="D64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6561 for Jan</t>
        </r>
      </text>
    </comment>
    <comment ref="D64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1802 for Jan</t>
        </r>
      </text>
    </comment>
    <comment ref="D6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396 for Jan</t>
        </r>
      </text>
    </comment>
    <comment ref="D6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2373 for Jan</t>
        </r>
      </text>
    </comment>
    <comment ref="D6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603 for Jan</t>
        </r>
      </text>
    </comment>
    <comment ref="D7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4934 for Jan</t>
        </r>
      </text>
    </comment>
    <comment ref="D7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76461 for Jan</t>
        </r>
      </text>
    </comment>
    <comment ref="D7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66305 for Jan</t>
        </r>
      </text>
    </comment>
    <comment ref="D7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930 for Jan</t>
        </r>
      </text>
    </comment>
    <comment ref="D7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9431 for Jan</t>
        </r>
      </text>
    </comment>
    <comment ref="C7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5189 to cover Jan and remove from 1.3.4.3.3</t>
        </r>
      </text>
    </comment>
    <comment ref="D7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1000 for Jan</t>
        </r>
      </text>
    </comment>
    <comment ref="D74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4394 for Jan</t>
        </r>
      </text>
    </comment>
    <comment ref="D7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4655 for Jan</t>
        </r>
      </text>
    </comment>
    <comment ref="D7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1400 for Jan</t>
        </r>
      </text>
    </comment>
    <comment ref="D7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1471 for Jan</t>
        </r>
      </text>
    </comment>
    <comment ref="D77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reduce by 652 for Jan, PO change?</t>
        </r>
      </text>
    </comment>
    <comment ref="C7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4655 to cover Jan, and remove from 1.3.5.4.1.2</t>
        </r>
      </text>
    </comment>
    <comment ref="C7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1400 to cover Jan, and remove from 1.3.5.4.1.2</t>
        </r>
      </text>
    </comment>
    <comment ref="C7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decrease by 4655 for 1.3.5.3.2.4 and 1400 for 1.3.5.3.3.5</t>
        </r>
      </text>
    </comment>
    <comment ref="D8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546 for Jan</t>
        </r>
      </text>
    </comment>
    <comment ref="D9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2560 for Jan</t>
        </r>
      </text>
    </comment>
    <comment ref="C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70200 which was put on operating</t>
        </r>
      </text>
    </comment>
    <comment ref="D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70200 which was moved from operating to EQ</t>
        </r>
      </text>
    </comment>
    <comment ref="C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back 14000 which was on operating</t>
        </r>
      </text>
    </comment>
    <comment ref="D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14000 that was on operating for replacements</t>
        </r>
      </text>
    </comment>
    <comment ref="C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2000 which was on operating</t>
        </r>
      </text>
    </comment>
    <comment ref="D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2000 that was on operating</t>
        </r>
      </text>
    </comment>
    <comment ref="E27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3/9/00 remove 3600 to match Sherie Feb spending</t>
        </r>
      </text>
    </comment>
    <comment ref="E27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2970 to match Sherie Feb spending</t>
        </r>
      </text>
    </comment>
    <comment ref="E27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4040 to match Sherie Feb spending</t>
        </r>
      </text>
    </comment>
    <comment ref="E2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5200 to match Sherie Feb spending</t>
        </r>
      </text>
    </comment>
    <comment ref="E2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5200 to match Sherie Feb spending</t>
        </r>
      </text>
    </comment>
    <comment ref="E28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5200 to match Sherie Feb spending</t>
        </r>
      </text>
    </comment>
    <comment ref="E3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9240 to match Sherie Feb spending</t>
        </r>
      </text>
    </comment>
    <comment ref="E3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9240 to match Sherie Feb spending</t>
        </r>
      </text>
    </comment>
    <comment ref="E3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6790 to match Sherie Feb spending</t>
        </r>
      </text>
    </comment>
    <comment ref="E3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22316 to match Sherie Feb spending</t>
        </r>
      </text>
    </comment>
    <comment ref="C92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7672 to match Jim L. estimate</t>
        </r>
      </text>
    </comment>
    <comment ref="C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61785 to cover overrun as perJim L. discussion on 3/1/00</t>
        </r>
      </text>
    </comment>
    <comment ref="C9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108000 to cover overrun as perJim L. discussion on 3/1/00 for UMd</t>
        </r>
      </text>
    </comment>
    <comment ref="C9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8000 to cover overrun as perJim L. discussion on 3/1/00 for UMd</t>
        </r>
      </text>
    </comment>
    <comment ref="C9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21000 to cover overrun as perJim L. discussion on 3/1/00 for UMd</t>
        </r>
      </text>
    </comment>
    <comment ref="C9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14802 to cover overrun as perJim L. discussion on 3/1/00
</t>
        </r>
      </text>
    </comment>
    <comment ref="C9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2748 to cover overrun as perJim L. discussion on 3/1/00</t>
        </r>
      </text>
    </comment>
    <comment ref="C9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154935 to cover overrun as perJim L. discussion on 3/1/00</t>
        </r>
      </text>
    </comment>
    <comment ref="C9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9400 to cover overrun as perJim L. discussion on 3/1/00</t>
        </r>
      </text>
    </comment>
    <comment ref="C9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6405 to cover overrun as perJim L. discussion on 3/1/00 for Nebraska</t>
        </r>
      </text>
    </comment>
    <comment ref="C9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5887 to cover overrun as perJim L. discussion on 3/1/00</t>
        </r>
      </text>
    </comment>
    <comment ref="C94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3627 to cover overrun as perJim L. discussion on 3/1/00</t>
        </r>
      </text>
    </comment>
    <comment ref="C94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23933 to cover overrun as perJim L. discussion on 3/1/00</t>
        </r>
      </text>
    </comment>
    <comment ref="C94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14000 to cover overrun as perJim L. discussion on 3/1/00</t>
        </r>
      </text>
    </comment>
    <comment ref="C9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2000 to cover overrun as perJim L. discussion on 3/1/00
3/12/00 remove 1000 to match actuals (36000 was really 35200)</t>
        </r>
      </text>
    </comment>
    <comment ref="C9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6400 to cover overrun as perJim L. discussion on 3/1/00</t>
        </r>
      </text>
    </comment>
    <comment ref="C95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2000 to cover overrun as perJim L. discussion on 3/1/00</t>
        </r>
      </text>
    </comment>
    <comment ref="C9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1000 to cover overrun as perJim L. discussion on 3/1/00</t>
        </r>
      </text>
    </comment>
    <comment ref="C9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20000 to cover overrun as perJim L. discussion on 3/1/00</t>
        </r>
      </text>
    </comment>
    <comment ref="C9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3000 to cover overrun as perJim L. discussion on 3/1/00</t>
        </r>
      </text>
    </comment>
    <comment ref="F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85237 to bring up to Jim L memo of 3/10</t>
        </r>
      </text>
    </comment>
    <comment ref="E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** MOU to MSU
3/12/00 reduce by 58719 to get 61263 for MSU  MOU (but remove 12258 for MOU $ not yet provided), then add 24000 for UIC MOU
</t>
        </r>
      </text>
    </comment>
    <comment ref="F9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** MOU to MSU
3/12/00 remove 67500 to lower cost estimate</t>
        </r>
      </text>
    </comment>
    <comment ref="F94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use 18363 from MOU (a change)</t>
        </r>
      </text>
    </comment>
    <comment ref="E94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42496 because some on MRI and some reduced cost</t>
        </r>
      </text>
    </comment>
    <comment ref="F9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8900 to shift some cost to MRI as per Jim L memo 3/10/00 + add another 8900 from Blazey MRI portion</t>
        </r>
      </text>
    </comment>
    <comment ref="E9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66240 because no spending on MOU as per Jim L memo 3/10/00</t>
        </r>
      </text>
    </comment>
    <comment ref="E94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7000 of this is MSU MOU</t>
        </r>
      </text>
    </comment>
    <comment ref="E9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remove 14959 Neb MOU and let Blazey cover with MOU</t>
        </r>
      </text>
    </comment>
    <comment ref="F9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12211 to cover Neb 
MOU with MRI</t>
        </r>
      </text>
    </comment>
    <comment ref="E9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remove 20000 for Neb MOU and cover with MRI</t>
        </r>
      </text>
    </comment>
    <comment ref="F9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16718 to cover Neb MOU with MRI</t>
        </r>
      </text>
    </comment>
    <comment ref="E9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21246 to remove from UNL MOU and shift to MRI money</t>
        </r>
      </text>
    </comment>
    <comment ref="F9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31157 to match actual costs including NIU MOU to UNL</t>
        </r>
      </text>
    </comment>
    <comment ref="E9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20000 to cover the funds that were originally in Umd MOU but purchsed directly by FNAL</t>
        </r>
      </text>
    </comment>
    <comment ref="E92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remove 62163 o match Jim L change, now as direct charge to fnal</t>
        </r>
      </text>
    </comment>
    <comment ref="F9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18000 to match JL 3/10 reallocation</t>
        </r>
      </text>
    </comment>
    <comment ref="C4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2000 to cover overrun in 1.2.1.1.4.14.4 </t>
        </r>
      </text>
    </comment>
    <comment ref="C38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2000 from  1.2.1.2.8.1 to cover overrun for safety rework</t>
        </r>
      </text>
    </comment>
    <comment ref="E94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4507 for MSU MOU (not in original)</t>
        </r>
      </text>
    </comment>
    <comment ref="C26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1042 to close out and move to 1.1.5.3.1.6</t>
        </r>
      </text>
    </comment>
    <comment ref="C27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1042 from 1.1.5.3.1.3 closeout, and add 2970 from 1.1.5.3.1.7 prior yr correction</t>
        </r>
      </text>
    </comment>
    <comment ref="C27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rmove 4040 to close out from prior yr correction</t>
        </r>
      </text>
    </comment>
    <comment ref="C3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14400 because of design change and shift 5200 to 1.1.5.3.3.4, and 5200 to 1.1.5.3.3.5, and 4000 to 1.1.5.3.3.7</t>
        </r>
      </text>
    </comment>
    <comment ref="C2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5200 from 1.1.5.3.6.3</t>
        </r>
      </text>
    </comment>
    <comment ref="C28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4000 from 1.1.5.3.6.3</t>
        </r>
      </text>
    </comment>
    <comment ref="C2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5646 to cover overrun in 1.1.5.3.6.11</t>
        </r>
      </text>
    </comment>
    <comment ref="C2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1819 to cover overrun in 1.1.5.3.6.11</t>
        </r>
      </text>
    </comment>
    <comment ref="C29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3610 to cover overrun in 1.1.5.3.6.11</t>
        </r>
      </text>
    </comment>
    <comment ref="C3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7498 from 1.1.5.3.6.7, 3400 from 1.1.5.3.7.3, 3312 from 1.1.5.3.8.1.3</t>
        </r>
      </text>
    </comment>
    <comment ref="C3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11211 cost reduction</t>
        </r>
      </text>
    </comment>
    <comment ref="C31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7899 from 1.1.5.3.8.1.3, add 110101 as cost overrun for 12MCM boards</t>
        </r>
      </text>
    </comment>
    <comment ref="C9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90152 to cover overrun, where 15534 from 1.4.3.3.2, 3776 from 1.4.3.3.3, 11099 from 1.4.3.3.5, and  59743 is genuine cost overrun</t>
        </r>
      </text>
    </comment>
    <comment ref="C90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reduce by 15534</t>
        </r>
      </text>
    </comment>
    <comment ref="C9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3/1/4/00 remove 3776 to cover 1.4.3.3.1</t>
        </r>
      </text>
    </comment>
    <comment ref="C9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reduce by 11099 to cover 1.4.3.3.1</t>
        </r>
      </text>
    </comment>
  </commentList>
</comments>
</file>

<file path=xl/sharedStrings.xml><?xml version="1.0" encoding="utf-8"?>
<sst xmlns="http://schemas.openxmlformats.org/spreadsheetml/2006/main" count="1999" uniqueCount="1749">
  <si>
    <t>Vacuum bagging system</t>
  </si>
  <si>
    <t>1.1.3.5.7</t>
  </si>
  <si>
    <t>Glue and syringes</t>
  </si>
  <si>
    <t>1.1.3.5.8</t>
  </si>
  <si>
    <t>Detector assembly</t>
  </si>
  <si>
    <t>1.1.3.5.9</t>
  </si>
  <si>
    <t>Quality control/monitoring</t>
  </si>
  <si>
    <t>1.1.3.5.10</t>
  </si>
  <si>
    <t>Storage &amp; shipping fixture</t>
  </si>
  <si>
    <t>1.1.3.5.11</t>
  </si>
  <si>
    <t>Assembly supplies</t>
  </si>
  <si>
    <t>1.1.3.5.12</t>
  </si>
  <si>
    <t>1.1.3.6</t>
  </si>
  <si>
    <t>1.1.3.6.1</t>
  </si>
  <si>
    <t>Clear Waveguide</t>
  </si>
  <si>
    <t>1.1.3.6.2</t>
  </si>
  <si>
    <t>Connectors (detector side)</t>
  </si>
  <si>
    <t>1.1.3.6.3</t>
  </si>
  <si>
    <t>Connector Tooling and Supplies</t>
  </si>
  <si>
    <t>1.1.3.7</t>
  </si>
  <si>
    <t>VLPC Cassettes (in WBS1.1.2.4)</t>
  </si>
  <si>
    <t>1.1.3.8</t>
  </si>
  <si>
    <t>1.1.3.8.1</t>
  </si>
  <si>
    <t>Blue LEDs and Power Supply</t>
  </si>
  <si>
    <t>1.1.3.8.2</t>
  </si>
  <si>
    <t>Light bar (material/machining)</t>
  </si>
  <si>
    <t>1.1.3.8.3</t>
  </si>
  <si>
    <t>Temperature monitor system</t>
  </si>
  <si>
    <t>1.1.3.8.4</t>
  </si>
  <si>
    <t>Mounting/tooling fixture</t>
  </si>
  <si>
    <t>1.1.3.8.5</t>
  </si>
  <si>
    <t>Controller</t>
  </si>
  <si>
    <t>1.1.3.9</t>
  </si>
  <si>
    <t>1.1.3.9.1</t>
  </si>
  <si>
    <t>Mounting/alignment tooling</t>
  </si>
  <si>
    <t>1.1.3.9.2</t>
  </si>
  <si>
    <t>Lead rework/install</t>
  </si>
  <si>
    <t>1.1.4</t>
  </si>
  <si>
    <t>FORWARD PRESHOWER DETECTOR</t>
  </si>
  <si>
    <t>1.1.4.1</t>
  </si>
  <si>
    <t>1.1.4.1.1</t>
  </si>
  <si>
    <t>Engineering design</t>
  </si>
  <si>
    <t>1.1.4.2</t>
  </si>
  <si>
    <t>1.1.4.2.1</t>
  </si>
  <si>
    <t>1.1.4.2.2</t>
  </si>
  <si>
    <t>Fluor</t>
  </si>
  <si>
    <t>1.1.4.2.3</t>
  </si>
  <si>
    <t>1.1.4.2.4</t>
  </si>
  <si>
    <t>1.1.4.2.5</t>
  </si>
  <si>
    <t>Extrusion</t>
  </si>
  <si>
    <t>1.1.4.3</t>
  </si>
  <si>
    <t>1.1.4.3.2</t>
  </si>
  <si>
    <t>Mylar</t>
  </si>
  <si>
    <t>1.1.4.3.3</t>
  </si>
  <si>
    <t>1.1.4.4</t>
  </si>
  <si>
    <t>1.1.4.4.1</t>
  </si>
  <si>
    <t>1.1.4.4.3</t>
  </si>
  <si>
    <t>WLS Fiber Silvering</t>
  </si>
  <si>
    <t>1.1.4.4.4</t>
  </si>
  <si>
    <t>Connectors (WLS Fiber Side)</t>
  </si>
  <si>
    <t>1.1.4.4.6</t>
  </si>
  <si>
    <t>Connector supplies/hardware</t>
  </si>
  <si>
    <t>1.1.4.4.7</t>
  </si>
  <si>
    <t>Fiber/Connector Polishing, Potting</t>
  </si>
  <si>
    <t>1.1.4.5</t>
  </si>
  <si>
    <t>Detector Module Assembly</t>
  </si>
  <si>
    <t>1.1.4.5.1</t>
  </si>
  <si>
    <t>Construction Domes</t>
  </si>
  <si>
    <t>1.1.4.5.3</t>
  </si>
  <si>
    <t>Epoxy</t>
  </si>
  <si>
    <t>1.1.4.5.4</t>
  </si>
  <si>
    <t>Vacuum bagging setup</t>
  </si>
  <si>
    <t>1.1.4.5.5</t>
  </si>
  <si>
    <t>1.1.4.5.6</t>
  </si>
  <si>
    <t>Alignment Tooling</t>
  </si>
  <si>
    <t>1.1.4.5.7</t>
  </si>
  <si>
    <t>Water-Jet Cutting</t>
  </si>
  <si>
    <t>1.1.4.6</t>
  </si>
  <si>
    <t>1.1.4.6.1</t>
  </si>
  <si>
    <t>1.1.4.6.2</t>
  </si>
  <si>
    <t>Connectors (Det. End of Clear Fiber)</t>
  </si>
  <si>
    <t>1.1.4.6.3</t>
  </si>
  <si>
    <t>Connectors (VLPC End of Clear Fiber)</t>
  </si>
  <si>
    <t>1.1.4.6.4</t>
  </si>
  <si>
    <t>Sheaths for Clear Fiber Bundles</t>
  </si>
  <si>
    <t>1.1.4.6.5</t>
  </si>
  <si>
    <t>Bundling Setup and Supplies</t>
  </si>
  <si>
    <t>1.1.4.6.6</t>
  </si>
  <si>
    <t>Fabrication of Clear Fiber Bundles</t>
  </si>
  <si>
    <t>1.1.4.7</t>
  </si>
  <si>
    <t>1.1.4.8</t>
  </si>
  <si>
    <t>1.1.4.8.1</t>
  </si>
  <si>
    <t>Blue LEDs</t>
  </si>
  <si>
    <t>1.1.4.8.3</t>
  </si>
  <si>
    <t>1.1.4.8.4</t>
  </si>
  <si>
    <t>Mounting Hardware / Tooling</t>
  </si>
  <si>
    <t>1.1.4.8.5</t>
  </si>
  <si>
    <t>Temperature Monitoring System</t>
  </si>
  <si>
    <t>1.1.4.8.6</t>
  </si>
  <si>
    <t>Calibration System Assembly</t>
  </si>
  <si>
    <t>1.1.4.9</t>
  </si>
  <si>
    <t>1.1.4.9.1</t>
  </si>
  <si>
    <t>Assembly and Installation Tooling</t>
  </si>
  <si>
    <t>1.1.4.9.2</t>
  </si>
  <si>
    <t>Lead Absorber</t>
  </si>
  <si>
    <t>1.1.4.9.3</t>
  </si>
  <si>
    <t>Storage and Shipping Fixture</t>
  </si>
  <si>
    <t>1.1.4.9.4</t>
  </si>
  <si>
    <t>Assembly Supplies</t>
  </si>
  <si>
    <t>1.1.4.9.5</t>
  </si>
  <si>
    <t>Shipping &amp; Handling</t>
  </si>
  <si>
    <t>1.1.4.9.6</t>
  </si>
  <si>
    <t>Aluminum Support Skins</t>
  </si>
  <si>
    <t>1.1.4.9.7</t>
  </si>
  <si>
    <t>Fabrication of Support Ribs/Rings</t>
  </si>
  <si>
    <t>1.1.4.9.8</t>
  </si>
  <si>
    <t>Module/Connector Mounting Hardware</t>
  </si>
  <si>
    <t>1.1.5</t>
  </si>
  <si>
    <t>TRACKING ELECTRONICS</t>
  </si>
  <si>
    <t>1.1.5.1</t>
  </si>
  <si>
    <t>1.1.5.2</t>
  </si>
  <si>
    <t>Si Readout System</t>
  </si>
  <si>
    <t>1.1.5.2.1</t>
  </si>
  <si>
    <t>Port Card System</t>
  </si>
  <si>
    <t>1.1.5.2.1.1</t>
  </si>
  <si>
    <t>Port Cards</t>
  </si>
  <si>
    <t>1.1.5.2.1.2</t>
  </si>
  <si>
    <t>Backplanes</t>
  </si>
  <si>
    <t>1.1.5.2.1.3</t>
  </si>
  <si>
    <t>Power Supplies</t>
  </si>
  <si>
    <t>1.1.5.2.1.4</t>
  </si>
  <si>
    <t>Controller Card</t>
  </si>
  <si>
    <t>1.1.5.2.1.5</t>
  </si>
  <si>
    <t>Rack Prep</t>
  </si>
  <si>
    <t>1.1.5.2.2</t>
  </si>
  <si>
    <t>Fiber optic system</t>
  </si>
  <si>
    <t>1.1.5.2.2.1</t>
  </si>
  <si>
    <t>Fiber cables</t>
  </si>
  <si>
    <t>1.1.5.2.3</t>
  </si>
  <si>
    <t>VRB System</t>
  </si>
  <si>
    <t>1.1.5.2.3.1</t>
  </si>
  <si>
    <t>VRB Cards</t>
  </si>
  <si>
    <t>1.1.5.2.3.2</t>
  </si>
  <si>
    <t>J3 Backplanes</t>
  </si>
  <si>
    <t>1.1.5.2.3.3</t>
  </si>
  <si>
    <t>VRB Controller</t>
  </si>
  <si>
    <t>1.1.5.2.3.4</t>
  </si>
  <si>
    <t>Rack Prep &amp; Crates</t>
  </si>
  <si>
    <t>1.1.5.2.3.5</t>
  </si>
  <si>
    <t>Diagnostic Computer</t>
  </si>
  <si>
    <t>1.1.5.2.3.6</t>
  </si>
  <si>
    <t>VRB Test tooling</t>
  </si>
  <si>
    <t>1.1.5.3</t>
  </si>
  <si>
    <t>Fiber/Preshower Readout System</t>
  </si>
  <si>
    <t>1.1.5.3.1</t>
  </si>
  <si>
    <t>Trigger Card</t>
  </si>
  <si>
    <t>1.1.5.3.1.1</t>
  </si>
  <si>
    <t>SVX II Chip</t>
  </si>
  <si>
    <t>1.1.5.3.1.2</t>
  </si>
  <si>
    <t>Front End Chip</t>
  </si>
  <si>
    <t>1.1.5.3.1.3</t>
  </si>
  <si>
    <t>Field programmable Gate Arrays</t>
  </si>
  <si>
    <t>1.1.5.3.1.4</t>
  </si>
  <si>
    <t>Multi chip module</t>
  </si>
  <si>
    <t>1.1.5.3.1.6</t>
  </si>
  <si>
    <t>PC Board</t>
  </si>
  <si>
    <t>1.1.5.3.1.7</t>
  </si>
  <si>
    <t>Miscellaneous Chips</t>
  </si>
  <si>
    <t>1.1.5.3.1.8</t>
  </si>
  <si>
    <t>Port Card</t>
  </si>
  <si>
    <t>1.1.5.3.1.9</t>
  </si>
  <si>
    <t>1.1.5.3.1.10</t>
  </si>
  <si>
    <t>Power supply</t>
  </si>
  <si>
    <t>1.1.5.3.1.11</t>
  </si>
  <si>
    <t>1.1.5.3.2</t>
  </si>
  <si>
    <t>Tooling</t>
  </si>
  <si>
    <t>1.1.5.3.2.1</t>
  </si>
  <si>
    <t>Front end chip development</t>
  </si>
  <si>
    <t>1.1.5.3.2.2</t>
  </si>
  <si>
    <t>Pulser system</t>
  </si>
  <si>
    <t>1.1.5.3.2.4</t>
  </si>
  <si>
    <t>SVX packaging</t>
  </si>
  <si>
    <t>1.1.5.3.3</t>
  </si>
  <si>
    <t>Stereo Card</t>
  </si>
  <si>
    <t>1.1.5.3.3.1</t>
  </si>
  <si>
    <t>SVX II chip</t>
  </si>
  <si>
    <t>1.1.5.3.3.2</t>
  </si>
  <si>
    <t>1.1.5.3.3.4</t>
  </si>
  <si>
    <t>1.1.5.3.3.5</t>
  </si>
  <si>
    <t>1.1.5.3.3.6</t>
  </si>
  <si>
    <t>1.1.5.3.3.7</t>
  </si>
  <si>
    <t>1.1.5.3.3.8</t>
  </si>
  <si>
    <t>Bias supply</t>
  </si>
  <si>
    <t>1.1.5.3.3.9</t>
  </si>
  <si>
    <t>1.1.5.3.3.10</t>
  </si>
  <si>
    <t>1.1.5.3.3.11</t>
  </si>
  <si>
    <t>1.1.5.3.4</t>
  </si>
  <si>
    <t>Fiber Optic system</t>
  </si>
  <si>
    <t>1.1.5.3.4.1</t>
  </si>
  <si>
    <t>Fiber optic cables</t>
  </si>
  <si>
    <t>1.1.5.3.5</t>
  </si>
  <si>
    <t>1.1.5.3.5.1</t>
  </si>
  <si>
    <t>1.1.5.3.5.2</t>
  </si>
  <si>
    <t>1.1.5.3.5.3</t>
  </si>
  <si>
    <t>1.1.5.3.5.4</t>
  </si>
  <si>
    <t>1.1.5.3.5.5</t>
  </si>
  <si>
    <t>1.1.5.3.6</t>
  </si>
  <si>
    <t>FPS Readout/Trigger</t>
  </si>
  <si>
    <t>1.1.5.3.6.1</t>
  </si>
  <si>
    <t>1.1.5.3.6.2</t>
  </si>
  <si>
    <t>1.1.5.3.6.3</t>
  </si>
  <si>
    <t>1.1.5.3.6.4</t>
  </si>
  <si>
    <t>1.1.5.3.6.6</t>
  </si>
  <si>
    <t>1.1.5.3.6.7</t>
  </si>
  <si>
    <t>1.1.5.3.6.8</t>
  </si>
  <si>
    <t>1.1.5.3.6.9</t>
  </si>
  <si>
    <t>1.1.5.3.6.10</t>
  </si>
  <si>
    <t>1.1.5.3.6.11</t>
  </si>
  <si>
    <t>1.1.5.3.7</t>
  </si>
  <si>
    <t>CPS Stereo</t>
  </si>
  <si>
    <t>1.1.5.3.7.1</t>
  </si>
  <si>
    <t>Readout to L2 and L3</t>
  </si>
  <si>
    <t>Quadrant Signal Generation</t>
  </si>
  <si>
    <t>Trigger Pickoff Signals</t>
  </si>
  <si>
    <t>1.4.3.1.6</t>
  </si>
  <si>
    <t>1.4.3.1.7</t>
  </si>
  <si>
    <t>1.4.3.1.8</t>
  </si>
  <si>
    <t>1.4.3.1.9</t>
  </si>
  <si>
    <t>Timing Signal Generation and Distrib</t>
  </si>
  <si>
    <t>Cal L1 to TCC Interface</t>
  </si>
  <si>
    <t>VRB Readout Cards</t>
  </si>
  <si>
    <t>1.1.5.3.7.2</t>
  </si>
  <si>
    <t>1.1.5.3.7.3</t>
  </si>
  <si>
    <t>1.1.5.3.7.4</t>
  </si>
  <si>
    <t>1.1.5.3.7.5</t>
  </si>
  <si>
    <t>1.1.5.3.7.6</t>
  </si>
  <si>
    <t>1.1.5.3.7.7</t>
  </si>
  <si>
    <t>1.1.5.3.7.8</t>
  </si>
  <si>
    <t>1.1.5.3.7.9</t>
  </si>
  <si>
    <t>1.1.5.3.7.10</t>
  </si>
  <si>
    <t>1.2</t>
  </si>
  <si>
    <t>CALORIMETER</t>
  </si>
  <si>
    <t>1.2.1</t>
  </si>
  <si>
    <t>FRONT-END ELECTRONICS</t>
  </si>
  <si>
    <t>1.2.1.1</t>
  </si>
  <si>
    <t>Preamp System</t>
  </si>
  <si>
    <t>1.2.1.1.1</t>
  </si>
  <si>
    <t>Preamp Engineering &amp; Design</t>
  </si>
  <si>
    <t>1.2.1.1.2</t>
  </si>
  <si>
    <t>Preamp Hybrids</t>
  </si>
  <si>
    <t>1.2.1.1.2.1</t>
  </si>
  <si>
    <t>Parts</t>
  </si>
  <si>
    <t>1.2.1.1.2.1.1</t>
  </si>
  <si>
    <t>Transistors / Diodes</t>
  </si>
  <si>
    <t>1.2.1.1.2.1.1.1</t>
  </si>
  <si>
    <t>MMBD7000LT1 (D1)</t>
  </si>
  <si>
    <t>1.2.1.1.2.1.1.2</t>
  </si>
  <si>
    <t>MMBT3904LT1 (Q9)</t>
  </si>
  <si>
    <t>1.2.1.1.2.1.1.3</t>
  </si>
  <si>
    <t>MMBT3906T (Q13)</t>
  </si>
  <si>
    <t>1.2.1.1.2.1.1.4</t>
  </si>
  <si>
    <t>MMBTH10LT1 (Q2,3,4,8,10,12)</t>
  </si>
  <si>
    <t>1.2.1.1.2.1.1.5</t>
  </si>
  <si>
    <t>MMBTH81LT1 (Q1,5,6,7,11)</t>
  </si>
  <si>
    <t>1.2.1.1.2.1.2</t>
  </si>
  <si>
    <t>Capacitors</t>
  </si>
  <si>
    <t>1.2.1.1.2.1.2.1</t>
  </si>
  <si>
    <t>4.7uF,1206,35V,Y5V, -20+80% (C17,19,2123)</t>
  </si>
  <si>
    <t>1.2.1.1.2.1.2.2</t>
  </si>
  <si>
    <t>Bypass</t>
  </si>
  <si>
    <t>1.2.1.1.2.1.2.2.1</t>
  </si>
  <si>
    <t>68nF, 0603, 25V, Y5V, -20+80% (C25,26,27)</t>
  </si>
  <si>
    <t>1.2.1.1.2.1.2.2.2</t>
  </si>
  <si>
    <t>.1uF, 0805,50V,Z5U,-20+80% (C2,4,10,12,16,18,20,22)</t>
  </si>
  <si>
    <t>1.2.1.1.2.1.2.3</t>
  </si>
  <si>
    <t>Precision</t>
  </si>
  <si>
    <t>1.2.1.1.2.1.2.3.1</t>
  </si>
  <si>
    <t>.47uF,0805,16V,X7R,+/-10% (C1)</t>
  </si>
  <si>
    <t>1.2.1.1.2.1.2.3.2</t>
  </si>
  <si>
    <t>.15uF,0805,15V,X7R,+/-10% (C6,11)</t>
  </si>
  <si>
    <t>1.2.1.1.2.1.2.3.3</t>
  </si>
  <si>
    <t>3pF,0805,50V,NPO,+/-0.5pF (C9,14)</t>
  </si>
  <si>
    <t>1.2.1.1.2.1.2.3.4</t>
  </si>
  <si>
    <t>22pF,0805,50V,NPO,+/-2% (C5)</t>
  </si>
  <si>
    <t>1.2.1.1.2.1.2.3.5</t>
  </si>
  <si>
    <t>10pF,0805,50V,NPO,+/-0.25pF (C3)</t>
  </si>
  <si>
    <t>1.2.1.1.2.1.2.3.6</t>
  </si>
  <si>
    <t>5pF,0805,50V,NPO,+/-0.25pF (C3)</t>
  </si>
  <si>
    <t>1.2.1.1.2.1.2.3.7</t>
  </si>
  <si>
    <t>10nF,1210,50V,NPO,+/-1% (C15,24)</t>
  </si>
  <si>
    <t>1.2.1.1.2.1.2.3.8</t>
  </si>
  <si>
    <t>C8</t>
  </si>
  <si>
    <t>1.2.1.1.2.1.2.3.9</t>
  </si>
  <si>
    <t>C13</t>
  </si>
  <si>
    <t>1.2.1.1.2.1.3</t>
  </si>
  <si>
    <t>1.2.1.1.2.2</t>
  </si>
  <si>
    <t>Assembly (ceramic, resistors)</t>
  </si>
  <si>
    <t>1.2.1.1.2.2.1</t>
  </si>
  <si>
    <t>Engineering Samples</t>
  </si>
  <si>
    <t>1.2.1.1.2.2.2</t>
  </si>
  <si>
    <t>Substrate Mold</t>
  </si>
  <si>
    <t>1.2.1.1.2.2.3</t>
  </si>
  <si>
    <t>NRE</t>
  </si>
  <si>
    <t>1.2.1.1.2.2.4</t>
  </si>
  <si>
    <t>Hybrid production</t>
  </si>
  <si>
    <t>1.2.1.1.2.3</t>
  </si>
  <si>
    <t>Test Station</t>
  </si>
  <si>
    <t>1.2.1.1.2.3.1</t>
  </si>
  <si>
    <t>DAQ</t>
  </si>
  <si>
    <t>1.2.1.1.2.3.2</t>
  </si>
  <si>
    <t>Test Jig</t>
  </si>
  <si>
    <t>1.2.1.1.3</t>
  </si>
  <si>
    <t>Preamp Motherboards</t>
  </si>
  <si>
    <t>1.2.1.1.3.1</t>
  </si>
  <si>
    <t>NRE setup</t>
  </si>
  <si>
    <t>1.2.1.1.3.2</t>
  </si>
  <si>
    <t>PC boards</t>
  </si>
  <si>
    <t>1.2.1.1.3.3</t>
  </si>
  <si>
    <t>1.2.1.1.3.4</t>
  </si>
  <si>
    <t>1.2.1.1.3.4.1</t>
  </si>
  <si>
    <t>1.2.1.1.3.4.2</t>
  </si>
  <si>
    <t>Precision resistors</t>
  </si>
  <si>
    <t>1.2.1.1.3.4.3</t>
  </si>
  <si>
    <t>Fuses, diode, resistor</t>
  </si>
  <si>
    <t>1.2.1.1.3.4.4</t>
  </si>
  <si>
    <t>DIN connector</t>
  </si>
  <si>
    <t>1.2.1.1.3.5</t>
  </si>
  <si>
    <t>Testing</t>
  </si>
  <si>
    <t>1.2.1.1.4</t>
  </si>
  <si>
    <t>Preamp Power Supplies</t>
  </si>
  <si>
    <t>1.2.1.1.4.12</t>
  </si>
  <si>
    <t>Vicor Power Supply &amp; Chassis</t>
  </si>
  <si>
    <t>1.2.1.1.4.13</t>
  </si>
  <si>
    <t>Chassis</t>
  </si>
  <si>
    <t>1.2.1.1.4.14</t>
  </si>
  <si>
    <t>Interface</t>
  </si>
  <si>
    <t>1.2.1.1.4.14.1</t>
  </si>
  <si>
    <t>1.2.1.1.4.14.2</t>
  </si>
  <si>
    <t>Shunt Resistors</t>
  </si>
  <si>
    <t>1.2.1.1.4.14.3</t>
  </si>
  <si>
    <t>3 Phase S.S. Relays</t>
  </si>
  <si>
    <t>1.2.1.1.4.14.4</t>
  </si>
  <si>
    <t>Fuse/fuse block</t>
  </si>
  <si>
    <t>1.2.1.1.4.14.5</t>
  </si>
  <si>
    <t>Terminal Block</t>
  </si>
  <si>
    <t>1.2.1.1.4.14.6</t>
  </si>
  <si>
    <t>Water Cooler</t>
  </si>
  <si>
    <t>1.2.1.1.4.14.7</t>
  </si>
  <si>
    <t>IC's</t>
  </si>
  <si>
    <t>1.2.1.1.4.14.8</t>
  </si>
  <si>
    <t>Temp Sensors</t>
  </si>
  <si>
    <t>1.2.1.1.4.14.9</t>
  </si>
  <si>
    <t>Anode Connector</t>
  </si>
  <si>
    <t>1.2.1.1.4.14.10</t>
  </si>
  <si>
    <t>D Connectors</t>
  </si>
  <si>
    <t>1.2.1.1.4.14.11</t>
  </si>
  <si>
    <t>Discrete Components</t>
  </si>
  <si>
    <t>1.2.1.1.4.15</t>
  </si>
  <si>
    <t>Assembly &amp; Testing</t>
  </si>
  <si>
    <t>1.2.1.2</t>
  </si>
  <si>
    <t>BLS System</t>
  </si>
  <si>
    <t>1.2.1.2.1</t>
  </si>
  <si>
    <t>BLS Engineering &amp; Design</t>
  </si>
  <si>
    <t>1.2.1.2.2</t>
  </si>
  <si>
    <t>BLS Switched Capacitor Arrays</t>
  </si>
  <si>
    <t>1.2.1.2.2.1</t>
  </si>
  <si>
    <t>SCA die</t>
  </si>
  <si>
    <t>1.2.1.2.2.1.1</t>
  </si>
  <si>
    <t>1.1.5.3.8.1</t>
  </si>
  <si>
    <t>1.1.5.3.8.1.1</t>
  </si>
  <si>
    <t>1.1.5.3.8.1.2</t>
  </si>
  <si>
    <t>1.1.5.3.8.1.3</t>
  </si>
  <si>
    <t>1.1.5.3.8.1.4</t>
  </si>
  <si>
    <t>1.1.5.3.8.1.5</t>
  </si>
  <si>
    <t>1.1.5.3.8.1.6</t>
  </si>
  <si>
    <t>1.1.5.3.8.2</t>
  </si>
  <si>
    <t>1.1.5.3.8.3</t>
  </si>
  <si>
    <t>1.1.5.3.8.4</t>
  </si>
  <si>
    <t>1.1.5.3.8.5</t>
  </si>
  <si>
    <t>1.1.5.3.8.5.1</t>
  </si>
  <si>
    <t>1.1.5.3.8.5.2</t>
  </si>
  <si>
    <t>Mixing Box</t>
  </si>
  <si>
    <t>Mixing Board</t>
  </si>
  <si>
    <t>Board Fab</t>
  </si>
  <si>
    <t>Ivds Receivers/Drivers</t>
  </si>
  <si>
    <t>CPLD Logic</t>
  </si>
  <si>
    <t>Misc Logic</t>
  </si>
  <si>
    <t>Back Planes</t>
  </si>
  <si>
    <t>Crate</t>
  </si>
  <si>
    <t>Power Supply</t>
  </si>
  <si>
    <t>Input Cables</t>
  </si>
  <si>
    <t>Output Cables</t>
  </si>
  <si>
    <t>Prototype 10 wafers</t>
  </si>
  <si>
    <t>1.2.1.2.2.1.2</t>
  </si>
  <si>
    <t>Production wafers</t>
  </si>
  <si>
    <t>1.2.1.2.2.1.3</t>
  </si>
  <si>
    <t>Photoplate generation</t>
  </si>
  <si>
    <t>1.2.1.2.2.2</t>
  </si>
  <si>
    <t>Die packaging</t>
  </si>
  <si>
    <t>1.2.1.2.2.3</t>
  </si>
  <si>
    <t>1.2.1.2.3</t>
  </si>
  <si>
    <t>Shaper Hybrid</t>
  </si>
  <si>
    <t>1.2.1.2.3.1</t>
  </si>
  <si>
    <t>Filter</t>
  </si>
  <si>
    <t>1.2.1.2.3.1.1</t>
  </si>
  <si>
    <t>Transistors</t>
  </si>
  <si>
    <t>1.2.1.2.3.1.2</t>
  </si>
  <si>
    <t>Tantallum Caps (2.2uF)</t>
  </si>
  <si>
    <t>1.2.1.2.3.1.3</t>
  </si>
  <si>
    <t>Ceramic Caps (Z5U)</t>
  </si>
  <si>
    <t>1.2.1.2.3.1.4</t>
  </si>
  <si>
    <t>Precision Caps (NPO)</t>
  </si>
  <si>
    <t>1.2.1.2.3.2</t>
  </si>
  <si>
    <t>x1/x8 amp</t>
  </si>
  <si>
    <t>1.2.1.2.3.2.1</t>
  </si>
  <si>
    <t>HFA1135</t>
  </si>
  <si>
    <t>1.2.1.2.3.2.2</t>
  </si>
  <si>
    <t>1.2.1.2.3.2.3</t>
  </si>
  <si>
    <t>1.2.1.2.3.3</t>
  </si>
  <si>
    <t>Trigger pickoff</t>
  </si>
  <si>
    <t>1.2.1.2.3.3.1</t>
  </si>
  <si>
    <t>1.2.1.2.3.3.2</t>
  </si>
  <si>
    <t>1.2.1.2.3.3.3</t>
  </si>
  <si>
    <t>1.2.1.2.3.4</t>
  </si>
  <si>
    <t>Ceramic Chip (with resistors)</t>
  </si>
  <si>
    <t>1.2.1.2.3.5</t>
  </si>
  <si>
    <t>Male Pins</t>
  </si>
  <si>
    <t>1.2.1.2.4</t>
  </si>
  <si>
    <t>Analog Buffer Daughter Board</t>
  </si>
  <si>
    <t>1.2.1.2.4.1</t>
  </si>
  <si>
    <t>Daughter Board (10 layer)</t>
  </si>
  <si>
    <t>1.2.1.2.4.2</t>
  </si>
  <si>
    <t>Connectors &amp; Sockets</t>
  </si>
  <si>
    <t>1.2.1.2.4.2.1</t>
  </si>
  <si>
    <t>25 pair</t>
  </si>
  <si>
    <t>1.2.1.2.4.2.2</t>
  </si>
  <si>
    <t>20 pair</t>
  </si>
  <si>
    <t>1.2.1.2.4.2.3</t>
  </si>
  <si>
    <t>17 pair</t>
  </si>
  <si>
    <t>1.2.1.2.4.2.4</t>
  </si>
  <si>
    <t>PLCC 68 pin sockets</t>
  </si>
  <si>
    <t>1.2.1.2.4.3</t>
  </si>
  <si>
    <t>1.2.1.2.4.3.1</t>
  </si>
  <si>
    <t>Tantallum Caps (10uF)</t>
  </si>
  <si>
    <t>1.2.1.2.4.3.2</t>
  </si>
  <si>
    <t>0.1uF Ceramic Caps (Z5U)</t>
  </si>
  <si>
    <t>1.2.1.2.4.3.3</t>
  </si>
  <si>
    <t>1.2.1.2.4.3.4</t>
  </si>
  <si>
    <t>0.22uF Ceramic Caps (Z5U)</t>
  </si>
  <si>
    <t>1.2.1.2.4.4</t>
  </si>
  <si>
    <t>Resistors</t>
  </si>
  <si>
    <t>1.2.1.2.4.4.1</t>
  </si>
  <si>
    <t>Precision Resistor (0.1%)</t>
  </si>
  <si>
    <t>1.2.1.2.4.4.2</t>
  </si>
  <si>
    <t>Regular Resistors (1%)</t>
  </si>
  <si>
    <t>1.2.1.2.4.4.3</t>
  </si>
  <si>
    <t>Low Precision Resistors (5%)</t>
  </si>
  <si>
    <t>1.2.1.2.4.5</t>
  </si>
  <si>
    <t>LM311M comparator</t>
  </si>
  <si>
    <t>1.2.1.2.4.6</t>
  </si>
  <si>
    <t>HFA1135 Op-Amp</t>
  </si>
  <si>
    <t>1.2.1.2.4.7</t>
  </si>
  <si>
    <t>Cmos 4053 switch</t>
  </si>
  <si>
    <t>1.2.1.2.4.8</t>
  </si>
  <si>
    <t>Cmos 4174 registor</t>
  </si>
  <si>
    <t>1.2.1.2.4.9</t>
  </si>
  <si>
    <t>Cmos 4519 MUX</t>
  </si>
  <si>
    <t>1.2.1.2.4.10</t>
  </si>
  <si>
    <t>TL074X2 Op-Amp</t>
  </si>
  <si>
    <t>1.2.1.2.5</t>
  </si>
  <si>
    <t>S/H &amp; Output Buffer</t>
  </si>
  <si>
    <t>1.2.1.2.5.1</t>
  </si>
  <si>
    <t>1.2.1.2.5.2</t>
  </si>
  <si>
    <t>1.2.1.2.5.2.1</t>
  </si>
  <si>
    <t>1.2.1.2.5.2.2</t>
  </si>
  <si>
    <t>1.2.1.2.5.3</t>
  </si>
  <si>
    <t>Cmos 4066 switch</t>
  </si>
  <si>
    <t>1.2.1.2.5.4</t>
  </si>
  <si>
    <t>1.2.1.2.5.5</t>
  </si>
  <si>
    <t>1.2.1.2.6</t>
  </si>
  <si>
    <t>BLS Boards</t>
  </si>
  <si>
    <t>1.2.1.2.6.1</t>
  </si>
  <si>
    <t>1.2.1.2.6.1.1</t>
  </si>
  <si>
    <t>96 pin DIN</t>
  </si>
  <si>
    <t>1.2.1.2.6.1.2</t>
  </si>
  <si>
    <t>64 pin DIN</t>
  </si>
  <si>
    <t>1.2.1.2.6.1.3</t>
  </si>
  <si>
    <t>Board mount Socket Pins</t>
  </si>
  <si>
    <t>1.2.1.2.6.1.4</t>
  </si>
  <si>
    <t>25 pair Header</t>
  </si>
  <si>
    <t>1.2.1.2.6.1.5</t>
  </si>
  <si>
    <t>20 pair Header</t>
  </si>
  <si>
    <t>1.2.1.2.6.1.6</t>
  </si>
  <si>
    <t>17 pair Header</t>
  </si>
  <si>
    <t>1.2.1.2.6.2</t>
  </si>
  <si>
    <t>Control &amp; Drivers</t>
  </si>
  <si>
    <t>1.2.1.2.6.3</t>
  </si>
  <si>
    <t>Trigger sum driver</t>
  </si>
  <si>
    <t>1.2.1.2.6.4</t>
  </si>
  <si>
    <t>Power Conditioning</t>
  </si>
  <si>
    <t>1.2.1.2.6.5</t>
  </si>
  <si>
    <t>Motherboards</t>
  </si>
  <si>
    <t>1.2.1.2.7</t>
  </si>
  <si>
    <t>1.2.1.2.8</t>
  </si>
  <si>
    <t>BLS Power Supplies</t>
  </si>
  <si>
    <t>1.2.1.2.8.1</t>
  </si>
  <si>
    <t>1.4.5.5</t>
  </si>
  <si>
    <t>1.4.5.5.1</t>
  </si>
  <si>
    <t>1.4.5.5.2</t>
  </si>
  <si>
    <t>1.4.5.5.3</t>
  </si>
  <si>
    <t>1.4.5.5.4</t>
  </si>
  <si>
    <t>1.4.5.5.5</t>
  </si>
  <si>
    <t>1.4.5.5.6</t>
  </si>
  <si>
    <t>SCL and HUB System</t>
  </si>
  <si>
    <t>Trigger Hub</t>
  </si>
  <si>
    <t>Serial Line Fanout</t>
  </si>
  <si>
    <t>1.3.4.2.11</t>
  </si>
  <si>
    <t>Low Voltage Bus</t>
  </si>
  <si>
    <t>Status Concentrator</t>
  </si>
  <si>
    <t>Serial Receiver</t>
  </si>
  <si>
    <t>J3 Backplane</t>
  </si>
  <si>
    <t>1.1.5.3.8</t>
  </si>
  <si>
    <t>Fanout SFO</t>
  </si>
  <si>
    <t>CONTRIB</t>
  </si>
  <si>
    <t>(NON-DoE)</t>
  </si>
  <si>
    <t>Main Power transformers</t>
  </si>
  <si>
    <t>1.2.1.2.8.3</t>
  </si>
  <si>
    <t>Control Panel</t>
  </si>
  <si>
    <t>1.2.1.2.8.5</t>
  </si>
  <si>
    <t>Parts/PC boards</t>
  </si>
  <si>
    <t>1.2.1.2.9</t>
  </si>
  <si>
    <t>BLS Crate Controllers</t>
  </si>
  <si>
    <t>1.2.1.3</t>
  </si>
  <si>
    <t>ADC Controllers</t>
  </si>
  <si>
    <t>1.2.1.4</t>
  </si>
  <si>
    <t>Timing System</t>
  </si>
  <si>
    <t>1.2.1.4.1</t>
  </si>
  <si>
    <t>Central Crate Cards (MCH3)</t>
  </si>
  <si>
    <t>1.2.1.4.2</t>
  </si>
  <si>
    <t>Signal Fanout Cards</t>
  </si>
  <si>
    <t>1.2.1.4.3</t>
  </si>
  <si>
    <t>Signal Fanout Crates</t>
  </si>
  <si>
    <t>1.2.1.4.4</t>
  </si>
  <si>
    <t>Signal Fanout Power Supplies</t>
  </si>
  <si>
    <t>1.2.1.4.5</t>
  </si>
  <si>
    <t>Coax Cabling (MCH3 to Quadrants)</t>
  </si>
  <si>
    <t>1.2.1.5</t>
  </si>
  <si>
    <t>1.3.5.4.7</t>
  </si>
  <si>
    <t>1.3.5.4.7.1</t>
  </si>
  <si>
    <t>1.3.5.4.7.2</t>
  </si>
  <si>
    <t>1.3.5.4.8</t>
  </si>
  <si>
    <t>1.3.5.4.8.1</t>
  </si>
  <si>
    <t>1.3.5.4.8.2</t>
  </si>
  <si>
    <t>MRC Tester</t>
  </si>
  <si>
    <t>PCB Fabrication</t>
  </si>
  <si>
    <t>MFC/TFC Tester</t>
  </si>
  <si>
    <t>1.2.1.5.3</t>
  </si>
  <si>
    <t>1.2.1.5.3.1</t>
  </si>
  <si>
    <t>1.2.1.5.3.2</t>
  </si>
  <si>
    <t>1.2.1.5.3.3</t>
  </si>
  <si>
    <t>1.2.1.5.3.4</t>
  </si>
  <si>
    <t>1.2.1.5.3.5</t>
  </si>
  <si>
    <t>1.2.1.5.4</t>
  </si>
  <si>
    <t>1.2.1.5.4.1</t>
  </si>
  <si>
    <t>1.2.1.5.4.2</t>
  </si>
  <si>
    <t>1.2.1.5.4.3</t>
  </si>
  <si>
    <t>1.2.1.5.4.4</t>
  </si>
  <si>
    <t>1.2.1.5.4.5</t>
  </si>
  <si>
    <t>Pulser Calibration</t>
  </si>
  <si>
    <t>Motherboard</t>
  </si>
  <si>
    <t>Mechanics</t>
  </si>
  <si>
    <t>PC + Interface</t>
  </si>
  <si>
    <t>Active Fanout</t>
  </si>
  <si>
    <t>Components</t>
  </si>
  <si>
    <t>1.2.1.6</t>
  </si>
  <si>
    <t>Cables Feedthrough-Preamp</t>
  </si>
  <si>
    <t>1.2.2</t>
  </si>
  <si>
    <t>INTERCRYOSTAT DETECTOR</t>
  </si>
  <si>
    <t>1.2.2.1</t>
  </si>
  <si>
    <t>Engineering and design</t>
  </si>
  <si>
    <t>1.2.2.1.1</t>
  </si>
  <si>
    <t>Second Protoype</t>
  </si>
  <si>
    <t>1.2.2.2</t>
  </si>
  <si>
    <t>Scintillator Modules</t>
  </si>
  <si>
    <t>1.2.2.2.1</t>
  </si>
  <si>
    <t>Module design</t>
  </si>
  <si>
    <t>1.2.2.2.2</t>
  </si>
  <si>
    <t>Scintillator</t>
  </si>
  <si>
    <t>1.2.2.2.3</t>
  </si>
  <si>
    <t>1.2.2.2.4</t>
  </si>
  <si>
    <t>Fiber Splicer</t>
  </si>
  <si>
    <t>1.2.2.2.5</t>
  </si>
  <si>
    <t>Fiber Tester</t>
  </si>
  <si>
    <t>1.2.2.2.6</t>
  </si>
  <si>
    <t>1.2.2.2.7</t>
  </si>
  <si>
    <t>Other Supplies</t>
  </si>
  <si>
    <t>1.2.2.2.8</t>
  </si>
  <si>
    <t>Module Assembly</t>
  </si>
  <si>
    <t>TOTAL DZERO UPGRADE EQUIPMENT</t>
  </si>
  <si>
    <t>1.1.5.3.1.2.1</t>
  </si>
  <si>
    <t>1.1.5.3.1.2.2</t>
  </si>
  <si>
    <t>Chip Testing and Dicing</t>
  </si>
  <si>
    <t>1.2.2.2.9</t>
  </si>
  <si>
    <t>Cosmic Ray Testing</t>
  </si>
  <si>
    <t>1.2.2.2.9.1</t>
  </si>
  <si>
    <t>CR Teststands</t>
  </si>
  <si>
    <t>1.2.2.2.9.2</t>
  </si>
  <si>
    <t>CR Testing</t>
  </si>
  <si>
    <t>1.2.2.3</t>
  </si>
  <si>
    <t>Fiber System</t>
  </si>
  <si>
    <t>1.2.2.3.1</t>
  </si>
  <si>
    <t>Fiber System Design</t>
  </si>
  <si>
    <t>1.2.2.3.2</t>
  </si>
  <si>
    <t>Fiber Ribbons</t>
  </si>
  <si>
    <t>1.2.2.3.2.1</t>
  </si>
  <si>
    <t>Ribbon Testing</t>
  </si>
  <si>
    <t>1.2.2.3.2.2</t>
  </si>
  <si>
    <t>Ribbon Construction</t>
  </si>
  <si>
    <t>1.2.2.3.2.3</t>
  </si>
  <si>
    <t>1.2.2.3.2.4</t>
  </si>
  <si>
    <t>Connector Polisher</t>
  </si>
  <si>
    <t>1.2.2.3.3</t>
  </si>
  <si>
    <t>Fiber Backplane</t>
  </si>
  <si>
    <t>1.2.2.3.3.1</t>
  </si>
  <si>
    <t>Fibers</t>
  </si>
  <si>
    <t>1.2.2.3.3.2</t>
  </si>
  <si>
    <t>Cookies</t>
  </si>
  <si>
    <t>1.2.2.3.3.3</t>
  </si>
  <si>
    <t>1.2.2.3.3.4</t>
  </si>
  <si>
    <t>Fiber Routing</t>
  </si>
  <si>
    <t>1.2.2.3.3.5</t>
  </si>
  <si>
    <t>Enclosures</t>
  </si>
  <si>
    <t>1.2.2.4</t>
  </si>
  <si>
    <t>Drawer System</t>
  </si>
  <si>
    <t>1.2.2.4.1</t>
  </si>
  <si>
    <t>Drawer Design</t>
  </si>
  <si>
    <t>1.2.2.4.2</t>
  </si>
  <si>
    <t>Drawers</t>
  </si>
  <si>
    <t>1.2.2.4.3</t>
  </si>
  <si>
    <t>1.2.2.4.4</t>
  </si>
  <si>
    <t>Electronics Design</t>
  </si>
  <si>
    <t>1.2.2.4.5</t>
  </si>
  <si>
    <t>1.2.2.4.6</t>
  </si>
  <si>
    <t>HV Bases</t>
  </si>
  <si>
    <t>1.2.2.4.7</t>
  </si>
  <si>
    <t>Electronics Testing</t>
  </si>
  <si>
    <t>1.2.2.4.8</t>
  </si>
  <si>
    <t>Drawer Assembly</t>
  </si>
  <si>
    <t>1.2.2.4.9</t>
  </si>
  <si>
    <t>Temperature Sensors</t>
  </si>
  <si>
    <t>1.2.2.5</t>
  </si>
  <si>
    <t>Crate System</t>
  </si>
  <si>
    <t>1.2.2.5.1</t>
  </si>
  <si>
    <t>Crate Design</t>
  </si>
  <si>
    <t>1.2.2.5.2</t>
  </si>
  <si>
    <t>Crates</t>
  </si>
  <si>
    <t>1.2.2.5.3</t>
  </si>
  <si>
    <t>Steel Blocks</t>
  </si>
  <si>
    <t>1.2.2.5.4</t>
  </si>
  <si>
    <t>Pulser/LVPS Boards</t>
  </si>
  <si>
    <t>1.2.2.5.5</t>
  </si>
  <si>
    <t>Cooling System</t>
  </si>
  <si>
    <t>1.2.2.6</t>
  </si>
  <si>
    <t>PMT System</t>
  </si>
  <si>
    <t>1.2.2.6.1</t>
  </si>
  <si>
    <t>PMT Holders</t>
  </si>
  <si>
    <t>1.2.2.6.2</t>
  </si>
  <si>
    <t>PMT sockets</t>
  </si>
  <si>
    <t>1.2.2.6.3</t>
  </si>
  <si>
    <t>PMT testing</t>
  </si>
  <si>
    <t>1.2.2.6.3.1</t>
  </si>
  <si>
    <t>PMT Teststand</t>
  </si>
  <si>
    <t>1.2.2.6.3.2</t>
  </si>
  <si>
    <t>PMT Testing</t>
  </si>
  <si>
    <t>1.2.2.7</t>
  </si>
  <si>
    <t>1.2.2.7.1</t>
  </si>
  <si>
    <t>Laser Calibration Design</t>
  </si>
  <si>
    <t>1.2.2.7.2</t>
  </si>
  <si>
    <t>Hardware</t>
  </si>
  <si>
    <t>1.2.2.8</t>
  </si>
  <si>
    <t>Cabling and Platform Electronics</t>
  </si>
  <si>
    <t>1.2.2.8.1</t>
  </si>
  <si>
    <t>Pulser Cables</t>
  </si>
  <si>
    <t>1.2.2.8.2</t>
  </si>
  <si>
    <t>LVPS Cables</t>
  </si>
  <si>
    <t>1.2.2.8.3</t>
  </si>
  <si>
    <t>HVPS Cables</t>
  </si>
  <si>
    <t>1.2.2.8.4</t>
  </si>
  <si>
    <t>Signal Cables</t>
  </si>
  <si>
    <t>1.2.2.8.5</t>
  </si>
  <si>
    <t>Preamp LV Supply</t>
  </si>
  <si>
    <t>1.2.2.8.6</t>
  </si>
  <si>
    <t>Preamp Pulser Supply</t>
  </si>
  <si>
    <t>1.2.2.9</t>
  </si>
  <si>
    <t>Shipping</t>
  </si>
  <si>
    <t>1.2.2.10</t>
  </si>
  <si>
    <t>Installation</t>
  </si>
  <si>
    <t>1.2.2.10.1</t>
  </si>
  <si>
    <t>Support Design</t>
  </si>
  <si>
    <t>1.2.2.10.2</t>
  </si>
  <si>
    <t>Install Boxes &amp; Drawers</t>
  </si>
  <si>
    <t>1.2.2.11</t>
  </si>
  <si>
    <t>Commissioning</t>
  </si>
  <si>
    <t>1.3</t>
  </si>
  <si>
    <t>MUON DETECTORS</t>
  </si>
  <si>
    <t>1.3.1</t>
  </si>
  <si>
    <t>COSMIC RAY SCINTILLATOR</t>
  </si>
  <si>
    <t>1.3.1.1</t>
  </si>
  <si>
    <t>1.3.1.1.1</t>
  </si>
  <si>
    <t>Top counters (113)</t>
  </si>
  <si>
    <t>1.3.1.1.2</t>
  </si>
  <si>
    <t>Side counters (108)</t>
  </si>
  <si>
    <t>1.3.1.1.3</t>
  </si>
  <si>
    <t>Side counters (81)</t>
  </si>
  <si>
    <t>1.3.1.1.4</t>
  </si>
  <si>
    <t>Machining</t>
  </si>
  <si>
    <t>1.3.1.1.5</t>
  </si>
  <si>
    <t>Side scintillator</t>
  </si>
  <si>
    <t>1.3.1.1.6</t>
  </si>
  <si>
    <t>1.4.3.2.12.4</t>
  </si>
  <si>
    <t>1.4.3.2.12.5</t>
  </si>
  <si>
    <t>AZ Technician Labor</t>
  </si>
  <si>
    <t>BU Technician Labor</t>
  </si>
  <si>
    <t>Bottom scintillator</t>
  </si>
  <si>
    <t>1.3.1.1.7</t>
  </si>
  <si>
    <t>TATA Side scintillator (108), '93</t>
  </si>
  <si>
    <t>1.3.1.1.8</t>
  </si>
  <si>
    <t>TATA side scintillator (81), '94</t>
  </si>
  <si>
    <t>1.3.1.2</t>
  </si>
  <si>
    <t>Waveshifter fiber</t>
  </si>
  <si>
    <t>1.3.1.2.1</t>
  </si>
  <si>
    <t>WLS fiber</t>
  </si>
  <si>
    <t>1.3.1.2.2</t>
  </si>
  <si>
    <t>TATA WLS fiber -1</t>
  </si>
  <si>
    <t>1.3.1.2.3</t>
  </si>
  <si>
    <t>TATA WLS fiber -2</t>
  </si>
  <si>
    <t>1.3.1.3</t>
  </si>
  <si>
    <t>Phototubes</t>
  </si>
  <si>
    <t>1.3.1.3.1</t>
  </si>
  <si>
    <t>1.3.1.3.2</t>
  </si>
  <si>
    <t>Tests</t>
  </si>
  <si>
    <t>1.3.1.4</t>
  </si>
  <si>
    <t>Phototube bases</t>
  </si>
  <si>
    <t>1.3.1.4.1</t>
  </si>
  <si>
    <t>Bases</t>
  </si>
  <si>
    <t>1.3.1.4.2</t>
  </si>
  <si>
    <t>Magnetic shields</t>
  </si>
  <si>
    <t>1.3.1.5</t>
  </si>
  <si>
    <t>Electronics</t>
  </si>
  <si>
    <t>1.3.1.5.1</t>
  </si>
  <si>
    <t>Electronics (SciBo)</t>
  </si>
  <si>
    <t>1.3.1.6</t>
  </si>
  <si>
    <t>HV Cables</t>
  </si>
  <si>
    <t>1.3.1.6.1</t>
  </si>
  <si>
    <t>Cable</t>
  </si>
  <si>
    <t>1.3.1.6.2</t>
  </si>
  <si>
    <t>1.3.1.7</t>
  </si>
  <si>
    <t>1.3.1.7.1</t>
  </si>
  <si>
    <t>1.3.1.7.2</t>
  </si>
  <si>
    <t>1.3.1.8</t>
  </si>
  <si>
    <t>High Voltage</t>
  </si>
  <si>
    <t>1.3.1.8.1</t>
  </si>
  <si>
    <t>Modules</t>
  </si>
  <si>
    <t>1.3.1.8.2</t>
  </si>
  <si>
    <t>Crates &amp; LV power</t>
  </si>
  <si>
    <t>1.3.1.8.3</t>
  </si>
  <si>
    <t>Controllers</t>
  </si>
  <si>
    <t>1.3.1.8.4</t>
  </si>
  <si>
    <t>Fanouts</t>
  </si>
  <si>
    <t>1.3.1.9</t>
  </si>
  <si>
    <t>Mechanical Assembly</t>
  </si>
  <si>
    <t>1.3.1.9.1</t>
  </si>
  <si>
    <t>Counter construction</t>
  </si>
  <si>
    <t>1.3.1.9.2</t>
  </si>
  <si>
    <t>Assembly/testing</t>
  </si>
  <si>
    <t>1.3.1.9.3</t>
  </si>
  <si>
    <t>TATA other materials</t>
  </si>
  <si>
    <t>1.3.1.9.4</t>
  </si>
  <si>
    <t>TATA machining</t>
  </si>
  <si>
    <t>1.3.1.9.5</t>
  </si>
  <si>
    <t>TATA shipping</t>
  </si>
  <si>
    <t>1.3.1.9.6</t>
  </si>
  <si>
    <t>TATA test stand</t>
  </si>
  <si>
    <t>1.3.2</t>
  </si>
  <si>
    <t>CENTRAL TRIGGER DETECTORS</t>
  </si>
  <si>
    <t>1.3.2.1</t>
  </si>
  <si>
    <t>1.3.2.2</t>
  </si>
  <si>
    <t>A-phi Counters</t>
  </si>
  <si>
    <t>1.3.2.2.1</t>
  </si>
  <si>
    <t>Purchase scintillator (cut &amp;polish, .5")</t>
  </si>
  <si>
    <t>1.3.2.2.2</t>
  </si>
  <si>
    <t>Machining Scintillator</t>
  </si>
  <si>
    <t>1.3.2.2.3</t>
  </si>
  <si>
    <t>Waveshifter Fiber G2</t>
  </si>
  <si>
    <t>1.3.2.2.4</t>
  </si>
  <si>
    <t>Phototubes (1"115M)</t>
  </si>
  <si>
    <t>1.3.2.2.5</t>
  </si>
  <si>
    <t>Phototube bases (assembled)</t>
  </si>
  <si>
    <t>1.3.2.2.6</t>
  </si>
  <si>
    <t>1.3.2.2.7</t>
  </si>
  <si>
    <t>Counter Case</t>
  </si>
  <si>
    <t>1.3.2.2.8</t>
  </si>
  <si>
    <t>HV Fanout box 1</t>
  </si>
  <si>
    <t>1.3.2.2.9</t>
  </si>
  <si>
    <t>HV Fanout box 2</t>
  </si>
  <si>
    <t>1.3.2.2.10</t>
  </si>
  <si>
    <t>Scintillator frame and support</t>
  </si>
  <si>
    <t>1.3.2.2.11</t>
  </si>
  <si>
    <t>Calibration system</t>
  </si>
  <si>
    <t>1.3.2.2.12</t>
  </si>
  <si>
    <t>HV cable</t>
  </si>
  <si>
    <t>1.3.2.2.13</t>
  </si>
  <si>
    <t>Signal cable</t>
  </si>
  <si>
    <t>1.3.2.2.14</t>
  </si>
  <si>
    <t>Glues/bits/tapes</t>
  </si>
  <si>
    <t>1.3.2.2.17</t>
  </si>
  <si>
    <t>Assembly at ITEP</t>
  </si>
  <si>
    <t>1.3.2.2.18</t>
  </si>
  <si>
    <t>HV Power Supplies</t>
  </si>
  <si>
    <t>1.3.2.2.19</t>
  </si>
  <si>
    <t>Shipping to/from ITEP</t>
  </si>
  <si>
    <t>1.3.2.3</t>
  </si>
  <si>
    <t>Cosmic Cap and Bottom Counters</t>
  </si>
  <si>
    <t>1.3.2.3.1</t>
  </si>
  <si>
    <t>1.3.2.3.2</t>
  </si>
  <si>
    <t>Scintillator machining</t>
  </si>
  <si>
    <t>1.3.2.3.4</t>
  </si>
  <si>
    <t>Scintillating fiber (Bicron 91A)</t>
  </si>
  <si>
    <t>1.3.2.3.5</t>
  </si>
  <si>
    <t>1.3.2.3.6</t>
  </si>
  <si>
    <t>1.3.2.3.7</t>
  </si>
  <si>
    <t>1.3.2.3.8</t>
  </si>
  <si>
    <t>Counter frame and case</t>
  </si>
  <si>
    <t>1.3.2.3.9</t>
  </si>
  <si>
    <t>1.3.2.3.11</t>
  </si>
  <si>
    <t>1.3.2.3.12</t>
  </si>
  <si>
    <t>1.3.2.3.13</t>
  </si>
  <si>
    <t>1.3.2.3.14</t>
  </si>
  <si>
    <t>1.3.2.3.15</t>
  </si>
  <si>
    <t>Counter Assembly at TIFR</t>
  </si>
  <si>
    <t>1.3.2.3.16</t>
  </si>
  <si>
    <t>Shipping Counters from TIFR</t>
  </si>
  <si>
    <t>1.3.2.3.17</t>
  </si>
  <si>
    <t>Shipping Counters to TIFR</t>
  </si>
  <si>
    <t>1.3.2.3.18</t>
  </si>
  <si>
    <t>Hole &amp; Side b Counter Scintillator</t>
  </si>
  <si>
    <t>1.3.2.3.19</t>
  </si>
  <si>
    <t>Hole &amp; Side b Counter Fiber</t>
  </si>
  <si>
    <t>1.3.2.3.20</t>
  </si>
  <si>
    <t>Hole &amp; Side b Counter Cases &amp; Assem.</t>
  </si>
  <si>
    <t>1.3.2.4</t>
  </si>
  <si>
    <t>Cable, Power Supplies</t>
  </si>
  <si>
    <t>1.3.2.4.2</t>
  </si>
  <si>
    <t>New Signal Cable</t>
  </si>
  <si>
    <t>1.3.2.4.3</t>
  </si>
  <si>
    <t>Modify Electronics Mounts</t>
  </si>
  <si>
    <t>1.3.2.4.4</t>
  </si>
  <si>
    <t>Data/1553 cables/connectors</t>
  </si>
  <si>
    <t>1.3.2.4.5</t>
  </si>
  <si>
    <t>Refurbish LVPS</t>
  </si>
  <si>
    <t>1.3.2.4.6</t>
  </si>
  <si>
    <t>New 3/5V LV PS</t>
  </si>
  <si>
    <t>1.3.3</t>
  </si>
  <si>
    <t>FORWARD TRIGGER DETECTOR</t>
  </si>
  <si>
    <t>1.3.3.1</t>
  </si>
  <si>
    <t>1.3.3.2</t>
  </si>
  <si>
    <t>1.3.3.3</t>
  </si>
  <si>
    <t>Wave-shifter Bars</t>
  </si>
  <si>
    <t>1.3.3.4</t>
  </si>
  <si>
    <t>Phototube System</t>
  </si>
  <si>
    <t>1.3.3.4.1</t>
  </si>
  <si>
    <t>Phototubes (1", Meltz)</t>
  </si>
  <si>
    <t>1.1.2.2.8</t>
  </si>
  <si>
    <t>Ribbon/Waveguide Connectorization</t>
  </si>
  <si>
    <t>MTFB Board (4 types)</t>
  </si>
  <si>
    <t>Physics Board (2 types)</t>
  </si>
  <si>
    <t>1.3.3.4.2</t>
  </si>
  <si>
    <t>Phototube Bases</t>
  </si>
  <si>
    <t>1.3.3.4.2.1</t>
  </si>
  <si>
    <t>Socket</t>
  </si>
  <si>
    <t>1.3.3.4.2.2</t>
  </si>
  <si>
    <t>High Voltage Connector</t>
  </si>
  <si>
    <t>1.3.3.4.2.3</t>
  </si>
  <si>
    <t>Signal BNC Connector</t>
  </si>
  <si>
    <t>1.3.3.4.2.4</t>
  </si>
  <si>
    <t>1.3.3.4.3</t>
  </si>
  <si>
    <t>Magnetic Shields</t>
  </si>
  <si>
    <t>1.3.3.4.3.1</t>
  </si>
  <si>
    <t>Soft Steel Shield</t>
  </si>
  <si>
    <t>1.3.3.4.3.2</t>
  </si>
  <si>
    <t>Mu-metal Shield</t>
  </si>
  <si>
    <t>1.3.3.4.3.3</t>
  </si>
  <si>
    <t>Assembly Parts</t>
  </si>
  <si>
    <t>1.3.3.5</t>
  </si>
  <si>
    <t>Counter Packaging</t>
  </si>
  <si>
    <t>1.3.3.5.1</t>
  </si>
  <si>
    <t>Light Tight Counter Package</t>
  </si>
  <si>
    <t>1.3.3.5.2</t>
  </si>
  <si>
    <t>Wrapping Materials</t>
  </si>
  <si>
    <t>1.3.3.5.3</t>
  </si>
  <si>
    <t>Support Frames</t>
  </si>
  <si>
    <t>1.3.3.6</t>
  </si>
  <si>
    <t>Mechanical Supports</t>
  </si>
  <si>
    <t>1.3.3.6.1</t>
  </si>
  <si>
    <t>1.3.3.6.2</t>
  </si>
  <si>
    <t>1.3.3.7</t>
  </si>
  <si>
    <t>1.3.3.7.1</t>
  </si>
  <si>
    <t>Coax RG58 Cables</t>
  </si>
  <si>
    <t>1.3.3.7.2</t>
  </si>
  <si>
    <t>BNC Connectors</t>
  </si>
  <si>
    <t>1.3.3.7.3</t>
  </si>
  <si>
    <t>Lemo Connectors</t>
  </si>
  <si>
    <t>1.3.3.8</t>
  </si>
  <si>
    <t>High Voltage System</t>
  </si>
  <si>
    <t>1.3.3.8.1</t>
  </si>
  <si>
    <t>Coax RG58 Cable</t>
  </si>
  <si>
    <t>1.3.3.8.2</t>
  </si>
  <si>
    <t>SHV Connectors</t>
  </si>
  <si>
    <t>1.3.3.8.3</t>
  </si>
  <si>
    <t>HV Fanout Box</t>
  </si>
  <si>
    <t>1.3.3.8.4</t>
  </si>
  <si>
    <t>Other Parts</t>
  </si>
  <si>
    <t>1.3.3.8.5</t>
  </si>
  <si>
    <t>1.3.3.9</t>
  </si>
  <si>
    <t>Monitoring System</t>
  </si>
  <si>
    <t>1.3.3.9.1</t>
  </si>
  <si>
    <t>Light Pulsers</t>
  </si>
  <si>
    <t>1.3.3.9.2</t>
  </si>
  <si>
    <t>Clear Fiber Light Guides</t>
  </si>
  <si>
    <t>1.3.3.9.3</t>
  </si>
  <si>
    <t>Optical Connectors</t>
  </si>
  <si>
    <t>1.3.3.10</t>
  </si>
  <si>
    <t>Testing &amp; Shipping</t>
  </si>
  <si>
    <t>1.3.3.10.1</t>
  </si>
  <si>
    <t>Test Fixtures</t>
  </si>
  <si>
    <t>1.3.3.10.2</t>
  </si>
  <si>
    <t>1.3.4</t>
  </si>
  <si>
    <t>1.3.3.10.3</t>
  </si>
  <si>
    <t>NIU Technician Labor</t>
  </si>
  <si>
    <t>1.3.4.7.3</t>
  </si>
  <si>
    <t>1.3.2.2.20</t>
  </si>
  <si>
    <t>1.1.4.8.7</t>
  </si>
  <si>
    <t>Calibration Cylinders</t>
  </si>
  <si>
    <t>FORWARD TRACKING DETECTOR</t>
  </si>
  <si>
    <t>1.3.4.1</t>
  </si>
  <si>
    <t>1.3.4.2</t>
  </si>
  <si>
    <t>Mini-Drift Tubes</t>
  </si>
  <si>
    <t>1.3.4.2.1</t>
  </si>
  <si>
    <t>8-Cell Comb</t>
  </si>
  <si>
    <t>1.3.4.2.2</t>
  </si>
  <si>
    <t>Plastic Sleeve</t>
  </si>
  <si>
    <t>1.3.4.2.3</t>
  </si>
  <si>
    <t>Plastic Cover</t>
  </si>
  <si>
    <t>1.3.4.2.4</t>
  </si>
  <si>
    <t>End Cap</t>
  </si>
  <si>
    <t>1.3.4.2.5</t>
  </si>
  <si>
    <t>Wire Locks</t>
  </si>
  <si>
    <t>1.3.4.2.6</t>
  </si>
  <si>
    <t>Wire Supports</t>
  </si>
  <si>
    <t>1.3.4.2.7</t>
  </si>
  <si>
    <t>Gas Connectors</t>
  </si>
  <si>
    <t>1.3.4.2.8</t>
  </si>
  <si>
    <t>Anode Wire</t>
  </si>
  <si>
    <t>1.3.4.2.9</t>
  </si>
  <si>
    <t>High Voltage Connectors</t>
  </si>
  <si>
    <t>1.3.4.2.10</t>
  </si>
  <si>
    <t>Signal Connectors</t>
  </si>
  <si>
    <t>1.3.4.3</t>
  </si>
  <si>
    <t>1.3.4.3.1</t>
  </si>
  <si>
    <t>MDT Blades</t>
  </si>
  <si>
    <t>1.3.4.3.2</t>
  </si>
  <si>
    <t>MDT Octant Frames</t>
  </si>
  <si>
    <t>1.3.4.3.3</t>
  </si>
  <si>
    <t>1.3.4.4</t>
  </si>
  <si>
    <t>Gas System</t>
  </si>
  <si>
    <t>1.3.4.4.1</t>
  </si>
  <si>
    <t>Gas Lines</t>
  </si>
  <si>
    <t>1.3.4.4.2</t>
  </si>
  <si>
    <t>Gas Connection/Monitoring Boxes</t>
  </si>
  <si>
    <t>1.3.4.4.3</t>
  </si>
  <si>
    <t>Gas Monitoring Devices</t>
  </si>
  <si>
    <t>1.3.4.5</t>
  </si>
  <si>
    <t>1.3.4.5.1</t>
  </si>
  <si>
    <t>Signal Flat Cables (ADB-MDC)</t>
  </si>
  <si>
    <t>1.3.4.5.2</t>
  </si>
  <si>
    <t>Connectors (ADB-MDC)</t>
  </si>
  <si>
    <t>1.3.4.5.3</t>
  </si>
  <si>
    <t>Signal Cables (MDT-ADB)</t>
  </si>
  <si>
    <t>1.3.4.5.4</t>
  </si>
  <si>
    <t>Connectors (MDT-ADB)</t>
  </si>
  <si>
    <t>1.3.4.6</t>
  </si>
  <si>
    <t>1.3.4.6.1</t>
  </si>
  <si>
    <t>HV Distribution Boards</t>
  </si>
  <si>
    <t>1.3.4.6.2</t>
  </si>
  <si>
    <t>1.3.4.6.3</t>
  </si>
  <si>
    <t>1.3.4.7</t>
  </si>
  <si>
    <t>1.3.4.7.1</t>
  </si>
  <si>
    <t>1.3.4.7.2</t>
  </si>
  <si>
    <t>1.3.5</t>
  </si>
  <si>
    <t>1.3.5.1</t>
  </si>
  <si>
    <t>WAMUS Front End Electronics</t>
  </si>
  <si>
    <t>1.3.5.1.1</t>
  </si>
  <si>
    <t>1.3.5.1.2</t>
  </si>
  <si>
    <t>Low Mass Cables</t>
  </si>
  <si>
    <t>High Mass Cables</t>
  </si>
  <si>
    <t>Wamus Front-End boards (FEB)</t>
  </si>
  <si>
    <t>1.3.5.1.2.6</t>
  </si>
  <si>
    <t>Board Fabrication &amp; Assembly</t>
  </si>
  <si>
    <t>1.3.5.1.2.7</t>
  </si>
  <si>
    <t>1.3.5.1.3</t>
  </si>
  <si>
    <t>HV Service Card</t>
  </si>
  <si>
    <t>1.3.5.1.3.5</t>
  </si>
  <si>
    <t>1.3.5.1.3.6</t>
  </si>
  <si>
    <t>1.3.5.1.4</t>
  </si>
  <si>
    <t>Wire Signal Delay/Jumper Board</t>
  </si>
  <si>
    <t>1.3.5.1.4.4</t>
  </si>
  <si>
    <t>1.3.5.1.4.5</t>
  </si>
  <si>
    <t>1.3.5.1.5</t>
  </si>
  <si>
    <t>Wamus control boards (WCB)</t>
  </si>
  <si>
    <t>1.3.5.1.5.5</t>
  </si>
  <si>
    <t>1.3.5.1.5.6</t>
  </si>
  <si>
    <t>1.3.5.1.6</t>
  </si>
  <si>
    <t>Test fixtures</t>
  </si>
  <si>
    <t>1.3.5.2</t>
  </si>
  <si>
    <t>Mini-drift Chamber Electronics</t>
  </si>
  <si>
    <t>1.3.5.2.1</t>
  </si>
  <si>
    <t>1.3.5.2.2</t>
  </si>
  <si>
    <t>Amplifier/Discriminator Board</t>
  </si>
  <si>
    <t>1.3.5.2.2.4</t>
  </si>
  <si>
    <t>1.3.5.2.2.5</t>
  </si>
  <si>
    <t>1.3.5.2.2.6</t>
  </si>
  <si>
    <t>1.3.5.2.3</t>
  </si>
  <si>
    <t>Front-end Card</t>
  </si>
  <si>
    <t>1.3.5.2.3.5</t>
  </si>
  <si>
    <t>1.3.5.2.3.6</t>
  </si>
  <si>
    <t>1.3.5.2.4</t>
  </si>
  <si>
    <t>Mini-drift Controller Card</t>
  </si>
  <si>
    <t>1.3.5.2.4.5</t>
  </si>
  <si>
    <t>1.3.5.2.4.6</t>
  </si>
  <si>
    <t>1.3.5.2.5</t>
  </si>
  <si>
    <t>MDT Test Fixtures</t>
  </si>
  <si>
    <t>1.3.5.3</t>
  </si>
  <si>
    <t>Scintillator Electronics</t>
  </si>
  <si>
    <t>1.3.5.3.1</t>
  </si>
  <si>
    <t>1.3.5.3.2</t>
  </si>
  <si>
    <t>Scintillator Front-End board (FEB)</t>
  </si>
  <si>
    <t>1.3.5.3.2.4</t>
  </si>
  <si>
    <t>1.3.5.3.2.5</t>
  </si>
  <si>
    <t>1.3.5.3.3</t>
  </si>
  <si>
    <t>Scintillator control board (SCB)</t>
  </si>
  <si>
    <t>1.3.5.3.3.5</t>
  </si>
  <si>
    <t>1.3.5.3.3.6</t>
  </si>
  <si>
    <t>1.3.5.3.4</t>
  </si>
  <si>
    <t>1.3.5.3.6</t>
  </si>
  <si>
    <t>Scint Led Pulser</t>
  </si>
  <si>
    <t>1.3.5.3.6.1</t>
  </si>
  <si>
    <t>1.3.5.3.6.2</t>
  </si>
  <si>
    <t>Board Fabrication</t>
  </si>
  <si>
    <t>1.3.5.4</t>
  </si>
  <si>
    <t>Crate Electronics</t>
  </si>
  <si>
    <t>1.3.5.4.1</t>
  </si>
  <si>
    <t>Muon readout card (MRC)</t>
  </si>
  <si>
    <t>1.3.5.4.1.1</t>
  </si>
  <si>
    <t>1.3.5.4.1.2</t>
  </si>
  <si>
    <t>1.3.5.4.2</t>
  </si>
  <si>
    <t>Muon master fanout card</t>
  </si>
  <si>
    <t>1.3.5.4.2.1</t>
  </si>
  <si>
    <t>1.3.5.4.2.2</t>
  </si>
  <si>
    <t>1.3.5.4.3</t>
  </si>
  <si>
    <t>CPU Board (VSCB-20)</t>
  </si>
  <si>
    <t>1.3.5.4.3.1</t>
  </si>
  <si>
    <t>Board</t>
  </si>
  <si>
    <t>1.3.5.4.4</t>
  </si>
  <si>
    <t>VME Crates</t>
  </si>
  <si>
    <t>1.3.5.4.4.1</t>
  </si>
  <si>
    <t>1.3.5.4.4.2</t>
  </si>
  <si>
    <t>1.3.5.4.5</t>
  </si>
  <si>
    <t>Trigger Fanout Card (TFC)</t>
  </si>
  <si>
    <t>1.3.5.4.5.1</t>
  </si>
  <si>
    <t>1.3.5.4.5.2</t>
  </si>
  <si>
    <t>1.3.5.4.6</t>
  </si>
  <si>
    <t>Test Stand Equipment (PCs…)</t>
  </si>
  <si>
    <t>1.4</t>
  </si>
  <si>
    <t>TRIGGER</t>
  </si>
  <si>
    <t>1.4.1</t>
  </si>
  <si>
    <t>FRAMEWORK</t>
  </si>
  <si>
    <t>1.4.1.1</t>
  </si>
  <si>
    <t>Engineering and Design</t>
  </si>
  <si>
    <t>1.4.1.2</t>
  </si>
  <si>
    <t>Framework L1</t>
  </si>
  <si>
    <t>1.4.1.2.1</t>
  </si>
  <si>
    <t>1.4.1.2.2</t>
  </si>
  <si>
    <t>1.4.1.2.3</t>
  </si>
  <si>
    <t>Cables</t>
  </si>
  <si>
    <t>1.4.1.2.4</t>
  </si>
  <si>
    <t>1.4.1.3</t>
  </si>
  <si>
    <t>Framework L2</t>
  </si>
  <si>
    <t>1.4.1.3.1</t>
  </si>
  <si>
    <t>1.4.1.3.2</t>
  </si>
  <si>
    <t>1.4.1.3.3</t>
  </si>
  <si>
    <t>1.4.1.3.4</t>
  </si>
  <si>
    <t>1.4.1.4</t>
  </si>
  <si>
    <t>Foreign Scalers</t>
  </si>
  <si>
    <t>1.4.1.4.1</t>
  </si>
  <si>
    <t>1.4.1.4.2</t>
  </si>
  <si>
    <t>1.4.1.4.3</t>
  </si>
  <si>
    <t>1.4.1.4.4</t>
  </si>
  <si>
    <t>1.4.2</t>
  </si>
  <si>
    <t>LUMINOSITY MONITOR</t>
  </si>
  <si>
    <t>1.4.2.1</t>
  </si>
  <si>
    <t>1.4.2.2</t>
  </si>
  <si>
    <t>PMT and Asssociated Hardware</t>
  </si>
  <si>
    <t>1.4.2.3</t>
  </si>
  <si>
    <t>Mechanical Support &amp; Enclosures</t>
  </si>
  <si>
    <t>1.4.2.4</t>
  </si>
  <si>
    <t>1.4.2.4.1</t>
  </si>
  <si>
    <t>Luminosity Monitor Electronics</t>
  </si>
  <si>
    <t>1.4.2.4.2</t>
  </si>
  <si>
    <t>Accelerator Diagnostic DAQ</t>
  </si>
  <si>
    <t>1.4.2.4.3</t>
  </si>
  <si>
    <t>Cables &amp; Connectors</t>
  </si>
  <si>
    <t>1.4.2.4.4</t>
  </si>
  <si>
    <t>Timing Discriminators</t>
  </si>
  <si>
    <t>1.4.3</t>
  </si>
  <si>
    <t>LEVEL 1</t>
  </si>
  <si>
    <t>1.4.3.1</t>
  </si>
  <si>
    <t>Calorimeter L1 Trigger</t>
  </si>
  <si>
    <t>1.4.3.1.1</t>
  </si>
  <si>
    <t>1.4.3.1.2</t>
  </si>
  <si>
    <t>1.4.3.1.3</t>
  </si>
  <si>
    <t>1.4.3.1.4</t>
  </si>
  <si>
    <t>1.4.3.1.5</t>
  </si>
  <si>
    <t>1.4.3.2</t>
  </si>
  <si>
    <t>Muon L1 Trigger</t>
  </si>
  <si>
    <t>1.4.3.2.1</t>
  </si>
  <si>
    <t>MTCXX Card</t>
  </si>
  <si>
    <t>1.4.3.2.1.1</t>
  </si>
  <si>
    <t>Engineering</t>
  </si>
  <si>
    <t>1.4.3.2.1.2</t>
  </si>
  <si>
    <t>1.4.3.2.1.3</t>
  </si>
  <si>
    <t>Layout</t>
  </si>
  <si>
    <t>1.4.3.2.1.4</t>
  </si>
  <si>
    <t>Fabrication</t>
  </si>
  <si>
    <t>1.4.3.2.1.5</t>
  </si>
  <si>
    <t>1.4.3.2.2</t>
  </si>
  <si>
    <t>1.4.3.2.2.1</t>
  </si>
  <si>
    <t>1.4.3.2.2.2</t>
  </si>
  <si>
    <t>1.4.3.2.2.3</t>
  </si>
  <si>
    <t>1.4.3.2.2.4</t>
  </si>
  <si>
    <t>1.4.3.2.2.5</t>
  </si>
  <si>
    <t>1.4.3.2.3</t>
  </si>
  <si>
    <t>MTCM Card</t>
  </si>
  <si>
    <t>1.4.3.2.3.1</t>
  </si>
  <si>
    <t>1.4.3.2.3.2</t>
  </si>
  <si>
    <t>1.4.3.2.3.3</t>
  </si>
  <si>
    <t>1.4.3.2.3.4</t>
  </si>
  <si>
    <t>1.4.3.2.3.5</t>
  </si>
  <si>
    <t>1.4.3.2.4</t>
  </si>
  <si>
    <t>SLDB Transmitter Boards</t>
  </si>
  <si>
    <t>1.4.3.2.4.1</t>
  </si>
  <si>
    <t>1.4.3.2.4.2</t>
  </si>
  <si>
    <t>1.4.3.2.4.3</t>
  </si>
  <si>
    <t>1.4.3.2.4.4</t>
  </si>
  <si>
    <t>1.4.3.2.4.5</t>
  </si>
  <si>
    <t>1.4.3.2.5</t>
  </si>
  <si>
    <t>SLDB Receiver Boards</t>
  </si>
  <si>
    <t>1.4.3.2.5.1</t>
  </si>
  <si>
    <t>1.4.3.2.5.2</t>
  </si>
  <si>
    <t>1.4.3.2.5.3</t>
  </si>
  <si>
    <t>1.4.3.2.5.4</t>
  </si>
  <si>
    <t>1.4.3.2.5.5</t>
  </si>
  <si>
    <t>1.4.3.2.6</t>
  </si>
  <si>
    <t>MCEN Cards</t>
  </si>
  <si>
    <t>1.4.3.2.6.1</t>
  </si>
  <si>
    <t>1.4.3.2.6.2</t>
  </si>
  <si>
    <t>1.4.3.2.6.3</t>
  </si>
  <si>
    <t>1.4.3.2.6.4</t>
  </si>
  <si>
    <t>1.4.3.2.6.5</t>
  </si>
  <si>
    <t>1.4.3.2.7</t>
  </si>
  <si>
    <t>1.4.3.2.7.1</t>
  </si>
  <si>
    <t>1.4.3.2.7.2</t>
  </si>
  <si>
    <t>1.4.3.2.7.3</t>
  </si>
  <si>
    <t>1.4.3.2.7.4</t>
  </si>
  <si>
    <t>1.4.3.2.7.5</t>
  </si>
  <si>
    <t>1.4.3.2.8</t>
  </si>
  <si>
    <t>MCCM Card</t>
  </si>
  <si>
    <t>1.4.3.2.8.1</t>
  </si>
  <si>
    <t>1.4.3.2.8.2</t>
  </si>
  <si>
    <t>1.4.3.2.8.3</t>
  </si>
  <si>
    <t>1.4.3.2.8.4</t>
  </si>
  <si>
    <t>1.4.3.2.8.5</t>
  </si>
  <si>
    <t>1.4.3.2.9</t>
  </si>
  <si>
    <t>Muon Trigger VME Crates</t>
  </si>
  <si>
    <t>1.4.3.2.9.1</t>
  </si>
  <si>
    <t>L1 VME Crates and Backplane</t>
  </si>
  <si>
    <t>1.4.3.2.9.2</t>
  </si>
  <si>
    <t>MCEN VME Crates</t>
  </si>
  <si>
    <t>1.4.3.2.9.3</t>
  </si>
  <si>
    <t>MCEN Backplane</t>
  </si>
  <si>
    <t>1.4.3.2.9.4</t>
  </si>
  <si>
    <t>Microprocessor (mve162)</t>
  </si>
  <si>
    <t>1.4.3.2.9.5</t>
  </si>
  <si>
    <t>Microprocessor Extender</t>
  </si>
  <si>
    <t>1.4.3.2.9.6</t>
  </si>
  <si>
    <t>Extender Cards</t>
  </si>
  <si>
    <t>1.4.3.2.9.7</t>
  </si>
  <si>
    <t>1.4.3.2.9.8</t>
  </si>
  <si>
    <t>Cooling</t>
  </si>
  <si>
    <t>1.4.3.2.9.9</t>
  </si>
  <si>
    <t>Additional Crate Parts</t>
  </si>
  <si>
    <t>1.4.3.2.10</t>
  </si>
  <si>
    <t>Cabling</t>
  </si>
  <si>
    <t>1.4.3.2.10.1</t>
  </si>
  <si>
    <t>Detector SLDB Cable</t>
  </si>
  <si>
    <t>1.4.3.2.10.2</t>
  </si>
  <si>
    <t>Detector SLDB Cable Connectors</t>
  </si>
  <si>
    <t>1.4.3.2.10.3</t>
  </si>
  <si>
    <t>Board SLDB Cable</t>
  </si>
  <si>
    <t>1.4.3.2.10.4</t>
  </si>
  <si>
    <t>Board SLDB Cable Connectors</t>
  </si>
  <si>
    <t>1.4.3.2.10.5</t>
  </si>
  <si>
    <t>Timing, Trigger Cable</t>
  </si>
  <si>
    <t>1.4.3.2.10.6</t>
  </si>
  <si>
    <t>Timing, Trigger Cable Connectors</t>
  </si>
  <si>
    <t>1.4.3.2.10.7</t>
  </si>
  <si>
    <t>Cabling Supplies, Testers</t>
  </si>
  <si>
    <t>1.4.3.2.10.8</t>
  </si>
  <si>
    <t>1.4.3.2.10.9</t>
  </si>
  <si>
    <t>1.4.3.2.11</t>
  </si>
  <si>
    <t>Accessory Cards</t>
  </si>
  <si>
    <t>1.4.3.2.11.1</t>
  </si>
  <si>
    <t>1.4.3.2.11.2</t>
  </si>
  <si>
    <t>1.4.3.2.11.3</t>
  </si>
  <si>
    <t>1.4.3.2.11.4</t>
  </si>
  <si>
    <t>1.4.3.2.11.5</t>
  </si>
  <si>
    <t>1.4.3.2.11.6</t>
  </si>
  <si>
    <t>Test Equipment (PCs, etc.)</t>
  </si>
  <si>
    <t>1.4.3.2.12</t>
  </si>
  <si>
    <t>Hardware and Software Support</t>
  </si>
  <si>
    <t>1.4.3.2.12.1</t>
  </si>
  <si>
    <t>Additional Hardware</t>
  </si>
  <si>
    <t>1.4.3.2.12.2</t>
  </si>
  <si>
    <t>Additional Software</t>
  </si>
  <si>
    <t>1.4.3.2.12.3</t>
  </si>
  <si>
    <t>Altera Key at Fermilab (2 years)</t>
  </si>
  <si>
    <t>1.4.3.3</t>
  </si>
  <si>
    <t>Central Fiber Tracker L1 Trigger</t>
  </si>
  <si>
    <t>1.4.3.3.1</t>
  </si>
  <si>
    <t>Front End</t>
  </si>
  <si>
    <t>1.4.3.3.2</t>
  </si>
  <si>
    <t>Receivers</t>
  </si>
  <si>
    <t>1.4.3.3.3</t>
  </si>
  <si>
    <t>Concentrator L1</t>
  </si>
  <si>
    <t>1.4.3.3.4</t>
  </si>
  <si>
    <t>Concentrator L2</t>
  </si>
  <si>
    <t>1.4.3.3.5</t>
  </si>
  <si>
    <t>Racks</t>
  </si>
  <si>
    <t>1.4.3.3.6</t>
  </si>
  <si>
    <t>CFT Trigger Manager</t>
  </si>
  <si>
    <t>1.4.4</t>
  </si>
  <si>
    <t>LEVEL 2</t>
  </si>
  <si>
    <t>1.4.4.1</t>
  </si>
  <si>
    <t>L1.5 Calorimeter Electron Trigger</t>
  </si>
  <si>
    <t>1.4.4.1.1</t>
  </si>
  <si>
    <t>L1 Interface</t>
  </si>
  <si>
    <t>1.4.4.1.2</t>
  </si>
  <si>
    <t>DSP System</t>
  </si>
  <si>
    <t>1.4.4.1.3</t>
  </si>
  <si>
    <t>Software Development</t>
  </si>
  <si>
    <t>1.4.4.2</t>
  </si>
  <si>
    <t>L2 Trigger Components</t>
  </si>
  <si>
    <t>1.4.4.2.1</t>
  </si>
  <si>
    <t>Alpha in VME</t>
  </si>
  <si>
    <t>1.4.4.2.1.1</t>
  </si>
  <si>
    <t>1.4.4.2.1.2</t>
  </si>
  <si>
    <t>Prototypes</t>
  </si>
  <si>
    <t>1.4.4.2.1.3</t>
  </si>
  <si>
    <t>Final Card</t>
  </si>
  <si>
    <t>1.4.4.2.2</t>
  </si>
  <si>
    <t>MBT (Magic Bus Transceiver)</t>
  </si>
  <si>
    <t>1.4.4.2.2.1</t>
  </si>
  <si>
    <t>1.4.4.2.2.2</t>
  </si>
  <si>
    <t>1.4.4.2.2.3</t>
  </si>
  <si>
    <t>1.4.4.2.3</t>
  </si>
  <si>
    <t>SLIC (Serial Link Interface)</t>
  </si>
  <si>
    <t>1.4.4.2.3.1</t>
  </si>
  <si>
    <t>1.4.4.2.3.2</t>
  </si>
  <si>
    <t>1.4.4.2.3.3</t>
  </si>
  <si>
    <t>1.4.4.2.4</t>
  </si>
  <si>
    <t>SCL Fanout</t>
  </si>
  <si>
    <t>1.4.4.2.4.1</t>
  </si>
  <si>
    <t>1.4.4.2.4.2</t>
  </si>
  <si>
    <t>1.4.4.2.4.3</t>
  </si>
  <si>
    <t>1.4.4.2.5</t>
  </si>
  <si>
    <t>Fiber Input Converter</t>
  </si>
  <si>
    <t>1.4.4.2.5.1</t>
  </si>
  <si>
    <t>1.4.4.2.5.2</t>
  </si>
  <si>
    <t>1.4.4.2.5.3</t>
  </si>
  <si>
    <t>1.4.4.2.6</t>
  </si>
  <si>
    <t>Mbus Backplane</t>
  </si>
  <si>
    <t>1.4.4.2.6.1</t>
  </si>
  <si>
    <t>1.4.4.2.6.2</t>
  </si>
  <si>
    <t>1.4.4.2.6.3</t>
  </si>
  <si>
    <t>1.4.4.2.7</t>
  </si>
  <si>
    <t>Bit 3 MPM</t>
  </si>
  <si>
    <t>1.4.4.2.8</t>
  </si>
  <si>
    <t>PC</t>
  </si>
  <si>
    <t>1.4.4.2.9</t>
  </si>
  <si>
    <t>1.4.4.2.10</t>
  </si>
  <si>
    <t>1.4.4.2.10.1</t>
  </si>
  <si>
    <t>VME</t>
  </si>
  <si>
    <t>1.4.4.2.10.2</t>
  </si>
  <si>
    <t>Power</t>
  </si>
  <si>
    <t>1.4.4.2.10.3</t>
  </si>
  <si>
    <t>Monitoring and Cooling</t>
  </si>
  <si>
    <t>1.4.4.2.10.4</t>
  </si>
  <si>
    <t>Rack</t>
  </si>
  <si>
    <t>1.4.4.3</t>
  </si>
  <si>
    <t>System ED&amp;I</t>
  </si>
  <si>
    <t>1.4.4.4</t>
  </si>
  <si>
    <t>Calorimeter Preprocessor</t>
  </si>
  <si>
    <t>1.4.4.4.1</t>
  </si>
  <si>
    <t>L2 Calorimeter ED&amp;I</t>
  </si>
  <si>
    <t>1.4.4.4.2</t>
  </si>
  <si>
    <t>Calorimeter Inputs</t>
  </si>
  <si>
    <t>1.4.4.5</t>
  </si>
  <si>
    <t>L2 Muon</t>
  </si>
  <si>
    <t>1.4.4.5.1</t>
  </si>
  <si>
    <t>L2 Muon ED&amp;I</t>
  </si>
  <si>
    <t>1.4.4.5.2</t>
  </si>
  <si>
    <t>Development Hardware</t>
  </si>
  <si>
    <t>1.4.4.5.3</t>
  </si>
  <si>
    <t>Simulation Software</t>
  </si>
  <si>
    <t>1.4.4.6</t>
  </si>
  <si>
    <t>L2 CFT</t>
  </si>
  <si>
    <t>1.4.4.7</t>
  </si>
  <si>
    <t>L2 Preshower</t>
  </si>
  <si>
    <t>1.4.4.8</t>
  </si>
  <si>
    <t>L2 Global ED&amp;I</t>
  </si>
  <si>
    <t>1.4.4.9</t>
  </si>
  <si>
    <t>Test Stand ED&amp;I</t>
  </si>
  <si>
    <t>1.2.1.1.4.14.12</t>
  </si>
  <si>
    <t>Control Power</t>
  </si>
  <si>
    <t>1.3.3.6.3</t>
  </si>
  <si>
    <t>Pixel Counter Holders</t>
  </si>
  <si>
    <t>Pixel Octant Frame</t>
  </si>
  <si>
    <t>Pixel Octant Frame Supports and Mover</t>
  </si>
  <si>
    <t>MDT Octant Frame Supports</t>
  </si>
  <si>
    <t>1.4.5</t>
  </si>
  <si>
    <t>LEVEL 3</t>
  </si>
  <si>
    <t>1.4.5.1</t>
  </si>
  <si>
    <t>1.4.5.2</t>
  </si>
  <si>
    <t>Bandwidth Expansion</t>
  </si>
  <si>
    <t>1.4.5.2.1</t>
  </si>
  <si>
    <t>VBD upgrade VME readout</t>
  </si>
  <si>
    <t>1.4.5.3</t>
  </si>
  <si>
    <t>Level 3 Nodes</t>
  </si>
  <si>
    <t>1.4.5.3.1</t>
  </si>
  <si>
    <t>Processor Upgrade</t>
  </si>
  <si>
    <t>1.4.5.3.2</t>
  </si>
  <si>
    <t>Processor Bus Adapter</t>
  </si>
  <si>
    <t>1.4.5.3.3</t>
  </si>
  <si>
    <t>L3 Rack Upgrades</t>
  </si>
  <si>
    <t>1.4.5.3.4</t>
  </si>
  <si>
    <t>L3 Supervisor and Inerfaces</t>
  </si>
  <si>
    <t>1.4.5.4</t>
  </si>
  <si>
    <t>Readout control</t>
  </si>
  <si>
    <t>1.4.5.4.1</t>
  </si>
  <si>
    <t>Collector Cards and Fiber</t>
  </si>
  <si>
    <t>1.4.5.4.2</t>
  </si>
  <si>
    <t>Distributor Controllers</t>
  </si>
  <si>
    <t>1.4.5.4.3</t>
  </si>
  <si>
    <t>Event Tag Generator, Interfaces</t>
  </si>
  <si>
    <t>1.4.5.4.4</t>
  </si>
  <si>
    <t>Multiport Memory Daughter Cards</t>
  </si>
  <si>
    <t>1.4.5.4.5</t>
  </si>
  <si>
    <t>Monitoring and Diagnostic Systems</t>
  </si>
  <si>
    <t>1.5</t>
  </si>
  <si>
    <t>ONLINE COMPUTING</t>
  </si>
  <si>
    <t>1.5.1</t>
  </si>
  <si>
    <t>ONLINE EQUIPMENT</t>
  </si>
  <si>
    <t>1.5.1.1</t>
  </si>
  <si>
    <t>Workstations</t>
  </si>
  <si>
    <t>1.5.1.1.1</t>
  </si>
  <si>
    <t>DAQ Wrkstns (CPU,mem,netwk,IO,soft)</t>
  </si>
  <si>
    <t>1.5.1.1.2</t>
  </si>
  <si>
    <t>Monitoring Workstations</t>
  </si>
  <si>
    <t>1.5.1.2</t>
  </si>
  <si>
    <t>Network (switch,bridge,router)</t>
  </si>
  <si>
    <t>1.5.1.3</t>
  </si>
  <si>
    <t>Disk/tape Peripherals</t>
  </si>
  <si>
    <t>1.5.1.3.1</t>
  </si>
  <si>
    <t>Disk</t>
  </si>
  <si>
    <t>1.5.1.3.2</t>
  </si>
  <si>
    <t>Tape</t>
  </si>
  <si>
    <t>1.5.1.4</t>
  </si>
  <si>
    <t>Printers/Monitors</t>
  </si>
  <si>
    <t>1.5.1.5</t>
  </si>
  <si>
    <t>Software</t>
  </si>
  <si>
    <t>Splitter Boards</t>
  </si>
  <si>
    <t>Splitter Crates</t>
  </si>
  <si>
    <t>COST</t>
  </si>
  <si>
    <t>YTD</t>
  </si>
  <si>
    <t>PRIOR YRS</t>
  </si>
  <si>
    <t>PROJECT</t>
  </si>
  <si>
    <t>WBS</t>
  </si>
  <si>
    <t>DESCRIPTION</t>
  </si>
  <si>
    <t>EST</t>
  </si>
  <si>
    <t>OBLIG</t>
  </si>
  <si>
    <t>BALANCE</t>
  </si>
  <si>
    <t>1</t>
  </si>
  <si>
    <t>1.1</t>
  </si>
  <si>
    <t>TRACKING DETECTORS</t>
  </si>
  <si>
    <t>1.1.1</t>
  </si>
  <si>
    <t>SILICON TRACKER</t>
  </si>
  <si>
    <t>1.1.1.1</t>
  </si>
  <si>
    <t>Engineering &amp; Design</t>
  </si>
  <si>
    <t>1.1.1.1.1</t>
  </si>
  <si>
    <t>SVX II engineering</t>
  </si>
  <si>
    <t>1.1.1.1.2</t>
  </si>
  <si>
    <t>MOSIS submission</t>
  </si>
  <si>
    <t>1.1.1.1.3</t>
  </si>
  <si>
    <t>UTMC submission</t>
  </si>
  <si>
    <t>1.1.1.1.4</t>
  </si>
  <si>
    <t>HDI engineering</t>
  </si>
  <si>
    <t>1.1.1.1.5</t>
  </si>
  <si>
    <t>Test readout system</t>
  </si>
  <si>
    <t>1.1.1.2</t>
  </si>
  <si>
    <t>Disks</t>
  </si>
  <si>
    <t>1.1.1.2.1</t>
  </si>
  <si>
    <t>F disk</t>
  </si>
  <si>
    <t>1.1.1.2.1.1</t>
  </si>
  <si>
    <t>F wedge detectors</t>
  </si>
  <si>
    <t>1.1.1.2.1.2</t>
  </si>
  <si>
    <t>F wedge berylium</t>
  </si>
  <si>
    <t>1.1.1.2.1.3</t>
  </si>
  <si>
    <t>Probe testing</t>
  </si>
  <si>
    <t>1.1.1.2.1.4</t>
  </si>
  <si>
    <t>F disk fixtures</t>
  </si>
  <si>
    <t>1.1.1.2.1.5</t>
  </si>
  <si>
    <t>F wedge fabrication</t>
  </si>
  <si>
    <t>1.1.1.2.1.6</t>
  </si>
  <si>
    <t>F Disk Support</t>
  </si>
  <si>
    <t>1.1.1.2.1.7</t>
  </si>
  <si>
    <t>F wedge det. spares</t>
  </si>
  <si>
    <t>1.1.1.2.2</t>
  </si>
  <si>
    <t>H disk</t>
  </si>
  <si>
    <t>1.1.1.2.2.1</t>
  </si>
  <si>
    <t>H wedge detectors</t>
  </si>
  <si>
    <t>1.1.1.2.2.2</t>
  </si>
  <si>
    <t>1.1.1.2.2.3</t>
  </si>
  <si>
    <t>H wedge substrate</t>
  </si>
  <si>
    <t>1.1.1.2.2.4</t>
  </si>
  <si>
    <t>H disk fixtures</t>
  </si>
  <si>
    <t>1.1.1.2.2.5</t>
  </si>
  <si>
    <t>H wedge fabrication</t>
  </si>
  <si>
    <t>1.1.1.2.2.6</t>
  </si>
  <si>
    <t>H Disk Support</t>
  </si>
  <si>
    <t>1.1.1.2.3</t>
  </si>
  <si>
    <t>Spares</t>
  </si>
  <si>
    <t>1.1.1.3</t>
  </si>
  <si>
    <t>Barrels</t>
  </si>
  <si>
    <t>1.1.1.3.1</t>
  </si>
  <si>
    <t>Single Sided</t>
  </si>
  <si>
    <t>1.1.1.3.2</t>
  </si>
  <si>
    <t>Single Sided Spares</t>
  </si>
  <si>
    <t>1.1.1.3.3</t>
  </si>
  <si>
    <t>2 Degree</t>
  </si>
  <si>
    <t>1.1.1.3.5</t>
  </si>
  <si>
    <t>90 Degree</t>
  </si>
  <si>
    <t>1.1.1.3.7</t>
  </si>
  <si>
    <t>Probe Testing</t>
  </si>
  <si>
    <t>1.1.1.3.8</t>
  </si>
  <si>
    <t>Berylium substrates</t>
  </si>
  <si>
    <t>1.1.1.3.9</t>
  </si>
  <si>
    <t>Ladder Fixtures</t>
  </si>
  <si>
    <t>1.1.1.3.10</t>
  </si>
  <si>
    <t>Barrel assembly fixtures</t>
  </si>
  <si>
    <t>1.1.1.3.11</t>
  </si>
  <si>
    <t>Ladder fabrication</t>
  </si>
  <si>
    <t>1.1.1.3.12</t>
  </si>
  <si>
    <t>Bulkheads</t>
  </si>
  <si>
    <t>1.1.1.4</t>
  </si>
  <si>
    <t>Readout IC's</t>
  </si>
  <si>
    <t>1.1.1.4.1</t>
  </si>
  <si>
    <t>1.1.1.4.2</t>
  </si>
  <si>
    <t>1.1.1.4.3</t>
  </si>
  <si>
    <t>Layer 1</t>
  </si>
  <si>
    <t>1.1.1.4.4</t>
  </si>
  <si>
    <t>Layer 2</t>
  </si>
  <si>
    <t>1.1.1.4.5</t>
  </si>
  <si>
    <t>Layer 3</t>
  </si>
  <si>
    <t>1.1.1.4.6</t>
  </si>
  <si>
    <t>Layer 4</t>
  </si>
  <si>
    <t>1.1.1.4.7</t>
  </si>
  <si>
    <t>Chip testing</t>
  </si>
  <si>
    <t>1.1.1.4.8</t>
  </si>
  <si>
    <t>1.1.1.5</t>
  </si>
  <si>
    <t>Readout System (Detector to Port Card)</t>
  </si>
  <si>
    <t>1.1.1.5.1</t>
  </si>
  <si>
    <t>Disk HDI</t>
  </si>
  <si>
    <t>1.1.1.5.2</t>
  </si>
  <si>
    <t>Barrel HDI</t>
  </si>
  <si>
    <t>1.1.1.5.3</t>
  </si>
  <si>
    <t>HDI assembly and test</t>
  </si>
  <si>
    <t>1.1.1.5.4</t>
  </si>
  <si>
    <t>1.1.1.5.5</t>
  </si>
  <si>
    <t>1.1.1.5.6</t>
  </si>
  <si>
    <t>Transition Card</t>
  </si>
  <si>
    <t>1.1.1.5.7</t>
  </si>
  <si>
    <t>Bias Voltage System</t>
  </si>
  <si>
    <t>1.1.1.5.8</t>
  </si>
  <si>
    <t>Interface board</t>
  </si>
  <si>
    <t>1.1.1.6</t>
  </si>
  <si>
    <t>Mechanical Support, Services</t>
  </si>
  <si>
    <t>1.1.1.6.1</t>
  </si>
  <si>
    <t>Half-cylinder</t>
  </si>
  <si>
    <t>1.1.1.6.2</t>
  </si>
  <si>
    <t>Installation fixtures</t>
  </si>
  <si>
    <t>1.1.1.6.3</t>
  </si>
  <si>
    <t>Cooling system</t>
  </si>
  <si>
    <t>1.1.1.6.4</t>
  </si>
  <si>
    <t>Air system</t>
  </si>
  <si>
    <t>1.1.1.6.5</t>
  </si>
  <si>
    <t>Monitoring system</t>
  </si>
  <si>
    <t>1.1.1.7</t>
  </si>
  <si>
    <t>Detector Assembly, Installation</t>
  </si>
  <si>
    <t>1.1.1.7.1</t>
  </si>
  <si>
    <t>Silicon install fixturing</t>
  </si>
  <si>
    <t>1.1.1.7.2</t>
  </si>
  <si>
    <t>Silicon Supports</t>
  </si>
  <si>
    <t>1.1.1.7.3</t>
  </si>
  <si>
    <t>Installation services</t>
  </si>
  <si>
    <t>1.1.2</t>
  </si>
  <si>
    <t>FIBER TRACKER</t>
  </si>
  <si>
    <t>1.1.2.2</t>
  </si>
  <si>
    <t>Scintillating Fiber Ribbons</t>
  </si>
  <si>
    <t>1.1.2.2.1</t>
  </si>
  <si>
    <t>Scintillating Fibers</t>
  </si>
  <si>
    <t>1.1.2.2.1.1</t>
  </si>
  <si>
    <t>1.1.2.2.1.2</t>
  </si>
  <si>
    <t>Scintillating Fiber QC</t>
  </si>
  <si>
    <t>1.1.2.2.2</t>
  </si>
  <si>
    <t>Ribbons</t>
  </si>
  <si>
    <t>1.1.2.2.3</t>
  </si>
  <si>
    <t>Connectors</t>
  </si>
  <si>
    <t>1.1.2.2.4</t>
  </si>
  <si>
    <t>Aluminization</t>
  </si>
  <si>
    <t>1.1.2.2.5</t>
  </si>
  <si>
    <t>Ribbon Machine/molds</t>
  </si>
  <si>
    <t>1.1.2.2.6</t>
  </si>
  <si>
    <t>Ribbon QC test box</t>
  </si>
  <si>
    <t>1.1.2.2.7</t>
  </si>
  <si>
    <t>Ribbon laying &amp; fixturing</t>
  </si>
  <si>
    <t>1.1.2.2.7.1</t>
  </si>
  <si>
    <t>Ribbon Laying Fixturing</t>
  </si>
  <si>
    <t>1.1.2.2.7.1.1</t>
  </si>
  <si>
    <t>Ribbon Laying Fixturing Parts</t>
  </si>
  <si>
    <t>1.1.2.2.7.1.2</t>
  </si>
  <si>
    <t>Ribbon Laying Fixturing Shop Chrgs</t>
  </si>
  <si>
    <t>1.1.2.3</t>
  </si>
  <si>
    <t>Clear Waveguides</t>
  </si>
  <si>
    <t>1.1.2.3.1</t>
  </si>
  <si>
    <t>Clear Fiber</t>
  </si>
  <si>
    <t>1.1.2.3.2</t>
  </si>
  <si>
    <t>Connectors A</t>
  </si>
  <si>
    <t>1.1.2.3.3</t>
  </si>
  <si>
    <t>Connectors B</t>
  </si>
  <si>
    <t>1.1.2.3.4</t>
  </si>
  <si>
    <t>Sheathing</t>
  </si>
  <si>
    <t>1.1.2.3.5</t>
  </si>
  <si>
    <t>Factory setup</t>
  </si>
  <si>
    <t>1.1.2.3.6</t>
  </si>
  <si>
    <t>Test/QC system</t>
  </si>
  <si>
    <t>1.1.2.3.7</t>
  </si>
  <si>
    <t>Fabrication/testing</t>
  </si>
  <si>
    <t>1.1.2.4</t>
  </si>
  <si>
    <t>Visible Light Photon Counter Cassette</t>
  </si>
  <si>
    <t>1.1.2.4.1</t>
  </si>
  <si>
    <t>Production cassettes</t>
  </si>
  <si>
    <t>1.1.2.4.1.1</t>
  </si>
  <si>
    <t>VLPC Hybrids</t>
  </si>
  <si>
    <t>1.1.2.4.1.2</t>
  </si>
  <si>
    <t>Cassette Mechanical Parts</t>
  </si>
  <si>
    <t>1.1.2.4.1.3</t>
  </si>
  <si>
    <t>Cassette Electrical Connectors</t>
  </si>
  <si>
    <t>1.1.2.4.1.4</t>
  </si>
  <si>
    <t>Cassette Flex Circuits</t>
  </si>
  <si>
    <t>1.1.2.4.1.5</t>
  </si>
  <si>
    <t>Cassette Internal Fiber</t>
  </si>
  <si>
    <t>1.1.2.4.2</t>
  </si>
  <si>
    <t>VLPC Test Cassettes</t>
  </si>
  <si>
    <t>1.1.2.5</t>
  </si>
  <si>
    <t>Visible Light Photon Counter Cryogenics</t>
  </si>
  <si>
    <t>1.1.2.5.1</t>
  </si>
  <si>
    <t>Test Cryostat</t>
  </si>
  <si>
    <t>1.1.2.5.2</t>
  </si>
  <si>
    <t>Final Cryostat System</t>
  </si>
  <si>
    <t>1.1.2.5.2.1</t>
  </si>
  <si>
    <t>Raw Materials</t>
  </si>
  <si>
    <t>1.1.2.5.2.2</t>
  </si>
  <si>
    <t>Machining and Construction</t>
  </si>
  <si>
    <t>1.1.2.5.2.3</t>
  </si>
  <si>
    <t>Intercepts, Shields, Insulation, Vacuum</t>
  </si>
  <si>
    <t>1.1.2.5.2.4</t>
  </si>
  <si>
    <t>Top Lid Heater and Controls</t>
  </si>
  <si>
    <t>1.1.2.5.2.5</t>
  </si>
  <si>
    <t>Relief and Check Valves and Fasteners</t>
  </si>
  <si>
    <t>1.1.2.5.3</t>
  </si>
  <si>
    <t>Helium Distribution System</t>
  </si>
  <si>
    <t>1.1.2.5.3.1</t>
  </si>
  <si>
    <t>Detector Valve Box, Bayonet Cans</t>
  </si>
  <si>
    <t>1.1.2.5.3.2</t>
  </si>
  <si>
    <t>Transfer Lines</t>
  </si>
  <si>
    <t>1.1.2.5.4</t>
  </si>
  <si>
    <t>Cryostat Installation</t>
  </si>
  <si>
    <t>1.1.2.5.4.1</t>
  </si>
  <si>
    <t>Staging Stands, Roll in Plates</t>
  </si>
  <si>
    <t>1.1.2.5.4.2</t>
  </si>
  <si>
    <t>Movement Mechanisms</t>
  </si>
  <si>
    <t>1.1.2.5.5</t>
  </si>
  <si>
    <t>Temperature Controller</t>
  </si>
  <si>
    <t>1.1.2.5.5.1</t>
  </si>
  <si>
    <t>Cryostat Sensors</t>
  </si>
  <si>
    <t>1.1.2.5.5.2</t>
  </si>
  <si>
    <t>Cassette Controller Mods, Power Supp.</t>
  </si>
  <si>
    <t>1.1.2.6</t>
  </si>
  <si>
    <t>Calibration System</t>
  </si>
  <si>
    <t>1.1.2.6.1</t>
  </si>
  <si>
    <t>Optical Panels and LEDs</t>
  </si>
  <si>
    <t>1.1.2.6.2</t>
  </si>
  <si>
    <t>Support Structure for Optical Panels</t>
  </si>
  <si>
    <t>1.1.2.6.3</t>
  </si>
  <si>
    <t>Drive Electronics</t>
  </si>
  <si>
    <t>1.1.2.6.3.1</t>
  </si>
  <si>
    <t>Driver chips</t>
  </si>
  <si>
    <t>1.1.2.6.3.2</t>
  </si>
  <si>
    <t>Receiver chips</t>
  </si>
  <si>
    <t>1.1.2.6.3.3</t>
  </si>
  <si>
    <t>DACs</t>
  </si>
  <si>
    <t>1.1.2.6.3.4</t>
  </si>
  <si>
    <t>Passive components</t>
  </si>
  <si>
    <t>1.1.2.6.3.5</t>
  </si>
  <si>
    <t>Circuit boards</t>
  </si>
  <si>
    <t>1.1.2.6.3.6</t>
  </si>
  <si>
    <t>Board assembly</t>
  </si>
  <si>
    <t>1.1.2.6.4</t>
  </si>
  <si>
    <t>Pulsing Electronics</t>
  </si>
  <si>
    <t>1.1.2.6.5</t>
  </si>
  <si>
    <t>Cabling, connectors</t>
  </si>
  <si>
    <t>1.1.2.6.6</t>
  </si>
  <si>
    <t>Power supplies</t>
  </si>
  <si>
    <t>1.1.2.6.7</t>
  </si>
  <si>
    <t>Computer control (VME interface)</t>
  </si>
  <si>
    <t>1.1.2.6.8</t>
  </si>
  <si>
    <t>Data storage (disks)</t>
  </si>
  <si>
    <t>1.1.2.6.9</t>
  </si>
  <si>
    <t>Design/fabrication/testing</t>
  </si>
  <si>
    <t>1.1.2.7</t>
  </si>
  <si>
    <t>1.1.2.7.1</t>
  </si>
  <si>
    <t>Support cylinders</t>
  </si>
  <si>
    <t>1.1.2.7.1.1</t>
  </si>
  <si>
    <t>Cylinder Materials</t>
  </si>
  <si>
    <t>1.1.2.7.1.2</t>
  </si>
  <si>
    <t>Mandrels</t>
  </si>
  <si>
    <t>1.1.2.7.1.3</t>
  </si>
  <si>
    <t>End Rings</t>
  </si>
  <si>
    <t>1.1.2.7.1.4</t>
  </si>
  <si>
    <t>Construction Tooling</t>
  </si>
  <si>
    <t>1.1.2.7.2</t>
  </si>
  <si>
    <t>Cylinder Coupling Supports</t>
  </si>
  <si>
    <t>1.1.2.7.2.1</t>
  </si>
  <si>
    <t>OD Rings</t>
  </si>
  <si>
    <t>1.1.2.7.2.2</t>
  </si>
  <si>
    <t>1.1.2.7.2.3</t>
  </si>
  <si>
    <t>Fixturing</t>
  </si>
  <si>
    <t>1.1.2.7.3</t>
  </si>
  <si>
    <t>External Supports</t>
  </si>
  <si>
    <t>1.1.2.7.4</t>
  </si>
  <si>
    <t>Purge gas system</t>
  </si>
  <si>
    <t>1.1.2.8</t>
  </si>
  <si>
    <t>Detector Assembly</t>
  </si>
  <si>
    <t>1.1.2.8.1</t>
  </si>
  <si>
    <t>Waveguide install fixturing</t>
  </si>
  <si>
    <t>1.1.2.8.2</t>
  </si>
  <si>
    <t>Survey fixturing</t>
  </si>
  <si>
    <t>1.1.2.8.3</t>
  </si>
  <si>
    <t>Tracker installation fixtures</t>
  </si>
  <si>
    <t>Assembly</t>
  </si>
  <si>
    <t>1.1.3</t>
  </si>
  <si>
    <t>CENTRAL PRESHOWER DETECTOR</t>
  </si>
  <si>
    <t>1.1.3.1</t>
  </si>
  <si>
    <t>1.1.3.1.1</t>
  </si>
  <si>
    <t>Mechanical Support</t>
  </si>
  <si>
    <t>1.1.3.1.2</t>
  </si>
  <si>
    <t>Signal Electronics</t>
  </si>
  <si>
    <t>1.1.3.2</t>
  </si>
  <si>
    <t>Scintillator Extrusion</t>
  </si>
  <si>
    <t>1.1.3.2.1</t>
  </si>
  <si>
    <t>Polystyrene</t>
  </si>
  <si>
    <t>1.1.3.2.3</t>
  </si>
  <si>
    <t>Compounding</t>
  </si>
  <si>
    <t>1.1.3.2.4</t>
  </si>
  <si>
    <t>Die</t>
  </si>
  <si>
    <t>1.1.3.2.5</t>
  </si>
  <si>
    <t>Extrusion Service</t>
  </si>
  <si>
    <t>1.1.3.3</t>
  </si>
  <si>
    <t>Strip Preparation</t>
  </si>
  <si>
    <t>1.1.3.3.1</t>
  </si>
  <si>
    <t>Wrapping</t>
  </si>
  <si>
    <t>1.1.3.4</t>
  </si>
  <si>
    <t>Fiber &amp; Connectors</t>
  </si>
  <si>
    <t>1.1.3.4.1</t>
  </si>
  <si>
    <t>WLS Fiber</t>
  </si>
  <si>
    <t>1.1.3.4.2</t>
  </si>
  <si>
    <t>Silvering</t>
  </si>
  <si>
    <t>1.1.3.4.3</t>
  </si>
  <si>
    <t>Connectors (WLS fiber side)</t>
  </si>
  <si>
    <t>1.1.3.4.4</t>
  </si>
  <si>
    <t>Fiber/connector assembly</t>
  </si>
  <si>
    <t>1.1.3.4.6</t>
  </si>
  <si>
    <t>Fiberguide material</t>
  </si>
  <si>
    <t>1.1.3.4.7</t>
  </si>
  <si>
    <t>Fiberguide machining</t>
  </si>
  <si>
    <t>1.1.3.4.8</t>
  </si>
  <si>
    <t>Shipping &amp; handling</t>
  </si>
  <si>
    <t>1.1.3.4.9</t>
  </si>
  <si>
    <t>Supplies</t>
  </si>
  <si>
    <t>1.1.3.5</t>
  </si>
  <si>
    <t>Detector Modules</t>
  </si>
  <si>
    <t>1.1.3.5.1</t>
  </si>
  <si>
    <t>Strongback material/skin</t>
  </si>
  <si>
    <t>1.1.3.5.2</t>
  </si>
  <si>
    <t>Mounting fixtures</t>
  </si>
  <si>
    <t>1.1.3.5.3</t>
  </si>
  <si>
    <t>Slumping press and shape formation</t>
  </si>
  <si>
    <t>1.1.3.5.4</t>
  </si>
  <si>
    <t>Assembly tables and setups</t>
  </si>
  <si>
    <t>1.1.3.5.5</t>
  </si>
  <si>
    <t>Alignment jigs and tools</t>
  </si>
  <si>
    <t>1.1.3.5.6</t>
  </si>
  <si>
    <t>1.3.2.4.7</t>
  </si>
  <si>
    <t>WAMUS Gas System</t>
  </si>
  <si>
    <t>1.3.5.1.2.8</t>
  </si>
  <si>
    <t>SLDB Transmitter Parts</t>
  </si>
  <si>
    <t xml:space="preserve">VRB Controller Card </t>
  </si>
  <si>
    <t>1.4.3.1.10</t>
  </si>
  <si>
    <t>Crates &amp; power</t>
  </si>
  <si>
    <t>EQUIPMENT SPENDING THROUGH END JAN '00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</si>
</sst>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_(* #,##0.0_);_(* \(#,##0.0\);_(* &quot;-&quot;??_);_(@_)"/>
    <numFmt numFmtId="167" formatCode="#,##0.0"/>
    <numFmt numFmtId="168" formatCode="#,##0.0_);\(#,##0.0\)"/>
    <numFmt numFmtId="169" formatCode="0.00_);\(0.00\)"/>
    <numFmt numFmtId="170" formatCode="#,##0.0_);[Red]\(#,##0.0\)"/>
    <numFmt numFmtId="171" formatCode="0.0"/>
    <numFmt numFmtId="172" formatCode="0.00_);[Red]\(0.00\)"/>
  </numFmts>
  <fonts count="21">
    <font>
      <sz val="10"/>
      <name val="Arial"/>
      <family val="0"/>
    </font>
    <font>
      <b/>
      <i/>
      <sz val="12"/>
      <color indexed="32"/>
      <name val="Arial"/>
      <family val="0"/>
    </font>
    <font>
      <b/>
      <i/>
      <sz val="10"/>
      <color indexed="16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0"/>
      <name val="Arial"/>
      <family val="0"/>
    </font>
    <font>
      <b/>
      <sz val="10"/>
      <color indexed="30"/>
      <name val="Arial"/>
      <family val="2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6"/>
      <name val="Arial"/>
      <family val="2"/>
    </font>
    <font>
      <b/>
      <i/>
      <u val="single"/>
      <sz val="10"/>
      <color indexed="16"/>
      <name val="Arial"/>
      <family val="2"/>
    </font>
    <font>
      <b/>
      <sz val="10"/>
      <color indexed="48"/>
      <name val="Arial"/>
      <family val="2"/>
    </font>
    <font>
      <i/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3" fontId="9" fillId="0" borderId="8" xfId="0" applyNumberFormat="1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3" fontId="11" fillId="0" borderId="14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ndrud\Budget\FY_97\Upgrade%20Equip%20Allocn%20redo%205-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ndrud\actuals\Sepytd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ndrud\Req%20Database\Summar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97 Alloc"/>
    </sheetNames>
    <sheetDataSet>
      <sheetData sheetId="0">
        <row r="1">
          <cell r="A1" t="str">
            <v>1.1.1.3.9</v>
          </cell>
          <cell r="B1">
            <v>25000</v>
          </cell>
        </row>
        <row r="2">
          <cell r="A2" t="str">
            <v>1.1.1.4.7</v>
          </cell>
          <cell r="B2">
            <v>71640</v>
          </cell>
        </row>
        <row r="3">
          <cell r="A3" t="str">
            <v>1.1.1.1.5</v>
          </cell>
          <cell r="B3">
            <v>32000</v>
          </cell>
        </row>
        <row r="4">
          <cell r="A4" t="str">
            <v>1.1.1.2.1.4</v>
          </cell>
          <cell r="B4">
            <v>15000</v>
          </cell>
        </row>
        <row r="5">
          <cell r="A5" t="str">
            <v>1.1.1.2.2.1</v>
          </cell>
          <cell r="B5">
            <v>230400</v>
          </cell>
        </row>
        <row r="6">
          <cell r="A6" t="str">
            <v>1.1.1.2.3</v>
          </cell>
          <cell r="B6">
            <v>106920</v>
          </cell>
        </row>
        <row r="7">
          <cell r="A7" t="str">
            <v>1.1.1.3.1.1</v>
          </cell>
          <cell r="B7">
            <v>100800</v>
          </cell>
        </row>
        <row r="8">
          <cell r="A8" t="str">
            <v>1.1.1.3.3.1</v>
          </cell>
          <cell r="B8">
            <v>201600</v>
          </cell>
        </row>
        <row r="9">
          <cell r="A9" t="str">
            <v>1.1.1.3.5</v>
          </cell>
          <cell r="B9">
            <v>48408</v>
          </cell>
        </row>
        <row r="10">
          <cell r="A10" t="str">
            <v>1.1.1.6.4</v>
          </cell>
          <cell r="B10">
            <v>15000</v>
          </cell>
        </row>
        <row r="11">
          <cell r="A11" t="str">
            <v>1.1.1.6.5</v>
          </cell>
          <cell r="B11">
            <v>25000</v>
          </cell>
        </row>
        <row r="12">
          <cell r="A12" t="str">
            <v>1.1.1.5.2</v>
          </cell>
          <cell r="B12">
            <v>176400</v>
          </cell>
        </row>
        <row r="13">
          <cell r="A13" t="str">
            <v>1.1.1.5.1</v>
          </cell>
          <cell r="B13">
            <v>168000</v>
          </cell>
        </row>
        <row r="14">
          <cell r="A14" t="str">
            <v>1.1.1.2.2.2</v>
          </cell>
          <cell r="B14">
            <v>9600</v>
          </cell>
        </row>
        <row r="15">
          <cell r="A15" t="str">
            <v>1.1.1.5.3</v>
          </cell>
          <cell r="B15">
            <v>18450</v>
          </cell>
        </row>
        <row r="16">
          <cell r="A16" t="str">
            <v>1.1.1.5.3</v>
          </cell>
          <cell r="B16">
            <v>18450</v>
          </cell>
        </row>
        <row r="17">
          <cell r="A17" t="str">
            <v>1.1.1.2.1.2</v>
          </cell>
          <cell r="B17">
            <v>43200</v>
          </cell>
        </row>
        <row r="18">
          <cell r="A18" t="str">
            <v>1.1.1.3.11</v>
          </cell>
          <cell r="B18">
            <v>90000</v>
          </cell>
        </row>
        <row r="19">
          <cell r="A19" t="str">
            <v>1.1.1.2.2.5</v>
          </cell>
          <cell r="B19">
            <v>19200</v>
          </cell>
        </row>
        <row r="20">
          <cell r="A20" t="str">
            <v>1.1.1.2.1.3</v>
          </cell>
          <cell r="B20">
            <v>14400</v>
          </cell>
        </row>
        <row r="21">
          <cell r="A21" t="str">
            <v>1.1.2.2.7.1</v>
          </cell>
          <cell r="B21">
            <v>50000</v>
          </cell>
        </row>
        <row r="22">
          <cell r="A22" t="str">
            <v>1.1.2.5.3</v>
          </cell>
          <cell r="B22">
            <v>50000</v>
          </cell>
        </row>
        <row r="23">
          <cell r="A23" t="str">
            <v>1.1.2.2.5</v>
          </cell>
          <cell r="B23">
            <v>40000</v>
          </cell>
        </row>
        <row r="24">
          <cell r="A24" t="str">
            <v>1.1.2.3.5</v>
          </cell>
          <cell r="B24">
            <v>30000</v>
          </cell>
        </row>
        <row r="25">
          <cell r="A25" t="str">
            <v>1.1.2.3.6</v>
          </cell>
          <cell r="B25">
            <v>25000</v>
          </cell>
        </row>
        <row r="26">
          <cell r="A26" t="str">
            <v>1.1.2.5.2</v>
          </cell>
          <cell r="B26">
            <v>100000</v>
          </cell>
        </row>
        <row r="27">
          <cell r="A27" t="str">
            <v>1.1.2.5.5</v>
          </cell>
          <cell r="B27">
            <v>40000</v>
          </cell>
        </row>
        <row r="28">
          <cell r="A28" t="str">
            <v>1.1.2.7.1</v>
          </cell>
          <cell r="B28">
            <v>50000</v>
          </cell>
        </row>
        <row r="29">
          <cell r="A29" t="str">
            <v>1.1.2.4.1</v>
          </cell>
          <cell r="B29">
            <v>975000</v>
          </cell>
        </row>
        <row r="30">
          <cell r="A30" t="str">
            <v>1.1.2.4.2</v>
          </cell>
          <cell r="B30">
            <v>40000</v>
          </cell>
        </row>
        <row r="31">
          <cell r="A31" t="str">
            <v>1.1.3.5.3</v>
          </cell>
          <cell r="B31">
            <v>3000</v>
          </cell>
        </row>
        <row r="32">
          <cell r="A32" t="str">
            <v>1.1.3.5.4</v>
          </cell>
          <cell r="B32">
            <v>2000</v>
          </cell>
        </row>
        <row r="33">
          <cell r="A33" t="str">
            <v>1.1.3.4.4</v>
          </cell>
          <cell r="B33">
            <v>2000</v>
          </cell>
        </row>
        <row r="34">
          <cell r="A34" t="str">
            <v>1.1.3.5.1</v>
          </cell>
          <cell r="B34">
            <v>2000</v>
          </cell>
        </row>
        <row r="35">
          <cell r="A35" t="str">
            <v>1.1.3.5.2</v>
          </cell>
          <cell r="B35">
            <v>2000</v>
          </cell>
        </row>
        <row r="36">
          <cell r="A36" t="str">
            <v>1.1.3.4.5</v>
          </cell>
          <cell r="B36">
            <v>3000</v>
          </cell>
        </row>
        <row r="37">
          <cell r="A37" t="str">
            <v>1.1.3.9.1</v>
          </cell>
          <cell r="B37">
            <v>6000</v>
          </cell>
        </row>
        <row r="38">
          <cell r="A38" t="str">
            <v>1.1.3.9.2</v>
          </cell>
          <cell r="B38">
            <v>10000</v>
          </cell>
        </row>
        <row r="39">
          <cell r="A39" t="str">
            <v>1.1.3.9.3</v>
          </cell>
          <cell r="B39">
            <v>3000</v>
          </cell>
        </row>
        <row r="40">
          <cell r="A40" t="str">
            <v>1.1.3.5.8</v>
          </cell>
          <cell r="B40">
            <v>1300</v>
          </cell>
        </row>
        <row r="41">
          <cell r="A41" t="str">
            <v>1.1.3.2.1</v>
          </cell>
          <cell r="B41">
            <v>10000</v>
          </cell>
        </row>
        <row r="42">
          <cell r="A42" t="str">
            <v>1.1.3.2.2</v>
          </cell>
          <cell r="B42">
            <v>3000</v>
          </cell>
        </row>
        <row r="43">
          <cell r="A43" t="str">
            <v>1.1.3.2.3</v>
          </cell>
          <cell r="B43">
            <v>3000</v>
          </cell>
        </row>
        <row r="44">
          <cell r="A44" t="str">
            <v>1.1.3.3.1</v>
          </cell>
          <cell r="B44">
            <v>5000</v>
          </cell>
        </row>
        <row r="45">
          <cell r="A45" t="str">
            <v>1.1.3.3.2</v>
          </cell>
          <cell r="B45">
            <v>2000</v>
          </cell>
        </row>
        <row r="46">
          <cell r="A46" t="str">
            <v>1.1.3.3.3</v>
          </cell>
          <cell r="B46">
            <v>2000</v>
          </cell>
        </row>
        <row r="47">
          <cell r="A47" t="str">
            <v>1.1.5.2.3.4</v>
          </cell>
          <cell r="B47">
            <v>31360</v>
          </cell>
        </row>
        <row r="48">
          <cell r="A48" t="str">
            <v>1.1.5.3.1.2</v>
          </cell>
          <cell r="B48">
            <v>56320</v>
          </cell>
        </row>
        <row r="49">
          <cell r="A49" t="str">
            <v>1.1.5.3.2.1</v>
          </cell>
          <cell r="B49">
            <v>65000</v>
          </cell>
        </row>
        <row r="50">
          <cell r="A50" t="str">
            <v>1.1.5.3.6.2</v>
          </cell>
          <cell r="B50">
            <v>28800</v>
          </cell>
        </row>
        <row r="51">
          <cell r="A51" t="str">
            <v>1.1.5.2.1.2</v>
          </cell>
          <cell r="B51">
            <v>9792.000000000002</v>
          </cell>
        </row>
        <row r="52">
          <cell r="A52" t="str">
            <v>1.1.5.2.3.2</v>
          </cell>
          <cell r="B52">
            <v>5760</v>
          </cell>
        </row>
        <row r="53">
          <cell r="A53" t="str">
            <v>1.1.5.2.3.5</v>
          </cell>
          <cell r="B53">
            <v>28800</v>
          </cell>
        </row>
        <row r="54">
          <cell r="A54" t="str">
            <v>1.1.5.3.5.2</v>
          </cell>
          <cell r="B54">
            <v>1200</v>
          </cell>
        </row>
        <row r="55">
          <cell r="A55" t="str">
            <v>1.1.5.3.5.5</v>
          </cell>
          <cell r="B55">
            <v>6000</v>
          </cell>
        </row>
        <row r="56">
          <cell r="A56" t="str">
            <v>1.1.5.3.1.4</v>
          </cell>
          <cell r="B56">
            <v>140800</v>
          </cell>
        </row>
        <row r="57">
          <cell r="A57" t="str">
            <v>1.1.5.3.2.4</v>
          </cell>
          <cell r="B57">
            <v>49000</v>
          </cell>
        </row>
        <row r="58">
          <cell r="A58" t="str">
            <v>1.1.5.3.3.2</v>
          </cell>
          <cell r="B58">
            <v>35200</v>
          </cell>
        </row>
        <row r="59">
          <cell r="A59" t="str">
            <v>1.1.5.3.6.4</v>
          </cell>
          <cell r="B59">
            <v>57600</v>
          </cell>
        </row>
        <row r="60">
          <cell r="A60" t="str">
            <v>1.1.5.2.1.1</v>
          </cell>
          <cell r="B60">
            <v>238761.6</v>
          </cell>
        </row>
        <row r="61">
          <cell r="A61" t="str">
            <v>1.1.5.2.3.1</v>
          </cell>
          <cell r="B61">
            <v>310080</v>
          </cell>
        </row>
        <row r="62">
          <cell r="A62" t="str">
            <v>1.1.5.2.1.3</v>
          </cell>
          <cell r="B62">
            <v>10200</v>
          </cell>
        </row>
        <row r="63">
          <cell r="A63" t="str">
            <v>1.1.5.2.1.5</v>
          </cell>
          <cell r="B63">
            <v>2720</v>
          </cell>
        </row>
        <row r="64">
          <cell r="A64" t="str">
            <v>1.1.5.3.5.1</v>
          </cell>
          <cell r="B64">
            <v>93024</v>
          </cell>
        </row>
        <row r="65">
          <cell r="A65" t="str">
            <v>1.1.5.2.3.6</v>
          </cell>
          <cell r="B65">
            <v>19200</v>
          </cell>
        </row>
        <row r="66">
          <cell r="A66" t="str">
            <v>1.1.5.3.5.4</v>
          </cell>
          <cell r="B66">
            <v>2000</v>
          </cell>
        </row>
        <row r="67">
          <cell r="A67" t="str">
            <v>1.2.1.1.2.3.1</v>
          </cell>
          <cell r="B67">
            <v>6200</v>
          </cell>
        </row>
        <row r="68">
          <cell r="A68" t="str">
            <v>1.2.1.1.2.3.2</v>
          </cell>
          <cell r="B68">
            <v>4000</v>
          </cell>
        </row>
        <row r="69">
          <cell r="A69" t="str">
            <v>1.2.1.2.6.1</v>
          </cell>
          <cell r="B69">
            <v>50000</v>
          </cell>
        </row>
        <row r="70">
          <cell r="A70" t="str">
            <v>1.2.1.2.3.2.1</v>
          </cell>
          <cell r="B70">
            <v>222000</v>
          </cell>
        </row>
        <row r="71">
          <cell r="A71" t="str">
            <v>1.2.1.2.4.6</v>
          </cell>
          <cell r="B71">
            <v>111000</v>
          </cell>
        </row>
        <row r="72">
          <cell r="A72" t="str">
            <v>1.2.1.2.2.2</v>
          </cell>
          <cell r="B72">
            <v>62500</v>
          </cell>
        </row>
        <row r="73">
          <cell r="A73" t="str">
            <v>1.2.1.1.4.1</v>
          </cell>
          <cell r="B73">
            <v>24000</v>
          </cell>
        </row>
        <row r="74">
          <cell r="A74" t="str">
            <v>1.2.1.1.4.2</v>
          </cell>
          <cell r="B74">
            <v>4500</v>
          </cell>
        </row>
        <row r="75">
          <cell r="A75" t="str">
            <v>1.2.1.1.4.3</v>
          </cell>
          <cell r="B75">
            <v>3600</v>
          </cell>
        </row>
        <row r="76">
          <cell r="A76" t="str">
            <v>1.2.1.1.4.4</v>
          </cell>
          <cell r="B76">
            <v>3510</v>
          </cell>
        </row>
        <row r="77">
          <cell r="A77" t="str">
            <v>1.2.1.1.4.5</v>
          </cell>
          <cell r="B77">
            <v>3390</v>
          </cell>
        </row>
        <row r="78">
          <cell r="A78" t="str">
            <v>1.2.1.1.4.6</v>
          </cell>
          <cell r="B78">
            <v>3090</v>
          </cell>
        </row>
        <row r="79">
          <cell r="A79" t="str">
            <v>1.2.1.1.4.7</v>
          </cell>
          <cell r="B79">
            <v>2100</v>
          </cell>
        </row>
        <row r="80">
          <cell r="A80" t="str">
            <v>1.2.1.1.4.8</v>
          </cell>
          <cell r="B80">
            <v>1920</v>
          </cell>
        </row>
        <row r="81">
          <cell r="A81" t="str">
            <v>1.2.1.1.4.9</v>
          </cell>
          <cell r="B81">
            <v>4710</v>
          </cell>
        </row>
        <row r="82">
          <cell r="A82" t="str">
            <v>1.2.1.1.4.10</v>
          </cell>
          <cell r="B82">
            <v>6600</v>
          </cell>
        </row>
        <row r="83">
          <cell r="A83" t="str">
            <v>1.2.1.1.4.11</v>
          </cell>
          <cell r="B83">
            <v>3600</v>
          </cell>
        </row>
        <row r="84">
          <cell r="A84" t="str">
            <v>1.2.1.2.2.3</v>
          </cell>
          <cell r="B84">
            <v>11034</v>
          </cell>
        </row>
        <row r="85">
          <cell r="A85" t="str">
            <v>1.2.1.2.2.4</v>
          </cell>
          <cell r="B85">
            <v>72917</v>
          </cell>
        </row>
        <row r="86">
          <cell r="A86" t="str">
            <v>1.2.2.7.1</v>
          </cell>
          <cell r="B86">
            <v>6094</v>
          </cell>
        </row>
        <row r="87">
          <cell r="A87" t="str">
            <v>1.2.2.1.1</v>
          </cell>
          <cell r="B87">
            <v>1250</v>
          </cell>
        </row>
        <row r="88">
          <cell r="A88" t="str">
            <v>1.2.2.4.4</v>
          </cell>
          <cell r="B88">
            <v>4641</v>
          </cell>
        </row>
        <row r="89">
          <cell r="A89" t="str">
            <v>1.2.2.1.1</v>
          </cell>
          <cell r="B89">
            <v>1250</v>
          </cell>
        </row>
        <row r="90">
          <cell r="A90" t="str">
            <v>1.2.2.1.1</v>
          </cell>
          <cell r="B90">
            <v>1250</v>
          </cell>
        </row>
        <row r="91">
          <cell r="A91" t="str">
            <v>1.2.2.5.2</v>
          </cell>
          <cell r="B91">
            <v>4095.36</v>
          </cell>
        </row>
        <row r="92">
          <cell r="A92" t="str">
            <v>1.2.2.5.3</v>
          </cell>
          <cell r="B92">
            <v>4160</v>
          </cell>
        </row>
        <row r="93">
          <cell r="A93" t="str">
            <v>1.2.2.5.5</v>
          </cell>
          <cell r="B93">
            <v>8256</v>
          </cell>
        </row>
        <row r="94">
          <cell r="A94" t="str">
            <v>1.2.2.5.2</v>
          </cell>
          <cell r="B94">
            <v>1592.64</v>
          </cell>
        </row>
        <row r="95">
          <cell r="A95" t="str">
            <v>1.3.2.2.5</v>
          </cell>
          <cell r="B95">
            <v>17325</v>
          </cell>
        </row>
        <row r="96">
          <cell r="A96" t="str">
            <v>1.3.2.2.6</v>
          </cell>
          <cell r="B96">
            <v>26334</v>
          </cell>
        </row>
        <row r="97">
          <cell r="A97" t="str">
            <v>1.3.2.3.6</v>
          </cell>
          <cell r="B97">
            <v>4400</v>
          </cell>
        </row>
        <row r="98">
          <cell r="A98" t="str">
            <v>1.3.2.3.7</v>
          </cell>
          <cell r="B98">
            <v>6688</v>
          </cell>
        </row>
        <row r="99">
          <cell r="A99" t="str">
            <v>1.3.2.2.12</v>
          </cell>
          <cell r="B99">
            <v>10544.64</v>
          </cell>
        </row>
        <row r="100">
          <cell r="A100" t="str">
            <v>1.3.2.2.13</v>
          </cell>
          <cell r="B100">
            <v>7859</v>
          </cell>
        </row>
        <row r="101">
          <cell r="A101" t="str">
            <v>1.3.2.3.12</v>
          </cell>
          <cell r="B101">
            <v>11500</v>
          </cell>
        </row>
        <row r="102">
          <cell r="A102" t="str">
            <v>1.3.2.3.13</v>
          </cell>
          <cell r="B102">
            <v>8000</v>
          </cell>
        </row>
        <row r="103">
          <cell r="A103" t="str">
            <v>1.3.2.2.7</v>
          </cell>
          <cell r="B103">
            <v>45000</v>
          </cell>
        </row>
        <row r="104">
          <cell r="A104" t="str">
            <v>1.3.2.2.2</v>
          </cell>
          <cell r="B104">
            <v>20800</v>
          </cell>
        </row>
        <row r="105">
          <cell r="A105" t="str">
            <v>1.3.2.2.17</v>
          </cell>
          <cell r="B105">
            <v>10000</v>
          </cell>
        </row>
        <row r="106">
          <cell r="A106" t="str">
            <v>1.3.2.3.11</v>
          </cell>
          <cell r="B106">
            <v>5947.2</v>
          </cell>
        </row>
        <row r="107">
          <cell r="A107" t="str">
            <v>1.3.2.3.16</v>
          </cell>
          <cell r="B107">
            <v>7500</v>
          </cell>
        </row>
        <row r="108">
          <cell r="A108" t="str">
            <v>1.3.2.4.1.1</v>
          </cell>
          <cell r="B108">
            <v>5328</v>
          </cell>
        </row>
        <row r="109">
          <cell r="A109" t="str">
            <v>1.3.2.4.1.2</v>
          </cell>
          <cell r="B109">
            <v>7770</v>
          </cell>
        </row>
        <row r="110">
          <cell r="A110" t="str">
            <v>1.3.2.4.1.3</v>
          </cell>
          <cell r="B110">
            <v>3000</v>
          </cell>
        </row>
        <row r="111">
          <cell r="A111" t="str">
            <v>1.3.2.4.1.4</v>
          </cell>
          <cell r="B111">
            <v>1000</v>
          </cell>
        </row>
        <row r="112">
          <cell r="A112" t="str">
            <v>1.3.2.4.2</v>
          </cell>
          <cell r="B112">
            <v>40000</v>
          </cell>
        </row>
        <row r="113">
          <cell r="A113" t="str">
            <v>1.3.2.2.8</v>
          </cell>
          <cell r="B113">
            <v>6000</v>
          </cell>
        </row>
        <row r="114">
          <cell r="A114" t="str">
            <v>1.3.2.2.9</v>
          </cell>
          <cell r="B114">
            <v>5000</v>
          </cell>
        </row>
        <row r="115">
          <cell r="A115" t="str">
            <v>1.3.2.2.11</v>
          </cell>
          <cell r="B115">
            <v>5000</v>
          </cell>
        </row>
        <row r="116">
          <cell r="A116" t="str">
            <v>1.3.2.2.10</v>
          </cell>
          <cell r="B116">
            <v>28000</v>
          </cell>
        </row>
        <row r="117">
          <cell r="A117" t="str">
            <v>1.3.2.4.3</v>
          </cell>
          <cell r="B117">
            <v>18800</v>
          </cell>
        </row>
        <row r="118">
          <cell r="A118" t="str">
            <v>1.3.2.4.4</v>
          </cell>
          <cell r="B118">
            <v>40000</v>
          </cell>
        </row>
        <row r="119">
          <cell r="A119" t="str">
            <v>1.3.2.2.14</v>
          </cell>
          <cell r="B119">
            <v>4400</v>
          </cell>
        </row>
        <row r="120">
          <cell r="A120" t="str">
            <v>1.3.3.5.2</v>
          </cell>
          <cell r="B120">
            <v>15000</v>
          </cell>
        </row>
        <row r="121">
          <cell r="A121" t="str">
            <v>1.3.3.5.3</v>
          </cell>
          <cell r="B121">
            <v>10000</v>
          </cell>
        </row>
        <row r="122">
          <cell r="A122" t="str">
            <v>1.3.3.4.2</v>
          </cell>
          <cell r="B122">
            <v>26761.00000000001</v>
          </cell>
        </row>
        <row r="123">
          <cell r="A123" t="str">
            <v>1.3.3.3</v>
          </cell>
          <cell r="B123">
            <v>72576</v>
          </cell>
        </row>
        <row r="124">
          <cell r="A124" t="str">
            <v>1.3.3.5.1</v>
          </cell>
          <cell r="B124">
            <v>130000</v>
          </cell>
        </row>
        <row r="125">
          <cell r="A125" t="str">
            <v>1.3.3.6</v>
          </cell>
          <cell r="B125">
            <v>7680</v>
          </cell>
        </row>
        <row r="126">
          <cell r="A126" t="str">
            <v>1.3.3.10.1</v>
          </cell>
          <cell r="B126">
            <v>5000</v>
          </cell>
        </row>
        <row r="127">
          <cell r="A127" t="str">
            <v>1.3.3.9.2</v>
          </cell>
          <cell r="B127">
            <v>36000</v>
          </cell>
        </row>
        <row r="128">
          <cell r="A128" t="str">
            <v>1.3.3.10.2</v>
          </cell>
          <cell r="B128">
            <v>10000</v>
          </cell>
        </row>
        <row r="129">
          <cell r="A129" t="str">
            <v>1.3.4.3.2</v>
          </cell>
          <cell r="B129">
            <v>5568</v>
          </cell>
        </row>
        <row r="130">
          <cell r="A130" t="str">
            <v>1.3.4.3.3</v>
          </cell>
          <cell r="B130">
            <v>3920.6400000000003</v>
          </cell>
        </row>
        <row r="131">
          <cell r="A131" t="str">
            <v>1.3.4.5.1</v>
          </cell>
          <cell r="B131">
            <v>11813</v>
          </cell>
        </row>
        <row r="132">
          <cell r="A132" t="str">
            <v>1.3.4.5.2</v>
          </cell>
          <cell r="B132">
            <v>15750</v>
          </cell>
        </row>
        <row r="133">
          <cell r="A133" t="str">
            <v>1.3.4.5.3</v>
          </cell>
          <cell r="B133">
            <v>15750</v>
          </cell>
        </row>
        <row r="134">
          <cell r="A134" t="str">
            <v>1.3.4.5.4</v>
          </cell>
          <cell r="B134">
            <v>51156</v>
          </cell>
        </row>
        <row r="135">
          <cell r="A135" t="str">
            <v>1.3.4.2.1</v>
          </cell>
          <cell r="B135">
            <v>144500</v>
          </cell>
        </row>
        <row r="136">
          <cell r="A136" t="str">
            <v>1.3.4.2.2</v>
          </cell>
          <cell r="B136">
            <v>38700</v>
          </cell>
        </row>
        <row r="137">
          <cell r="A137" t="str">
            <v>1.3.4.2.3</v>
          </cell>
          <cell r="B137">
            <v>10700</v>
          </cell>
        </row>
        <row r="138">
          <cell r="A138" t="str">
            <v>1.3.4.2.4</v>
          </cell>
          <cell r="B138">
            <v>53800</v>
          </cell>
        </row>
        <row r="139">
          <cell r="A139" t="str">
            <v>1.3.4.2.5</v>
          </cell>
          <cell r="B139">
            <v>39100</v>
          </cell>
        </row>
        <row r="140">
          <cell r="A140" t="str">
            <v>1.3.4.2.6</v>
          </cell>
          <cell r="B140">
            <v>48800</v>
          </cell>
        </row>
        <row r="141">
          <cell r="A141" t="str">
            <v>1.3.4.2.7</v>
          </cell>
          <cell r="B141">
            <v>34000</v>
          </cell>
        </row>
        <row r="142">
          <cell r="A142" t="str">
            <v>1.3.4.2.8</v>
          </cell>
          <cell r="B142">
            <v>20600</v>
          </cell>
        </row>
        <row r="143">
          <cell r="A143" t="str">
            <v>1.3.4.2.9</v>
          </cell>
          <cell r="B143">
            <v>36900</v>
          </cell>
        </row>
        <row r="144">
          <cell r="A144" t="str">
            <v>1.3.4.2.10</v>
          </cell>
          <cell r="B144">
            <v>48200</v>
          </cell>
        </row>
        <row r="145">
          <cell r="A145" t="str">
            <v>1.3.4.6.1</v>
          </cell>
          <cell r="B145">
            <v>63000</v>
          </cell>
        </row>
        <row r="146">
          <cell r="A146" t="str">
            <v>1.3.4.3.1</v>
          </cell>
          <cell r="B146">
            <v>13200</v>
          </cell>
        </row>
        <row r="147">
          <cell r="A147" t="str">
            <v>1.3.5.1.3</v>
          </cell>
          <cell r="B147">
            <v>74801.48</v>
          </cell>
        </row>
        <row r="148">
          <cell r="A148" t="str">
            <v>1.3.5.1.4</v>
          </cell>
          <cell r="B148">
            <v>16863.75</v>
          </cell>
        </row>
        <row r="149">
          <cell r="A149" t="str">
            <v>1.3.5.3.2</v>
          </cell>
          <cell r="B149">
            <v>60147.6</v>
          </cell>
        </row>
        <row r="150">
          <cell r="A150" t="str">
            <v>1.3.5.1.2</v>
          </cell>
          <cell r="B150">
            <v>20304.06</v>
          </cell>
        </row>
        <row r="151">
          <cell r="A151" t="str">
            <v>1.3.5.1.5</v>
          </cell>
          <cell r="B151">
            <v>2876.2825</v>
          </cell>
        </row>
        <row r="152">
          <cell r="A152" t="str">
            <v>1.4.1.1</v>
          </cell>
          <cell r="B152">
            <v>260000</v>
          </cell>
        </row>
        <row r="153">
          <cell r="A153" t="str">
            <v>1.4.1.2</v>
          </cell>
          <cell r="B153">
            <v>673000</v>
          </cell>
        </row>
        <row r="154">
          <cell r="A154" t="str">
            <v>1.4.1.3</v>
          </cell>
          <cell r="B154">
            <v>202000</v>
          </cell>
        </row>
        <row r="155">
          <cell r="A155" t="str">
            <v>1.4.1.4</v>
          </cell>
          <cell r="B155">
            <v>184000</v>
          </cell>
        </row>
        <row r="156">
          <cell r="A156" t="str">
            <v>1.4.1.5</v>
          </cell>
          <cell r="B156">
            <v>18500</v>
          </cell>
        </row>
        <row r="157">
          <cell r="A157" t="str">
            <v>1.4.1.1</v>
          </cell>
          <cell r="B157">
            <v>-650000</v>
          </cell>
        </row>
        <row r="158">
          <cell r="A158" t="str">
            <v>1.4.3.2.7.8</v>
          </cell>
          <cell r="B158">
            <v>9000</v>
          </cell>
        </row>
        <row r="159">
          <cell r="A159" t="str">
            <v>1.4.4.3.7</v>
          </cell>
          <cell r="B159">
            <v>4500</v>
          </cell>
        </row>
        <row r="160">
          <cell r="A160" t="str">
            <v>1.4.4.2.7</v>
          </cell>
          <cell r="B160">
            <v>4250</v>
          </cell>
        </row>
        <row r="161">
          <cell r="A161" t="str">
            <v>1.4.4.5.7</v>
          </cell>
          <cell r="B161">
            <v>4250</v>
          </cell>
        </row>
        <row r="162">
          <cell r="A162" t="str">
            <v>1.4.4.2.1</v>
          </cell>
          <cell r="B162">
            <v>5000</v>
          </cell>
        </row>
        <row r="163">
          <cell r="A163" t="str">
            <v>1.4.4.2.2</v>
          </cell>
          <cell r="B163">
            <v>15500</v>
          </cell>
        </row>
        <row r="164">
          <cell r="A164" t="str">
            <v>1.4.4.5.1</v>
          </cell>
          <cell r="B164">
            <v>5000</v>
          </cell>
        </row>
        <row r="165">
          <cell r="A165" t="str">
            <v>1.4.4.5.2</v>
          </cell>
          <cell r="B165">
            <v>6000</v>
          </cell>
        </row>
        <row r="166">
          <cell r="A166" t="str">
            <v>1.4.5.1</v>
          </cell>
          <cell r="B166">
            <v>49500</v>
          </cell>
        </row>
        <row r="167">
          <cell r="A167" t="str">
            <v>1.4.5.2.1</v>
          </cell>
          <cell r="B167">
            <v>12000</v>
          </cell>
        </row>
        <row r="168">
          <cell r="A168" t="str">
            <v>1.4.5.3.2</v>
          </cell>
          <cell r="B168">
            <v>14400</v>
          </cell>
        </row>
        <row r="169">
          <cell r="A169" t="str">
            <v>1.4.5.4</v>
          </cell>
          <cell r="B169">
            <v>43400</v>
          </cell>
        </row>
        <row r="170">
          <cell r="A170" t="str">
            <v>1.5.1.1.1</v>
          </cell>
          <cell r="B170">
            <v>35000</v>
          </cell>
        </row>
        <row r="171">
          <cell r="A171" t="str">
            <v>1.5.1.1.2</v>
          </cell>
          <cell r="B171">
            <v>19200</v>
          </cell>
        </row>
        <row r="172">
          <cell r="A172" t="str">
            <v>1.5.1.3.1</v>
          </cell>
          <cell r="B172">
            <v>4800</v>
          </cell>
        </row>
        <row r="173">
          <cell r="A173" t="str">
            <v>1.5.1.3.2</v>
          </cell>
          <cell r="B173">
            <v>9600</v>
          </cell>
        </row>
        <row r="174">
          <cell r="A174" t="str">
            <v>1.5.1.4</v>
          </cell>
          <cell r="B174">
            <v>9750</v>
          </cell>
        </row>
        <row r="175">
          <cell r="A175" t="str">
            <v>1.5.1.5</v>
          </cell>
          <cell r="B175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Sep96"/>
      <sheetName val="Operating Sep96"/>
      <sheetName val="93_Eq_Oblg"/>
      <sheetName val="94_Eq_Oblg"/>
      <sheetName val="95_Eq_Oblg"/>
      <sheetName val="Equip_Oblg_YTD"/>
      <sheetName val="D0_OBL_byFY"/>
      <sheetName val="D0_Act_byFY"/>
      <sheetName val="DZERO_JUL96"/>
      <sheetName val="Equipment Aug96"/>
      <sheetName val="D0_Act_byYr"/>
    </sheetNames>
    <sheetDataSet>
      <sheetData sheetId="0">
        <row r="1">
          <cell r="A1" t="str">
            <v>Budget Code</v>
          </cell>
          <cell r="B1" t="str">
            <v>PFY OBGL</v>
          </cell>
          <cell r="C1" t="str">
            <v>Budget</v>
          </cell>
          <cell r="D1" t="str">
            <v>CURR MTH ACT</v>
          </cell>
          <cell r="E1" t="str">
            <v>YTD ACT</v>
          </cell>
          <cell r="F1" t="str">
            <v>Open Commitments</v>
          </cell>
          <cell r="G1" t="str">
            <v>Balance</v>
          </cell>
          <cell r="H1" t="str">
            <v>Curr Mo Oblig</v>
          </cell>
          <cell r="I1" t="str">
            <v>FY OBGL</v>
          </cell>
          <cell r="J1" t="str">
            <v>RIPS</v>
          </cell>
          <cell r="K1" t="str">
            <v>CURR MTH ENC</v>
          </cell>
          <cell r="L1" t="str">
            <v>FY CHNG</v>
          </cell>
        </row>
        <row r="2">
          <cell r="A2" t="str">
            <v>DAG</v>
          </cell>
          <cell r="B2">
            <v>0</v>
          </cell>
          <cell r="C2">
            <v>0</v>
          </cell>
          <cell r="D2">
            <v>0</v>
          </cell>
          <cell r="E2">
            <v>30.58425</v>
          </cell>
          <cell r="F2">
            <v>0</v>
          </cell>
          <cell r="G2">
            <v>-30.58425</v>
          </cell>
          <cell r="H2">
            <v>0</v>
          </cell>
          <cell r="I2">
            <v>30.58425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DAK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</row>
        <row r="4">
          <cell r="A4" t="str">
            <v>DAR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</row>
        <row r="5">
          <cell r="A5" t="str">
            <v>DAT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</row>
        <row r="6">
          <cell r="A6" t="str">
            <v>DAU</v>
          </cell>
          <cell r="B6">
            <v>0</v>
          </cell>
          <cell r="C6">
            <v>6152</v>
          </cell>
          <cell r="D6">
            <v>0</v>
          </cell>
          <cell r="E6">
            <v>0</v>
          </cell>
          <cell r="F6">
            <v>0</v>
          </cell>
          <cell r="G6">
            <v>6152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</row>
        <row r="7">
          <cell r="A7" t="str">
            <v>DBA</v>
          </cell>
          <cell r="B7">
            <v>81.82962</v>
          </cell>
          <cell r="C7">
            <v>0</v>
          </cell>
          <cell r="D7">
            <v>37.58803</v>
          </cell>
          <cell r="E7">
            <v>77.68194</v>
          </cell>
          <cell r="F7">
            <v>58.23849</v>
          </cell>
          <cell r="G7">
            <v>-54.09081</v>
          </cell>
          <cell r="H7">
            <v>40</v>
          </cell>
          <cell r="I7">
            <v>54.09081</v>
          </cell>
          <cell r="J7">
            <v>0</v>
          </cell>
          <cell r="K7">
            <v>2.41197</v>
          </cell>
          <cell r="L7">
            <v>-23.59113</v>
          </cell>
        </row>
        <row r="8">
          <cell r="A8" t="str">
            <v>DBB</v>
          </cell>
          <cell r="B8">
            <v>1.445</v>
          </cell>
          <cell r="C8">
            <v>0</v>
          </cell>
          <cell r="D8">
            <v>0</v>
          </cell>
          <cell r="E8">
            <v>0.1592</v>
          </cell>
          <cell r="F8">
            <v>389.945</v>
          </cell>
          <cell r="G8">
            <v>-388.6592</v>
          </cell>
          <cell r="H8">
            <v>0</v>
          </cell>
          <cell r="I8">
            <v>388.6592</v>
          </cell>
          <cell r="J8">
            <v>0</v>
          </cell>
          <cell r="K8">
            <v>0</v>
          </cell>
          <cell r="L8">
            <v>388.5</v>
          </cell>
        </row>
        <row r="9">
          <cell r="A9" t="str">
            <v>DBC</v>
          </cell>
          <cell r="B9">
            <v>1310.7</v>
          </cell>
          <cell r="C9">
            <v>0</v>
          </cell>
          <cell r="D9">
            <v>-46.14064</v>
          </cell>
          <cell r="E9">
            <v>290.3017</v>
          </cell>
          <cell r="F9">
            <v>1118.992</v>
          </cell>
          <cell r="G9">
            <v>-98.5937</v>
          </cell>
          <cell r="H9">
            <v>52.18136</v>
          </cell>
          <cell r="I9">
            <v>98.5937</v>
          </cell>
          <cell r="J9">
            <v>0</v>
          </cell>
          <cell r="K9">
            <v>98.322</v>
          </cell>
          <cell r="L9">
            <v>-191.708</v>
          </cell>
        </row>
        <row r="10">
          <cell r="A10" t="str">
            <v>DBD</v>
          </cell>
          <cell r="B10">
            <v>14</v>
          </cell>
          <cell r="C10">
            <v>0</v>
          </cell>
          <cell r="D10">
            <v>-91.07935</v>
          </cell>
          <cell r="E10">
            <v>589.53149</v>
          </cell>
          <cell r="F10">
            <v>4.39335</v>
          </cell>
          <cell r="G10">
            <v>-579.92484</v>
          </cell>
          <cell r="H10">
            <v>-104.04</v>
          </cell>
          <cell r="I10">
            <v>579.92484</v>
          </cell>
          <cell r="J10">
            <v>0</v>
          </cell>
          <cell r="K10">
            <v>-12.96065</v>
          </cell>
          <cell r="L10">
            <v>-9.60665</v>
          </cell>
        </row>
        <row r="11">
          <cell r="A11" t="str">
            <v>DBE</v>
          </cell>
          <cell r="B11">
            <v>0</v>
          </cell>
          <cell r="C11">
            <v>0</v>
          </cell>
          <cell r="D11">
            <v>0</v>
          </cell>
          <cell r="E11">
            <v>0.034</v>
          </cell>
          <cell r="F11">
            <v>0</v>
          </cell>
          <cell r="G11">
            <v>-0.034</v>
          </cell>
          <cell r="H11">
            <v>0</v>
          </cell>
          <cell r="I11">
            <v>0.034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DBF</v>
          </cell>
          <cell r="B12">
            <v>0</v>
          </cell>
          <cell r="C12">
            <v>0</v>
          </cell>
          <cell r="D12">
            <v>0</v>
          </cell>
          <cell r="E12">
            <v>41.54177</v>
          </cell>
          <cell r="F12">
            <v>135.926</v>
          </cell>
          <cell r="G12">
            <v>-177.46777</v>
          </cell>
          <cell r="H12">
            <v>0</v>
          </cell>
          <cell r="I12">
            <v>177.46777</v>
          </cell>
          <cell r="J12">
            <v>0.897</v>
          </cell>
          <cell r="K12">
            <v>0</v>
          </cell>
          <cell r="L12">
            <v>135.926</v>
          </cell>
        </row>
        <row r="13">
          <cell r="A13" t="str">
            <v>DBG</v>
          </cell>
          <cell r="B13">
            <v>7.62714</v>
          </cell>
          <cell r="C13">
            <v>0</v>
          </cell>
          <cell r="D13">
            <v>0</v>
          </cell>
          <cell r="E13">
            <v>4.50459</v>
          </cell>
          <cell r="F13">
            <v>0</v>
          </cell>
          <cell r="G13">
            <v>3.12255</v>
          </cell>
          <cell r="H13">
            <v>0</v>
          </cell>
          <cell r="I13">
            <v>-3.12255</v>
          </cell>
          <cell r="J13">
            <v>0</v>
          </cell>
          <cell r="K13">
            <v>0</v>
          </cell>
          <cell r="L13">
            <v>-7.62714</v>
          </cell>
        </row>
        <row r="14">
          <cell r="A14" t="str">
            <v>DBH</v>
          </cell>
          <cell r="B14">
            <v>25.93452</v>
          </cell>
          <cell r="C14">
            <v>0</v>
          </cell>
          <cell r="D14">
            <v>0</v>
          </cell>
          <cell r="E14">
            <v>-0.8698</v>
          </cell>
          <cell r="F14">
            <v>274.145</v>
          </cell>
          <cell r="G14">
            <v>-247.34068</v>
          </cell>
          <cell r="H14">
            <v>274.145</v>
          </cell>
          <cell r="I14">
            <v>247.34068</v>
          </cell>
          <cell r="J14">
            <v>0</v>
          </cell>
          <cell r="K14">
            <v>274.145</v>
          </cell>
          <cell r="L14">
            <v>248.21048</v>
          </cell>
        </row>
        <row r="15">
          <cell r="A15" t="str">
            <v>DBI</v>
          </cell>
          <cell r="B15">
            <v>2901.799</v>
          </cell>
          <cell r="C15">
            <v>0</v>
          </cell>
          <cell r="D15">
            <v>75.51868</v>
          </cell>
          <cell r="E15">
            <v>504.4502</v>
          </cell>
          <cell r="F15">
            <v>2646.31375</v>
          </cell>
          <cell r="G15">
            <v>-248.96495</v>
          </cell>
          <cell r="H15">
            <v>1.98584</v>
          </cell>
          <cell r="I15">
            <v>248.96495</v>
          </cell>
          <cell r="J15">
            <v>0</v>
          </cell>
          <cell r="K15">
            <v>-73.53284</v>
          </cell>
          <cell r="L15">
            <v>-255.48525</v>
          </cell>
        </row>
        <row r="16">
          <cell r="A16" t="str">
            <v>DBJ</v>
          </cell>
          <cell r="B16">
            <v>39.23868</v>
          </cell>
          <cell r="C16">
            <v>0</v>
          </cell>
          <cell r="D16">
            <v>136.54143</v>
          </cell>
          <cell r="E16">
            <v>265.17971</v>
          </cell>
          <cell r="F16">
            <v>22.04225</v>
          </cell>
          <cell r="G16">
            <v>-247.98328</v>
          </cell>
          <cell r="H16">
            <v>125.45567</v>
          </cell>
          <cell r="I16">
            <v>247.98328</v>
          </cell>
          <cell r="J16">
            <v>15.17357</v>
          </cell>
          <cell r="K16">
            <v>-11.08576</v>
          </cell>
          <cell r="L16">
            <v>-17.19643</v>
          </cell>
        </row>
        <row r="17">
          <cell r="A17" t="str">
            <v>DBK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DBL</v>
          </cell>
          <cell r="B18">
            <v>1.46552</v>
          </cell>
          <cell r="C18">
            <v>0</v>
          </cell>
          <cell r="D18">
            <v>0</v>
          </cell>
          <cell r="E18">
            <v>1.46552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-1.46552</v>
          </cell>
        </row>
        <row r="19">
          <cell r="A19" t="str">
            <v>DBM</v>
          </cell>
          <cell r="B19">
            <v>0</v>
          </cell>
          <cell r="C19">
            <v>0</v>
          </cell>
          <cell r="D19">
            <v>10.50261</v>
          </cell>
          <cell r="E19">
            <v>64.08793</v>
          </cell>
          <cell r="F19">
            <v>142.41582</v>
          </cell>
          <cell r="G19">
            <v>-206.50375</v>
          </cell>
          <cell r="H19">
            <v>0</v>
          </cell>
          <cell r="I19">
            <v>206.50375</v>
          </cell>
          <cell r="J19">
            <v>0</v>
          </cell>
          <cell r="K19">
            <v>-10.50261</v>
          </cell>
          <cell r="L19">
            <v>142.41582</v>
          </cell>
        </row>
        <row r="20">
          <cell r="A20" t="str">
            <v>DBN</v>
          </cell>
          <cell r="B20">
            <v>0</v>
          </cell>
          <cell r="C20">
            <v>0</v>
          </cell>
          <cell r="D20">
            <v>0</v>
          </cell>
          <cell r="E20">
            <v>8.99503</v>
          </cell>
          <cell r="F20">
            <v>0.18666</v>
          </cell>
          <cell r="G20">
            <v>-9.18169</v>
          </cell>
          <cell r="H20">
            <v>0</v>
          </cell>
          <cell r="I20">
            <v>9.18169</v>
          </cell>
          <cell r="J20">
            <v>0</v>
          </cell>
          <cell r="K20">
            <v>0</v>
          </cell>
          <cell r="L20">
            <v>0.18666</v>
          </cell>
        </row>
        <row r="21">
          <cell r="A21" t="str">
            <v>DBO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21.0319</v>
          </cell>
          <cell r="K21">
            <v>0</v>
          </cell>
          <cell r="L21">
            <v>0</v>
          </cell>
        </row>
        <row r="22">
          <cell r="A22" t="str">
            <v>DBQ</v>
          </cell>
          <cell r="B22">
            <v>0</v>
          </cell>
          <cell r="C22">
            <v>0</v>
          </cell>
          <cell r="D22">
            <v>0</v>
          </cell>
          <cell r="E22">
            <v>1.68989</v>
          </cell>
          <cell r="F22">
            <v>0</v>
          </cell>
          <cell r="G22">
            <v>-1.68989</v>
          </cell>
          <cell r="H22">
            <v>0</v>
          </cell>
          <cell r="I22">
            <v>1.68989</v>
          </cell>
          <cell r="K22">
            <v>0</v>
          </cell>
          <cell r="L22">
            <v>0</v>
          </cell>
        </row>
        <row r="23">
          <cell r="A23" t="str">
            <v>DBR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637.5</v>
          </cell>
          <cell r="G23">
            <v>-637.5</v>
          </cell>
          <cell r="H23">
            <v>637.5</v>
          </cell>
          <cell r="I23">
            <v>637.5</v>
          </cell>
          <cell r="J23">
            <v>26.57519</v>
          </cell>
          <cell r="K23">
            <v>637.5</v>
          </cell>
          <cell r="L23">
            <v>637.5</v>
          </cell>
        </row>
        <row r="24">
          <cell r="A24" t="str">
            <v>DBS</v>
          </cell>
          <cell r="B24">
            <v>0</v>
          </cell>
          <cell r="C24">
            <v>0</v>
          </cell>
          <cell r="D24">
            <v>4.98108</v>
          </cell>
          <cell r="E24">
            <v>29.0839</v>
          </cell>
          <cell r="F24">
            <v>0</v>
          </cell>
          <cell r="G24">
            <v>-29.0839</v>
          </cell>
          <cell r="H24">
            <v>4.98108</v>
          </cell>
          <cell r="I24">
            <v>29.0839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DBT</v>
          </cell>
          <cell r="B25">
            <v>64.1302</v>
          </cell>
          <cell r="C25">
            <v>0</v>
          </cell>
          <cell r="D25">
            <v>0</v>
          </cell>
          <cell r="E25">
            <v>64.1302</v>
          </cell>
          <cell r="F25">
            <v>0</v>
          </cell>
          <cell r="G25">
            <v>0</v>
          </cell>
          <cell r="H25">
            <v>-77</v>
          </cell>
          <cell r="I25">
            <v>0</v>
          </cell>
          <cell r="J25">
            <v>0</v>
          </cell>
          <cell r="K25">
            <v>-77</v>
          </cell>
          <cell r="L25">
            <v>-64.1302</v>
          </cell>
        </row>
        <row r="26">
          <cell r="A26" t="str">
            <v>DBU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</row>
        <row r="27">
          <cell r="A27" t="str">
            <v>DBV</v>
          </cell>
          <cell r="B27">
            <v>0</v>
          </cell>
          <cell r="C27">
            <v>0</v>
          </cell>
          <cell r="D27">
            <v>0</v>
          </cell>
          <cell r="E27">
            <v>7.37876</v>
          </cell>
          <cell r="F27">
            <v>0.225</v>
          </cell>
          <cell r="G27">
            <v>-7.60376</v>
          </cell>
          <cell r="H27">
            <v>0</v>
          </cell>
          <cell r="I27">
            <v>7.60376</v>
          </cell>
          <cell r="J27">
            <v>0</v>
          </cell>
          <cell r="K27">
            <v>0</v>
          </cell>
          <cell r="L27">
            <v>0.225</v>
          </cell>
        </row>
        <row r="28">
          <cell r="A28" t="str">
            <v>DBW</v>
          </cell>
          <cell r="B28">
            <v>0</v>
          </cell>
          <cell r="C28">
            <v>0</v>
          </cell>
          <cell r="D28">
            <v>0.0886</v>
          </cell>
          <cell r="E28">
            <v>0.0886</v>
          </cell>
          <cell r="F28">
            <v>0</v>
          </cell>
          <cell r="G28">
            <v>-0.0886</v>
          </cell>
          <cell r="H28">
            <v>0.0886</v>
          </cell>
          <cell r="I28">
            <v>0.0886</v>
          </cell>
          <cell r="J28">
            <v>7.56</v>
          </cell>
          <cell r="K28">
            <v>0</v>
          </cell>
          <cell r="L28">
            <v>0</v>
          </cell>
        </row>
        <row r="29">
          <cell r="A29" t="str">
            <v>DBX</v>
          </cell>
          <cell r="B29">
            <v>0.23125</v>
          </cell>
          <cell r="C29">
            <v>0</v>
          </cell>
          <cell r="D29">
            <v>0</v>
          </cell>
          <cell r="E29">
            <v>3.7698</v>
          </cell>
          <cell r="F29">
            <v>136.4877</v>
          </cell>
          <cell r="G29">
            <v>-140.02625</v>
          </cell>
          <cell r="H29">
            <v>0</v>
          </cell>
          <cell r="I29">
            <v>140.02625</v>
          </cell>
          <cell r="J29">
            <v>0</v>
          </cell>
          <cell r="K29">
            <v>0</v>
          </cell>
          <cell r="L29">
            <v>136.25645</v>
          </cell>
        </row>
        <row r="30">
          <cell r="A30" t="str">
            <v>DBY</v>
          </cell>
          <cell r="B30">
            <v>62.125</v>
          </cell>
          <cell r="C30">
            <v>0</v>
          </cell>
          <cell r="D30">
            <v>0</v>
          </cell>
          <cell r="E30">
            <v>62.125</v>
          </cell>
          <cell r="F30">
            <v>323.2</v>
          </cell>
          <cell r="G30">
            <v>-323.2</v>
          </cell>
          <cell r="H30">
            <v>323.2</v>
          </cell>
          <cell r="I30">
            <v>323.2</v>
          </cell>
          <cell r="J30">
            <v>0.11</v>
          </cell>
          <cell r="K30">
            <v>323.2</v>
          </cell>
          <cell r="L30">
            <v>261.075</v>
          </cell>
        </row>
        <row r="31">
          <cell r="A31" t="str">
            <v>DBZ</v>
          </cell>
          <cell r="B31">
            <v>97.498</v>
          </cell>
          <cell r="C31">
            <v>0</v>
          </cell>
          <cell r="D31">
            <v>0</v>
          </cell>
          <cell r="E31">
            <v>0.68535</v>
          </cell>
          <cell r="F31">
            <v>96.95</v>
          </cell>
          <cell r="G31">
            <v>-0.13735</v>
          </cell>
          <cell r="H31">
            <v>0</v>
          </cell>
          <cell r="I31">
            <v>0.13735</v>
          </cell>
          <cell r="J31">
            <v>0</v>
          </cell>
          <cell r="K31">
            <v>0</v>
          </cell>
          <cell r="L31">
            <v>-0.548</v>
          </cell>
        </row>
        <row r="32">
          <cell r="A32" t="str">
            <v>DCA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DCB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DCD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</row>
        <row r="35">
          <cell r="A35" t="str">
            <v>DCF</v>
          </cell>
          <cell r="B35">
            <v>0</v>
          </cell>
          <cell r="C35">
            <v>0</v>
          </cell>
          <cell r="D35">
            <v>0</v>
          </cell>
          <cell r="E35">
            <v>0.0796</v>
          </cell>
          <cell r="F35">
            <v>0</v>
          </cell>
          <cell r="G35">
            <v>-0.0796</v>
          </cell>
          <cell r="H35">
            <v>0</v>
          </cell>
          <cell r="I35">
            <v>0.0796</v>
          </cell>
          <cell r="K35">
            <v>0</v>
          </cell>
          <cell r="L35">
            <v>0</v>
          </cell>
        </row>
        <row r="36">
          <cell r="A36" t="str">
            <v>DCG</v>
          </cell>
          <cell r="B36">
            <v>0</v>
          </cell>
          <cell r="C36">
            <v>0</v>
          </cell>
          <cell r="D36">
            <v>0</v>
          </cell>
          <cell r="E36">
            <v>0.09999</v>
          </cell>
          <cell r="F36">
            <v>0</v>
          </cell>
          <cell r="G36">
            <v>-0.09999</v>
          </cell>
          <cell r="H36">
            <v>0</v>
          </cell>
          <cell r="I36">
            <v>0.09999</v>
          </cell>
          <cell r="K36">
            <v>0</v>
          </cell>
          <cell r="L36">
            <v>0</v>
          </cell>
        </row>
        <row r="37">
          <cell r="A37" t="str">
            <v>DCH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</row>
        <row r="38">
          <cell r="A38" t="str">
            <v>DCI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</row>
        <row r="39">
          <cell r="A39" t="str">
            <v>DCJ</v>
          </cell>
          <cell r="B39">
            <v>0</v>
          </cell>
          <cell r="C39">
            <v>0</v>
          </cell>
          <cell r="D39">
            <v>0</v>
          </cell>
          <cell r="E39">
            <v>0.18055</v>
          </cell>
          <cell r="F39">
            <v>0</v>
          </cell>
          <cell r="G39">
            <v>-0.18055</v>
          </cell>
          <cell r="H39">
            <v>0</v>
          </cell>
          <cell r="I39">
            <v>0.18055</v>
          </cell>
          <cell r="K39">
            <v>0</v>
          </cell>
          <cell r="L39">
            <v>0</v>
          </cell>
        </row>
        <row r="40">
          <cell r="A40" t="str">
            <v>DCK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</row>
        <row r="41">
          <cell r="A41" t="str">
            <v>DCM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</row>
        <row r="42">
          <cell r="A42" t="str">
            <v>DCN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</row>
        <row r="43">
          <cell r="A43" t="str">
            <v>DCO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 t="str">
            <v>DCR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</row>
        <row r="45">
          <cell r="A45" t="str">
            <v>DDA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</row>
        <row r="46">
          <cell r="A46" t="str">
            <v>DDB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</row>
        <row r="47">
          <cell r="A47" t="str">
            <v>DDC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</row>
        <row r="48">
          <cell r="A48" t="str">
            <v>DDD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</row>
        <row r="49">
          <cell r="A49" t="str">
            <v>DDE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</row>
        <row r="50">
          <cell r="A50" t="str">
            <v>DDF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</row>
        <row r="51">
          <cell r="A51" t="str">
            <v>DDG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 t="str">
            <v>DDL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DDM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DDN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DDO</v>
          </cell>
          <cell r="B55">
            <v>0.00139</v>
          </cell>
          <cell r="C55">
            <v>0</v>
          </cell>
          <cell r="D55">
            <v>0</v>
          </cell>
          <cell r="E55">
            <v>0</v>
          </cell>
          <cell r="F55">
            <v>0.00139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DDP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DDQ</v>
          </cell>
          <cell r="B57">
            <v>6.17698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6.17698</v>
          </cell>
          <cell r="H57">
            <v>0</v>
          </cell>
          <cell r="I57">
            <v>-6.17698</v>
          </cell>
          <cell r="J57">
            <v>0</v>
          </cell>
          <cell r="K57">
            <v>0</v>
          </cell>
          <cell r="L57">
            <v>-6.17698</v>
          </cell>
        </row>
        <row r="58">
          <cell r="A58" t="str">
            <v>DDS</v>
          </cell>
          <cell r="B58">
            <v>6.6646</v>
          </cell>
          <cell r="C58">
            <v>0</v>
          </cell>
          <cell r="D58">
            <v>0</v>
          </cell>
          <cell r="E58">
            <v>6.6646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-6.6646</v>
          </cell>
        </row>
        <row r="59">
          <cell r="A59" t="str">
            <v>DEA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</row>
        <row r="60">
          <cell r="A60" t="str">
            <v>DEB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</row>
        <row r="61">
          <cell r="A61" t="str">
            <v>DED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</row>
        <row r="62">
          <cell r="A62" t="str">
            <v>DEF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</row>
        <row r="63">
          <cell r="A63" t="str">
            <v>DEG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</row>
        <row r="64">
          <cell r="A64" t="str">
            <v>DEH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</row>
        <row r="65">
          <cell r="A65" t="str">
            <v>DEI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</row>
        <row r="66">
          <cell r="A66" t="str">
            <v>DEJ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</row>
        <row r="67">
          <cell r="A67" t="str">
            <v>DEK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</row>
        <row r="68">
          <cell r="A68" t="str">
            <v>DEL</v>
          </cell>
          <cell r="B68">
            <v>0.25</v>
          </cell>
          <cell r="C68">
            <v>0</v>
          </cell>
          <cell r="D68">
            <v>0</v>
          </cell>
          <cell r="E68">
            <v>0.25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-0.25</v>
          </cell>
        </row>
        <row r="69">
          <cell r="A69" t="str">
            <v>DEN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 t="str">
            <v>DEP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 t="str">
            <v>DER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 t="str">
            <v>DES</v>
          </cell>
          <cell r="B72">
            <v>0</v>
          </cell>
          <cell r="C72">
            <v>0</v>
          </cell>
          <cell r="D72">
            <v>0</v>
          </cell>
          <cell r="E72">
            <v>0.05337</v>
          </cell>
          <cell r="F72">
            <v>0</v>
          </cell>
          <cell r="G72">
            <v>-0.05337</v>
          </cell>
          <cell r="H72">
            <v>0</v>
          </cell>
          <cell r="I72">
            <v>0.05337</v>
          </cell>
          <cell r="K72">
            <v>0</v>
          </cell>
          <cell r="L72">
            <v>0</v>
          </cell>
        </row>
        <row r="73">
          <cell r="A73" t="str">
            <v>DET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</row>
        <row r="74">
          <cell r="A74" t="str">
            <v>DEU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DEV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</row>
        <row r="76">
          <cell r="A76" t="str">
            <v>DEW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</row>
        <row r="77">
          <cell r="A77" t="str">
            <v>DEX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DEY</v>
          </cell>
          <cell r="B78">
            <v>0</v>
          </cell>
          <cell r="C78">
            <v>0</v>
          </cell>
          <cell r="D78">
            <v>0</v>
          </cell>
          <cell r="E78">
            <v>12.18432</v>
          </cell>
          <cell r="F78">
            <v>0</v>
          </cell>
          <cell r="G78">
            <v>-12.18432</v>
          </cell>
          <cell r="H78">
            <v>0</v>
          </cell>
          <cell r="I78">
            <v>12.18432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DEZ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DGA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DGB</v>
          </cell>
          <cell r="B81">
            <v>2.84376</v>
          </cell>
          <cell r="C81">
            <v>0</v>
          </cell>
          <cell r="D81">
            <v>0</v>
          </cell>
          <cell r="E81">
            <v>0</v>
          </cell>
          <cell r="F81">
            <v>0.2068</v>
          </cell>
          <cell r="G81">
            <v>2.63696</v>
          </cell>
          <cell r="H81">
            <v>0</v>
          </cell>
          <cell r="I81">
            <v>-2.63696</v>
          </cell>
          <cell r="J81">
            <v>0</v>
          </cell>
          <cell r="K81">
            <v>0</v>
          </cell>
          <cell r="L81">
            <v>-2.63696</v>
          </cell>
        </row>
        <row r="82">
          <cell r="A82" t="str">
            <v>DGC</v>
          </cell>
          <cell r="B82">
            <v>202.306</v>
          </cell>
          <cell r="C82">
            <v>0</v>
          </cell>
          <cell r="D82">
            <v>0</v>
          </cell>
          <cell r="E82">
            <v>201.4691</v>
          </cell>
          <cell r="F82">
            <v>0</v>
          </cell>
          <cell r="G82">
            <v>0.8369</v>
          </cell>
          <cell r="H82">
            <v>-1.107</v>
          </cell>
          <cell r="I82">
            <v>-0.8369</v>
          </cell>
          <cell r="J82">
            <v>0</v>
          </cell>
          <cell r="K82">
            <v>-1.107</v>
          </cell>
          <cell r="L82">
            <v>-202.306</v>
          </cell>
        </row>
        <row r="83">
          <cell r="A83" t="str">
            <v>DGD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DGE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</row>
        <row r="85">
          <cell r="A85" t="str">
            <v>DGF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DGG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DGJ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DGL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DGN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</row>
        <row r="90">
          <cell r="A90" t="str">
            <v>DGO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</row>
        <row r="91">
          <cell r="A91" t="str">
            <v>DHJ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432.34645</v>
          </cell>
          <cell r="G91">
            <v>-432.34645</v>
          </cell>
          <cell r="H91">
            <v>430.23645</v>
          </cell>
          <cell r="I91">
            <v>432.34645</v>
          </cell>
          <cell r="J91">
            <v>0</v>
          </cell>
          <cell r="K91">
            <v>430.23645</v>
          </cell>
          <cell r="L91">
            <v>432.34645</v>
          </cell>
        </row>
        <row r="92">
          <cell r="A92" t="str">
            <v>DIA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</row>
        <row r="93">
          <cell r="A93" t="str">
            <v>DIB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DIC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DID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</row>
        <row r="96">
          <cell r="A96" t="str">
            <v>DIE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</row>
        <row r="97">
          <cell r="A97" t="str">
            <v>DIF</v>
          </cell>
          <cell r="B97">
            <v>0</v>
          </cell>
          <cell r="C97">
            <v>0</v>
          </cell>
          <cell r="D97">
            <v>0</v>
          </cell>
          <cell r="E97">
            <v>0.70739</v>
          </cell>
          <cell r="F97">
            <v>0</v>
          </cell>
          <cell r="G97">
            <v>-0.70739</v>
          </cell>
          <cell r="H97">
            <v>0</v>
          </cell>
          <cell r="I97">
            <v>0.70739</v>
          </cell>
          <cell r="K97">
            <v>0</v>
          </cell>
          <cell r="L97">
            <v>0</v>
          </cell>
        </row>
        <row r="98">
          <cell r="A98" t="str">
            <v>DIG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</row>
        <row r="99">
          <cell r="A99" t="str">
            <v>DJB</v>
          </cell>
          <cell r="B99">
            <v>4.45929</v>
          </cell>
          <cell r="C99">
            <v>0</v>
          </cell>
          <cell r="D99">
            <v>2.46725</v>
          </cell>
          <cell r="E99">
            <v>5.182</v>
          </cell>
          <cell r="F99">
            <v>122.08875</v>
          </cell>
          <cell r="G99">
            <v>-122.81146</v>
          </cell>
          <cell r="H99">
            <v>0</v>
          </cell>
          <cell r="I99">
            <v>122.81146</v>
          </cell>
          <cell r="J99">
            <v>0</v>
          </cell>
          <cell r="K99">
            <v>-2.46725</v>
          </cell>
          <cell r="L99">
            <v>117.62946</v>
          </cell>
        </row>
        <row r="100">
          <cell r="A100" t="str">
            <v>DJC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DJD</v>
          </cell>
          <cell r="B101">
            <v>404.1</v>
          </cell>
          <cell r="C101">
            <v>0</v>
          </cell>
          <cell r="D101">
            <v>0</v>
          </cell>
          <cell r="E101">
            <v>60.9125</v>
          </cell>
          <cell r="F101">
            <v>343.2</v>
          </cell>
          <cell r="G101">
            <v>-0.0125</v>
          </cell>
          <cell r="H101">
            <v>0</v>
          </cell>
          <cell r="I101">
            <v>0.0125</v>
          </cell>
          <cell r="J101">
            <v>0</v>
          </cell>
          <cell r="K101">
            <v>0</v>
          </cell>
          <cell r="L101">
            <v>-60.9</v>
          </cell>
        </row>
        <row r="102">
          <cell r="A102" t="str">
            <v>DJF</v>
          </cell>
          <cell r="B102">
            <v>22.6</v>
          </cell>
          <cell r="C102">
            <v>0</v>
          </cell>
          <cell r="D102">
            <v>16.55861</v>
          </cell>
          <cell r="E102">
            <v>16.55861</v>
          </cell>
          <cell r="F102">
            <v>6.04139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-16.55861</v>
          </cell>
          <cell r="L102">
            <v>-16.55861</v>
          </cell>
        </row>
        <row r="103">
          <cell r="A103" t="str">
            <v>DJG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</row>
        <row r="104">
          <cell r="A104" t="str">
            <v>DJI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</row>
        <row r="105">
          <cell r="A105" t="str">
            <v>DJJ</v>
          </cell>
          <cell r="B105">
            <v>0.138</v>
          </cell>
          <cell r="C105">
            <v>0</v>
          </cell>
          <cell r="D105">
            <v>0</v>
          </cell>
          <cell r="E105">
            <v>0.12296</v>
          </cell>
          <cell r="F105">
            <v>0</v>
          </cell>
          <cell r="G105">
            <v>0.01504</v>
          </cell>
          <cell r="H105">
            <v>0</v>
          </cell>
          <cell r="I105">
            <v>-0.01504</v>
          </cell>
          <cell r="J105">
            <v>0</v>
          </cell>
          <cell r="K105">
            <v>0</v>
          </cell>
          <cell r="L105">
            <v>-0.138</v>
          </cell>
        </row>
        <row r="106">
          <cell r="A106" t="str">
            <v>DJK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DJL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DJO</v>
          </cell>
          <cell r="B108">
            <v>0.01232</v>
          </cell>
          <cell r="C108">
            <v>0</v>
          </cell>
          <cell r="D108">
            <v>0</v>
          </cell>
          <cell r="E108">
            <v>3.02254</v>
          </cell>
          <cell r="F108">
            <v>3.03568</v>
          </cell>
          <cell r="G108">
            <v>-6.0459</v>
          </cell>
          <cell r="H108">
            <v>0</v>
          </cell>
          <cell r="I108">
            <v>6.0459</v>
          </cell>
          <cell r="J108">
            <v>0</v>
          </cell>
          <cell r="K108">
            <v>0</v>
          </cell>
          <cell r="L108">
            <v>3.02336</v>
          </cell>
        </row>
        <row r="109">
          <cell r="A109" t="str">
            <v>DJP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DJQ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</row>
        <row r="111">
          <cell r="A111" t="str">
            <v>DJR</v>
          </cell>
          <cell r="B111">
            <v>3.2682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3.2682</v>
          </cell>
          <cell r="H111">
            <v>0</v>
          </cell>
          <cell r="I111">
            <v>-3.2682</v>
          </cell>
          <cell r="J111">
            <v>0</v>
          </cell>
          <cell r="K111">
            <v>0</v>
          </cell>
          <cell r="L111">
            <v>-3.2682</v>
          </cell>
        </row>
        <row r="112">
          <cell r="A112" t="str">
            <v>DJS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DJT</v>
          </cell>
          <cell r="B113">
            <v>0</v>
          </cell>
          <cell r="C113">
            <v>0</v>
          </cell>
          <cell r="D113">
            <v>0</v>
          </cell>
          <cell r="E113">
            <v>0.069</v>
          </cell>
          <cell r="F113">
            <v>0</v>
          </cell>
          <cell r="G113">
            <v>-0.069</v>
          </cell>
          <cell r="H113">
            <v>0</v>
          </cell>
          <cell r="I113">
            <v>0.069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DJU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DJV</v>
          </cell>
          <cell r="B115">
            <v>26.73</v>
          </cell>
          <cell r="C115">
            <v>0</v>
          </cell>
          <cell r="D115">
            <v>0</v>
          </cell>
          <cell r="E115">
            <v>26.8105</v>
          </cell>
          <cell r="F115">
            <v>0</v>
          </cell>
          <cell r="G115">
            <v>-0.0805</v>
          </cell>
          <cell r="H115">
            <v>0</v>
          </cell>
          <cell r="I115">
            <v>0.0805</v>
          </cell>
          <cell r="J115">
            <v>0</v>
          </cell>
          <cell r="K115">
            <v>0</v>
          </cell>
          <cell r="L115">
            <v>-26.73</v>
          </cell>
        </row>
        <row r="116">
          <cell r="A116" t="str">
            <v>DJW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DKA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</row>
        <row r="118">
          <cell r="A118" t="str">
            <v>DKB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</row>
        <row r="119">
          <cell r="A119" t="str">
            <v>DKC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</row>
        <row r="120">
          <cell r="A120" t="str">
            <v>DKD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 t="str">
            <v>DKE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</row>
        <row r="122">
          <cell r="A122" t="str">
            <v>DKF</v>
          </cell>
          <cell r="B122">
            <v>0</v>
          </cell>
          <cell r="C122">
            <v>0</v>
          </cell>
          <cell r="D122">
            <v>0</v>
          </cell>
          <cell r="E122">
            <v>0.44736</v>
          </cell>
          <cell r="F122">
            <v>0</v>
          </cell>
          <cell r="G122">
            <v>-0.44736</v>
          </cell>
          <cell r="H122">
            <v>0</v>
          </cell>
          <cell r="I122">
            <v>0.44736</v>
          </cell>
          <cell r="K122">
            <v>0</v>
          </cell>
          <cell r="L122">
            <v>0</v>
          </cell>
        </row>
        <row r="123">
          <cell r="A123" t="str">
            <v>DKG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</row>
        <row r="124">
          <cell r="A124" t="str">
            <v>DKH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  <row r="125">
          <cell r="A125" t="str">
            <v>DKI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</row>
        <row r="126">
          <cell r="A126" t="str">
            <v>DKJ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</row>
        <row r="127">
          <cell r="A127" t="str">
            <v>DKK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</row>
        <row r="128">
          <cell r="A128" t="str">
            <v>DKL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</row>
        <row r="129">
          <cell r="A129" t="str">
            <v>DKM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</row>
        <row r="130">
          <cell r="A130" t="str">
            <v>DKN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</row>
        <row r="131">
          <cell r="A131" t="str">
            <v>DKO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</row>
        <row r="132">
          <cell r="A132" t="str">
            <v>DKP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</row>
        <row r="133">
          <cell r="A133" t="str">
            <v>DKQ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</row>
        <row r="134">
          <cell r="A134" t="str">
            <v>DKR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</row>
        <row r="135">
          <cell r="A135" t="str">
            <v>DKS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</row>
        <row r="136">
          <cell r="A136" t="str">
            <v>DKT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</row>
        <row r="137">
          <cell r="A137" t="str">
            <v>DKW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</row>
        <row r="138">
          <cell r="A138" t="str">
            <v>DKX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</row>
        <row r="139">
          <cell r="A139" t="str">
            <v>DLB</v>
          </cell>
          <cell r="B139">
            <v>0</v>
          </cell>
          <cell r="C139">
            <v>0</v>
          </cell>
          <cell r="D139">
            <v>15.24829</v>
          </cell>
          <cell r="E139">
            <v>53.51281</v>
          </cell>
          <cell r="F139">
            <v>42.82135</v>
          </cell>
          <cell r="G139">
            <v>-96.33416</v>
          </cell>
          <cell r="H139">
            <v>-3.38015</v>
          </cell>
          <cell r="I139">
            <v>96.33416</v>
          </cell>
          <cell r="J139">
            <v>53</v>
          </cell>
          <cell r="K139">
            <v>-18.62844</v>
          </cell>
          <cell r="L139">
            <v>42.82135</v>
          </cell>
        </row>
        <row r="140">
          <cell r="A140" t="str">
            <v>DLC</v>
          </cell>
          <cell r="B140">
            <v>112.78175</v>
          </cell>
          <cell r="C140">
            <v>0</v>
          </cell>
          <cell r="D140">
            <v>220.83121</v>
          </cell>
          <cell r="E140">
            <v>412.78175</v>
          </cell>
          <cell r="F140">
            <v>350</v>
          </cell>
          <cell r="G140">
            <v>-650</v>
          </cell>
          <cell r="H140">
            <v>0</v>
          </cell>
          <cell r="I140">
            <v>650</v>
          </cell>
          <cell r="J140">
            <v>0</v>
          </cell>
          <cell r="K140">
            <v>-220.83121</v>
          </cell>
          <cell r="L140">
            <v>237.21825</v>
          </cell>
        </row>
        <row r="141">
          <cell r="A141" t="str">
            <v>DLG</v>
          </cell>
          <cell r="B141">
            <v>191</v>
          </cell>
          <cell r="C141">
            <v>0</v>
          </cell>
          <cell r="D141">
            <v>1.2668</v>
          </cell>
          <cell r="E141">
            <v>35.36003</v>
          </cell>
          <cell r="F141">
            <v>121.54697</v>
          </cell>
          <cell r="G141">
            <v>34.093</v>
          </cell>
          <cell r="H141">
            <v>-34.093</v>
          </cell>
          <cell r="I141">
            <v>-34.093</v>
          </cell>
          <cell r="J141">
            <v>0</v>
          </cell>
          <cell r="K141">
            <v>-35.3598</v>
          </cell>
          <cell r="L141">
            <v>-69.45303</v>
          </cell>
        </row>
        <row r="142">
          <cell r="A142" t="str">
            <v>DLL</v>
          </cell>
          <cell r="B142">
            <v>0</v>
          </cell>
          <cell r="C142">
            <v>0</v>
          </cell>
          <cell r="D142">
            <v>0</v>
          </cell>
          <cell r="E142">
            <v>0.2016</v>
          </cell>
          <cell r="F142">
            <v>0</v>
          </cell>
          <cell r="G142">
            <v>-0.2016</v>
          </cell>
          <cell r="H142">
            <v>0</v>
          </cell>
          <cell r="I142">
            <v>0.2016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DLP</v>
          </cell>
          <cell r="B143">
            <v>0</v>
          </cell>
          <cell r="C143">
            <v>0</v>
          </cell>
          <cell r="D143">
            <v>0</v>
          </cell>
          <cell r="E143">
            <v>20.4</v>
          </cell>
          <cell r="F143">
            <v>0</v>
          </cell>
          <cell r="G143">
            <v>-20.4</v>
          </cell>
          <cell r="H143">
            <v>0</v>
          </cell>
          <cell r="I143">
            <v>20.4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DMA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</row>
        <row r="145">
          <cell r="A145" t="str">
            <v>DMB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</row>
        <row r="146">
          <cell r="A146" t="str">
            <v>DMC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</row>
        <row r="147">
          <cell r="A147" t="str">
            <v>DMD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</row>
        <row r="148">
          <cell r="A148" t="str">
            <v>DMG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</row>
        <row r="149">
          <cell r="A149" t="str">
            <v>DMH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</row>
        <row r="150">
          <cell r="A150" t="str">
            <v>DMJ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</row>
        <row r="151">
          <cell r="A151" t="str">
            <v>DML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DMN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</row>
        <row r="153">
          <cell r="A153" t="str">
            <v>DQC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</row>
        <row r="154">
          <cell r="A154" t="str">
            <v>DQD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DQG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DQL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</row>
        <row r="157">
          <cell r="A157" t="str">
            <v>DQM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</row>
        <row r="158">
          <cell r="A158" t="str">
            <v>DQN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</row>
        <row r="159">
          <cell r="A159" t="str">
            <v>DQP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</row>
        <row r="160">
          <cell r="A160" t="str">
            <v>DQQ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K160">
            <v>0</v>
          </cell>
          <cell r="L160">
            <v>0</v>
          </cell>
        </row>
        <row r="161">
          <cell r="A161" t="str">
            <v>DQR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K161">
            <v>0</v>
          </cell>
          <cell r="L161">
            <v>0</v>
          </cell>
        </row>
        <row r="162">
          <cell r="A162" t="str">
            <v>DUP</v>
          </cell>
          <cell r="B162">
            <v>4.44046</v>
          </cell>
          <cell r="C162">
            <v>0</v>
          </cell>
          <cell r="D162">
            <v>0</v>
          </cell>
          <cell r="E162">
            <v>0</v>
          </cell>
          <cell r="F162">
            <v>0.0004</v>
          </cell>
          <cell r="G162">
            <v>4.44006</v>
          </cell>
          <cell r="H162">
            <v>0</v>
          </cell>
          <cell r="I162">
            <v>-4.44006</v>
          </cell>
          <cell r="J162">
            <v>0</v>
          </cell>
          <cell r="K162">
            <v>0</v>
          </cell>
          <cell r="L162">
            <v>-4.44006</v>
          </cell>
        </row>
        <row r="163">
          <cell r="A163" t="str">
            <v>DUQ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DVB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DVC</v>
          </cell>
          <cell r="B165">
            <v>0.1848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0.1848</v>
          </cell>
          <cell r="H165">
            <v>0</v>
          </cell>
          <cell r="I165">
            <v>-0.1848</v>
          </cell>
          <cell r="J165">
            <v>0</v>
          </cell>
          <cell r="K165">
            <v>0</v>
          </cell>
          <cell r="L165">
            <v>-0.1848</v>
          </cell>
        </row>
        <row r="166">
          <cell r="A166" t="str">
            <v>DVD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DVE</v>
          </cell>
          <cell r="B167">
            <v>0</v>
          </cell>
          <cell r="C167">
            <v>0</v>
          </cell>
          <cell r="D167">
            <v>0</v>
          </cell>
          <cell r="E167">
            <v>0.31264</v>
          </cell>
          <cell r="F167">
            <v>0</v>
          </cell>
          <cell r="G167">
            <v>-0.31264</v>
          </cell>
          <cell r="H167">
            <v>0</v>
          </cell>
          <cell r="I167">
            <v>0.31264</v>
          </cell>
          <cell r="K167">
            <v>0</v>
          </cell>
          <cell r="L167">
            <v>0</v>
          </cell>
        </row>
        <row r="168">
          <cell r="A168" t="str">
            <v>DVF</v>
          </cell>
          <cell r="B168">
            <v>5.85552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5.85552</v>
          </cell>
          <cell r="H168">
            <v>0</v>
          </cell>
          <cell r="I168">
            <v>-5.85552</v>
          </cell>
          <cell r="J168">
            <v>0</v>
          </cell>
          <cell r="K168">
            <v>0</v>
          </cell>
          <cell r="L168">
            <v>-5.85552</v>
          </cell>
        </row>
        <row r="169">
          <cell r="A169" t="str">
            <v>DVG</v>
          </cell>
          <cell r="B169">
            <v>178.75392</v>
          </cell>
          <cell r="C169">
            <v>0</v>
          </cell>
          <cell r="D169">
            <v>103.74145</v>
          </cell>
          <cell r="E169">
            <v>345.41471</v>
          </cell>
          <cell r="F169">
            <v>30.23569</v>
          </cell>
          <cell r="G169">
            <v>-196.89648</v>
          </cell>
          <cell r="H169">
            <v>52.79301</v>
          </cell>
          <cell r="I169">
            <v>196.89648</v>
          </cell>
          <cell r="J169">
            <v>63.34939</v>
          </cell>
          <cell r="K169">
            <v>-50.94844</v>
          </cell>
          <cell r="L169">
            <v>-148.51823</v>
          </cell>
        </row>
        <row r="170">
          <cell r="A170" t="str">
            <v>DVH</v>
          </cell>
          <cell r="B170">
            <v>4.49376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4.49376</v>
          </cell>
          <cell r="H170">
            <v>0</v>
          </cell>
          <cell r="I170">
            <v>-4.49376</v>
          </cell>
          <cell r="J170">
            <v>0</v>
          </cell>
          <cell r="K170">
            <v>0</v>
          </cell>
          <cell r="L170">
            <v>-4.49376</v>
          </cell>
        </row>
        <row r="171">
          <cell r="A171" t="str">
            <v>DVI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DVJ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DVL</v>
          </cell>
          <cell r="B173">
            <v>0</v>
          </cell>
          <cell r="C173">
            <v>0</v>
          </cell>
          <cell r="D173">
            <v>0.78205</v>
          </cell>
          <cell r="E173">
            <v>3.55988</v>
          </cell>
          <cell r="F173">
            <v>-0.07704</v>
          </cell>
          <cell r="G173">
            <v>-3.48284</v>
          </cell>
          <cell r="H173">
            <v>0.78205</v>
          </cell>
          <cell r="I173">
            <v>3.48284</v>
          </cell>
          <cell r="J173">
            <v>0</v>
          </cell>
          <cell r="K173">
            <v>0</v>
          </cell>
          <cell r="L173">
            <v>-0.07704</v>
          </cell>
        </row>
        <row r="174">
          <cell r="A174" t="str">
            <v>DVQ</v>
          </cell>
          <cell r="B174">
            <v>0</v>
          </cell>
          <cell r="C174">
            <v>0</v>
          </cell>
          <cell r="D174">
            <v>6.94011</v>
          </cell>
          <cell r="E174">
            <v>12.27732</v>
          </cell>
          <cell r="F174">
            <v>140.46889</v>
          </cell>
          <cell r="G174">
            <v>-152.74621</v>
          </cell>
          <cell r="H174">
            <v>139.43583</v>
          </cell>
          <cell r="I174">
            <v>152.74621</v>
          </cell>
          <cell r="J174">
            <v>0</v>
          </cell>
          <cell r="K174">
            <v>132.49572</v>
          </cell>
          <cell r="L174">
            <v>140.46889</v>
          </cell>
        </row>
        <row r="175">
          <cell r="A175" t="str">
            <v>DVR</v>
          </cell>
          <cell r="B175">
            <v>177.1</v>
          </cell>
          <cell r="C175">
            <v>0</v>
          </cell>
          <cell r="D175">
            <v>0</v>
          </cell>
          <cell r="E175">
            <v>177.1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-177.1</v>
          </cell>
        </row>
        <row r="176">
          <cell r="A176" t="str">
            <v>DVU</v>
          </cell>
          <cell r="B176">
            <v>0</v>
          </cell>
          <cell r="C176">
            <v>0</v>
          </cell>
          <cell r="D176">
            <v>0</v>
          </cell>
          <cell r="E176">
            <v>0.59292</v>
          </cell>
          <cell r="F176">
            <v>0</v>
          </cell>
          <cell r="G176">
            <v>-0.59292</v>
          </cell>
          <cell r="H176">
            <v>0</v>
          </cell>
          <cell r="I176">
            <v>0.59292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DVV</v>
          </cell>
          <cell r="B177">
            <v>0</v>
          </cell>
          <cell r="C177">
            <v>0</v>
          </cell>
          <cell r="D177">
            <v>0</v>
          </cell>
          <cell r="E177">
            <v>0.6994</v>
          </cell>
          <cell r="F177">
            <v>0</v>
          </cell>
          <cell r="G177">
            <v>-0.6994</v>
          </cell>
          <cell r="H177">
            <v>0</v>
          </cell>
          <cell r="I177">
            <v>0.6994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DVY</v>
          </cell>
          <cell r="B178">
            <v>0</v>
          </cell>
          <cell r="C178">
            <v>0</v>
          </cell>
          <cell r="D178">
            <v>2.19105</v>
          </cell>
          <cell r="E178">
            <v>2.52168</v>
          </cell>
          <cell r="F178">
            <v>68.04361</v>
          </cell>
          <cell r="G178">
            <v>-70.56529</v>
          </cell>
          <cell r="H178">
            <v>67.52017</v>
          </cell>
          <cell r="I178">
            <v>70.56529</v>
          </cell>
          <cell r="J178">
            <v>0</v>
          </cell>
          <cell r="K178">
            <v>65.32912</v>
          </cell>
          <cell r="L178">
            <v>68.04361</v>
          </cell>
        </row>
        <row r="179">
          <cell r="A179" t="str">
            <v>DWE</v>
          </cell>
          <cell r="B179">
            <v>0</v>
          </cell>
          <cell r="C179">
            <v>0</v>
          </cell>
          <cell r="D179">
            <v>0</v>
          </cell>
          <cell r="E179">
            <v>3.927</v>
          </cell>
          <cell r="F179">
            <v>-0.102</v>
          </cell>
          <cell r="G179">
            <v>-3.825</v>
          </cell>
          <cell r="H179">
            <v>0</v>
          </cell>
          <cell r="I179">
            <v>3.825</v>
          </cell>
          <cell r="J179">
            <v>0</v>
          </cell>
          <cell r="K179">
            <v>0</v>
          </cell>
          <cell r="L179">
            <v>-0.102</v>
          </cell>
        </row>
        <row r="180">
          <cell r="A180" t="str">
            <v>DWF</v>
          </cell>
          <cell r="B180">
            <v>0</v>
          </cell>
          <cell r="C180">
            <v>0</v>
          </cell>
          <cell r="D180">
            <v>2.1473</v>
          </cell>
          <cell r="E180">
            <v>5.9592</v>
          </cell>
          <cell r="F180">
            <v>1.5708</v>
          </cell>
          <cell r="G180">
            <v>-7.53</v>
          </cell>
          <cell r="H180">
            <v>0</v>
          </cell>
          <cell r="I180">
            <v>7.53</v>
          </cell>
          <cell r="J180">
            <v>0</v>
          </cell>
          <cell r="K180">
            <v>-2.1473</v>
          </cell>
          <cell r="L180">
            <v>1.5708</v>
          </cell>
        </row>
        <row r="181">
          <cell r="A181" t="str">
            <v>DWH</v>
          </cell>
          <cell r="B181">
            <v>0</v>
          </cell>
          <cell r="C181">
            <v>0</v>
          </cell>
          <cell r="D181">
            <v>2.20092</v>
          </cell>
          <cell r="E181">
            <v>6.01282</v>
          </cell>
          <cell r="F181">
            <v>1.5708</v>
          </cell>
          <cell r="G181">
            <v>-7.58362</v>
          </cell>
          <cell r="H181">
            <v>0.05362</v>
          </cell>
          <cell r="I181">
            <v>7.58362</v>
          </cell>
          <cell r="J181">
            <v>0</v>
          </cell>
          <cell r="K181">
            <v>-2.1473</v>
          </cell>
          <cell r="L181">
            <v>1.5708</v>
          </cell>
        </row>
        <row r="182">
          <cell r="A182" t="str">
            <v>DWI</v>
          </cell>
          <cell r="B182">
            <v>0</v>
          </cell>
          <cell r="C182">
            <v>0</v>
          </cell>
          <cell r="D182">
            <v>0</v>
          </cell>
          <cell r="E182">
            <v>4.554</v>
          </cell>
          <cell r="F182">
            <v>0</v>
          </cell>
          <cell r="G182">
            <v>-4.554</v>
          </cell>
          <cell r="H182">
            <v>0</v>
          </cell>
          <cell r="I182">
            <v>4.554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DZB</v>
          </cell>
          <cell r="B183">
            <v>0</v>
          </cell>
          <cell r="C183">
            <v>0</v>
          </cell>
          <cell r="D183">
            <v>6.231</v>
          </cell>
          <cell r="E183">
            <v>35.931</v>
          </cell>
          <cell r="F183">
            <v>359.07005</v>
          </cell>
          <cell r="G183">
            <v>-395.00105</v>
          </cell>
          <cell r="H183">
            <v>233.36255</v>
          </cell>
          <cell r="I183">
            <v>395.00105</v>
          </cell>
          <cell r="J183">
            <v>0</v>
          </cell>
          <cell r="K183">
            <v>227.13155</v>
          </cell>
          <cell r="L183">
            <v>359.07005</v>
          </cell>
        </row>
        <row r="184">
          <cell r="A184" t="str">
            <v>DZF</v>
          </cell>
          <cell r="B184">
            <v>0</v>
          </cell>
          <cell r="C184">
            <v>0</v>
          </cell>
          <cell r="D184">
            <v>32.39916</v>
          </cell>
          <cell r="E184">
            <v>32.39916</v>
          </cell>
          <cell r="F184">
            <v>27.22256</v>
          </cell>
          <cell r="G184">
            <v>-59.62172</v>
          </cell>
          <cell r="H184">
            <v>41.36216</v>
          </cell>
          <cell r="I184">
            <v>59.62172</v>
          </cell>
          <cell r="J184">
            <v>0</v>
          </cell>
          <cell r="K184">
            <v>8.963</v>
          </cell>
          <cell r="L184">
            <v>27.22256</v>
          </cell>
        </row>
        <row r="185">
          <cell r="A185" t="str">
            <v>DZH</v>
          </cell>
          <cell r="B185">
            <v>0</v>
          </cell>
          <cell r="C185">
            <v>0</v>
          </cell>
          <cell r="D185">
            <v>2.19508</v>
          </cell>
          <cell r="E185">
            <v>2.19508</v>
          </cell>
          <cell r="F185">
            <v>64.87561</v>
          </cell>
          <cell r="G185">
            <v>-67.07069</v>
          </cell>
          <cell r="H185">
            <v>48.81113</v>
          </cell>
          <cell r="I185">
            <v>67.07069</v>
          </cell>
          <cell r="J185">
            <v>0</v>
          </cell>
          <cell r="K185">
            <v>46.61605</v>
          </cell>
          <cell r="L185">
            <v>64.87561</v>
          </cell>
        </row>
        <row r="186">
          <cell r="A186" t="str">
            <v>DZJ</v>
          </cell>
          <cell r="B186">
            <v>0</v>
          </cell>
          <cell r="C186">
            <v>0</v>
          </cell>
          <cell r="D186">
            <v>8.865</v>
          </cell>
          <cell r="E186">
            <v>8.865</v>
          </cell>
          <cell r="F186">
            <v>56.145</v>
          </cell>
          <cell r="G186">
            <v>-65.01</v>
          </cell>
          <cell r="H186">
            <v>0</v>
          </cell>
          <cell r="I186">
            <v>65.01</v>
          </cell>
          <cell r="J186">
            <v>0</v>
          </cell>
          <cell r="K186">
            <v>-8.865</v>
          </cell>
          <cell r="L186">
            <v>56.145</v>
          </cell>
        </row>
        <row r="187">
          <cell r="A187" t="str">
            <v>SDU</v>
          </cell>
          <cell r="B187">
            <v>0</v>
          </cell>
          <cell r="C187">
            <v>0</v>
          </cell>
          <cell r="D187">
            <v>8.981</v>
          </cell>
          <cell r="E187">
            <v>11.9385</v>
          </cell>
          <cell r="F187">
            <v>60.8615</v>
          </cell>
          <cell r="G187">
            <v>-72.8</v>
          </cell>
          <cell r="H187">
            <v>0</v>
          </cell>
          <cell r="I187">
            <v>72.8</v>
          </cell>
          <cell r="J187">
            <v>0</v>
          </cell>
          <cell r="K187">
            <v>-8.981</v>
          </cell>
          <cell r="L187">
            <v>60.8615</v>
          </cell>
        </row>
        <row r="188">
          <cell r="B188">
            <v>5962.18468</v>
          </cell>
          <cell r="C188">
            <v>6152</v>
          </cell>
          <cell r="D188">
            <v>561.04672</v>
          </cell>
          <cell r="E188">
            <v>3557.9299199999996</v>
          </cell>
          <cell r="F188">
            <v>8218.135670000003</v>
          </cell>
          <cell r="G188">
            <v>338.1190900000011</v>
          </cell>
          <cell r="H188">
            <v>2254.27437</v>
          </cell>
          <cell r="I188">
            <v>5813.880910000001</v>
          </cell>
          <cell r="J188">
            <v>187.69705</v>
          </cell>
          <cell r="K188">
            <v>1693.2276500000003</v>
          </cell>
          <cell r="L188">
            <v>2255.95099</v>
          </cell>
        </row>
      </sheetData>
      <sheetData sheetId="1">
        <row r="1">
          <cell r="A1" t="str">
            <v>BUDGET CODE</v>
          </cell>
          <cell r="B1" t="str">
            <v>BUDGET</v>
          </cell>
          <cell r="C1" t="str">
            <v>CURR_MO</v>
          </cell>
          <cell r="D1" t="str">
            <v>YTD COSTS</v>
          </cell>
          <cell r="E1" t="str">
            <v>Curr Mo Open Comm</v>
          </cell>
          <cell r="F1" t="str">
            <v>Balance</v>
          </cell>
          <cell r="G1" t="str">
            <v>Prior Mo Commit - Aug96</v>
          </cell>
          <cell r="H1" t="str">
            <v>Curr Mo Enc</v>
          </cell>
          <cell r="I1" t="str">
            <v>Curr Mo Oblg</v>
          </cell>
          <cell r="J1" t="str">
            <v>PFY Comm - YE95</v>
          </cell>
          <cell r="K1" t="str">
            <v>FY Change</v>
          </cell>
          <cell r="L1" t="str">
            <v>FY96 Oblg</v>
          </cell>
          <cell r="M1" t="str">
            <v>FY96 Cost + Comm</v>
          </cell>
        </row>
        <row r="2">
          <cell r="A2" t="str">
            <v>DFA</v>
          </cell>
          <cell r="C2">
            <v>0</v>
          </cell>
          <cell r="D2">
            <v>0.00294</v>
          </cell>
          <cell r="E2">
            <v>0</v>
          </cell>
          <cell r="F2">
            <v>-0.00294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0.00294</v>
          </cell>
          <cell r="M2">
            <v>0.00294</v>
          </cell>
        </row>
        <row r="3">
          <cell r="A3" t="str">
            <v>DFB</v>
          </cell>
          <cell r="C3">
            <v>1.43113</v>
          </cell>
          <cell r="D3">
            <v>81.35689</v>
          </cell>
          <cell r="E3">
            <v>58.78946</v>
          </cell>
          <cell r="F3">
            <v>-81.35689</v>
          </cell>
          <cell r="G3">
            <v>51.05755</v>
          </cell>
          <cell r="H3">
            <v>7.731909999999999</v>
          </cell>
          <cell r="I3">
            <v>9.163039999999999</v>
          </cell>
          <cell r="J3">
            <v>49</v>
          </cell>
          <cell r="K3">
            <v>9.789459999999998</v>
          </cell>
          <cell r="L3">
            <v>91.14635000000001</v>
          </cell>
          <cell r="M3">
            <v>140.14635</v>
          </cell>
        </row>
        <row r="4">
          <cell r="A4" t="str">
            <v>DFC</v>
          </cell>
          <cell r="C4">
            <v>62.03715</v>
          </cell>
          <cell r="D4">
            <v>879.8069</v>
          </cell>
          <cell r="E4">
            <v>264.98742</v>
          </cell>
          <cell r="F4">
            <v>-879.8069</v>
          </cell>
          <cell r="G4">
            <v>192.03738</v>
          </cell>
          <cell r="H4">
            <v>72.95003999999997</v>
          </cell>
          <cell r="I4">
            <v>134.98718999999997</v>
          </cell>
          <cell r="J4">
            <v>741.6</v>
          </cell>
          <cell r="K4">
            <v>-476.61258000000004</v>
          </cell>
          <cell r="L4">
            <v>403.19432</v>
          </cell>
          <cell r="M4">
            <v>1144.79432</v>
          </cell>
        </row>
        <row r="5">
          <cell r="A5" t="str">
            <v>DFD</v>
          </cell>
          <cell r="C5">
            <v>-0.00331</v>
          </cell>
          <cell r="D5">
            <v>3.15122</v>
          </cell>
          <cell r="E5">
            <v>0.004</v>
          </cell>
          <cell r="F5">
            <v>-3.15122</v>
          </cell>
          <cell r="G5">
            <v>0.004</v>
          </cell>
          <cell r="H5">
            <v>0</v>
          </cell>
          <cell r="I5">
            <v>-0.00331</v>
          </cell>
          <cell r="J5">
            <v>0.5</v>
          </cell>
          <cell r="K5">
            <v>-0.496</v>
          </cell>
          <cell r="L5">
            <v>2.65522</v>
          </cell>
          <cell r="M5">
            <v>3.15522</v>
          </cell>
        </row>
        <row r="6">
          <cell r="A6" t="str">
            <v>DFE</v>
          </cell>
          <cell r="C6">
            <v>0</v>
          </cell>
          <cell r="D6">
            <v>0.21379</v>
          </cell>
          <cell r="F6">
            <v>-0.21379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0.21379</v>
          </cell>
          <cell r="M6">
            <v>0.21379</v>
          </cell>
        </row>
        <row r="7">
          <cell r="A7" t="str">
            <v>DFF</v>
          </cell>
          <cell r="C7">
            <v>0</v>
          </cell>
          <cell r="D7">
            <v>0.49938</v>
          </cell>
          <cell r="E7">
            <v>0</v>
          </cell>
          <cell r="F7">
            <v>-0.49938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0.49938</v>
          </cell>
          <cell r="M7">
            <v>0.49938</v>
          </cell>
        </row>
        <row r="8">
          <cell r="A8" t="str">
            <v>DFG</v>
          </cell>
          <cell r="C8">
            <v>0</v>
          </cell>
          <cell r="D8">
            <v>0.00115</v>
          </cell>
          <cell r="E8">
            <v>0</v>
          </cell>
          <cell r="F8">
            <v>-0.00115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0.00115</v>
          </cell>
          <cell r="M8">
            <v>0.00115</v>
          </cell>
        </row>
        <row r="9">
          <cell r="A9" t="str">
            <v>DFH</v>
          </cell>
          <cell r="C9">
            <v>0</v>
          </cell>
          <cell r="D9">
            <v>0.135</v>
          </cell>
          <cell r="E9">
            <v>0</v>
          </cell>
          <cell r="F9">
            <v>-0.135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0.135</v>
          </cell>
          <cell r="M9">
            <v>0.135</v>
          </cell>
        </row>
        <row r="10">
          <cell r="A10" t="str">
            <v>DFK</v>
          </cell>
          <cell r="C10">
            <v>29.6775</v>
          </cell>
          <cell r="D10">
            <v>57.2787</v>
          </cell>
          <cell r="E10">
            <v>39.72403</v>
          </cell>
          <cell r="F10">
            <v>-57.2787</v>
          </cell>
          <cell r="G10">
            <v>46.91303</v>
          </cell>
          <cell r="H10">
            <v>-7.189</v>
          </cell>
          <cell r="I10">
            <v>22.4885</v>
          </cell>
          <cell r="J10">
            <v>2.1</v>
          </cell>
          <cell r="K10">
            <v>37.62403</v>
          </cell>
          <cell r="L10">
            <v>94.90272999999999</v>
          </cell>
          <cell r="M10">
            <v>97.00273</v>
          </cell>
        </row>
        <row r="11">
          <cell r="A11" t="str">
            <v>DFL</v>
          </cell>
          <cell r="C11">
            <v>29.72497</v>
          </cell>
          <cell r="D11">
            <v>58.10798</v>
          </cell>
          <cell r="E11">
            <v>14.8285</v>
          </cell>
          <cell r="F11">
            <v>-58.10798</v>
          </cell>
          <cell r="G11">
            <v>33.222</v>
          </cell>
          <cell r="H11">
            <v>-18.393500000000003</v>
          </cell>
          <cell r="I11">
            <v>11.331469999999996</v>
          </cell>
          <cell r="J11">
            <v>1</v>
          </cell>
          <cell r="K11">
            <v>13.8285</v>
          </cell>
          <cell r="L11">
            <v>71.93648</v>
          </cell>
          <cell r="M11">
            <v>72.93648</v>
          </cell>
        </row>
        <row r="12">
          <cell r="A12" t="str">
            <v>DFM</v>
          </cell>
          <cell r="C12">
            <v>34.093</v>
          </cell>
          <cell r="D12">
            <v>34.093</v>
          </cell>
          <cell r="E12">
            <v>99.3</v>
          </cell>
          <cell r="F12">
            <v>-34.093</v>
          </cell>
          <cell r="G12">
            <v>0</v>
          </cell>
          <cell r="H12">
            <v>99.3</v>
          </cell>
          <cell r="I12">
            <v>133.393</v>
          </cell>
          <cell r="J12">
            <v>0</v>
          </cell>
          <cell r="K12">
            <v>99.3</v>
          </cell>
          <cell r="L12">
            <v>133.393</v>
          </cell>
          <cell r="M12">
            <v>133.393</v>
          </cell>
        </row>
        <row r="13">
          <cell r="A13" t="str">
            <v>DFN</v>
          </cell>
          <cell r="E13">
            <v>17.69</v>
          </cell>
          <cell r="F13">
            <v>0</v>
          </cell>
          <cell r="G13">
            <v>0</v>
          </cell>
          <cell r="H13">
            <v>17.69</v>
          </cell>
          <cell r="I13">
            <v>17.69</v>
          </cell>
          <cell r="J13">
            <v>0</v>
          </cell>
          <cell r="K13">
            <v>17.69</v>
          </cell>
          <cell r="L13">
            <v>17.69</v>
          </cell>
          <cell r="M13">
            <v>17.69</v>
          </cell>
        </row>
        <row r="14">
          <cell r="A14" t="str">
            <v>DFO</v>
          </cell>
          <cell r="C14">
            <v>0</v>
          </cell>
          <cell r="D14">
            <v>0.1375</v>
          </cell>
          <cell r="F14">
            <v>-0.1375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0.1375</v>
          </cell>
          <cell r="M14">
            <v>0.1375</v>
          </cell>
        </row>
        <row r="15">
          <cell r="A15" t="str">
            <v>DMO</v>
          </cell>
          <cell r="B15">
            <v>360</v>
          </cell>
          <cell r="C15">
            <v>0</v>
          </cell>
          <cell r="D15">
            <v>0</v>
          </cell>
          <cell r="F15">
            <v>360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DMR</v>
          </cell>
          <cell r="B16">
            <v>1290</v>
          </cell>
          <cell r="F16">
            <v>1290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DOA</v>
          </cell>
          <cell r="C17">
            <v>0</v>
          </cell>
          <cell r="D17">
            <v>0.3582</v>
          </cell>
          <cell r="F17">
            <v>-0.3582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0.3582</v>
          </cell>
          <cell r="M17">
            <v>0.3582</v>
          </cell>
        </row>
        <row r="18">
          <cell r="A18" t="str">
            <v>DOD</v>
          </cell>
          <cell r="C18">
            <v>32.34636</v>
          </cell>
          <cell r="D18">
            <v>238.40783</v>
          </cell>
          <cell r="E18">
            <v>7.75632</v>
          </cell>
          <cell r="F18">
            <v>-238.40783</v>
          </cell>
          <cell r="G18">
            <v>18.22488</v>
          </cell>
          <cell r="H18">
            <v>-10.46856</v>
          </cell>
          <cell r="I18">
            <v>21.877799999999997</v>
          </cell>
          <cell r="J18">
            <v>17</v>
          </cell>
          <cell r="K18">
            <v>-9.243680000000001</v>
          </cell>
          <cell r="L18">
            <v>229.16414999999998</v>
          </cell>
          <cell r="M18">
            <v>246.16414999999998</v>
          </cell>
        </row>
        <row r="19">
          <cell r="A19" t="str">
            <v>DOE</v>
          </cell>
          <cell r="C19">
            <v>0</v>
          </cell>
          <cell r="D19">
            <v>2.02068</v>
          </cell>
          <cell r="E19">
            <v>0</v>
          </cell>
          <cell r="F19">
            <v>-2.02068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2.02068</v>
          </cell>
          <cell r="M19">
            <v>2.02068</v>
          </cell>
        </row>
        <row r="20">
          <cell r="A20" t="str">
            <v>DOF</v>
          </cell>
          <cell r="C20">
            <v>5.24125</v>
          </cell>
          <cell r="D20">
            <v>231.30207</v>
          </cell>
          <cell r="E20">
            <v>1485.7617</v>
          </cell>
          <cell r="F20">
            <v>-231.30207</v>
          </cell>
          <cell r="G20">
            <v>1506.72539</v>
          </cell>
          <cell r="H20">
            <v>-20.963690000000042</v>
          </cell>
          <cell r="I20">
            <v>-15.722440000000041</v>
          </cell>
          <cell r="J20">
            <v>107.3</v>
          </cell>
          <cell r="K20">
            <v>1378.4617</v>
          </cell>
          <cell r="L20">
            <v>1609.76377</v>
          </cell>
          <cell r="M20">
            <v>1717.06377</v>
          </cell>
        </row>
        <row r="21">
          <cell r="A21" t="str">
            <v>DOG</v>
          </cell>
          <cell r="C21">
            <v>0</v>
          </cell>
          <cell r="D21">
            <v>0.54783</v>
          </cell>
          <cell r="E21">
            <v>0</v>
          </cell>
          <cell r="F21">
            <v>-0.54783</v>
          </cell>
          <cell r="G21">
            <v>0</v>
          </cell>
          <cell r="H21">
            <v>0</v>
          </cell>
          <cell r="I21">
            <v>0</v>
          </cell>
          <cell r="J21">
            <v>-1.3</v>
          </cell>
          <cell r="K21">
            <v>1.3</v>
          </cell>
          <cell r="L21">
            <v>1.84783</v>
          </cell>
          <cell r="M21">
            <v>0.54783</v>
          </cell>
        </row>
        <row r="22">
          <cell r="A22" t="str">
            <v>DOI</v>
          </cell>
          <cell r="C22">
            <v>0</v>
          </cell>
          <cell r="D22">
            <v>0.00375</v>
          </cell>
          <cell r="F22">
            <v>-0.00375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0.00375</v>
          </cell>
          <cell r="M22">
            <v>0.00375</v>
          </cell>
        </row>
        <row r="23">
          <cell r="A23" t="str">
            <v>DOJ</v>
          </cell>
          <cell r="C23">
            <v>0</v>
          </cell>
          <cell r="D23">
            <v>58.21367</v>
          </cell>
          <cell r="E23">
            <v>7.50488</v>
          </cell>
          <cell r="F23">
            <v>-58.21367</v>
          </cell>
          <cell r="G23">
            <v>1.01488</v>
          </cell>
          <cell r="H23">
            <v>6.49</v>
          </cell>
          <cell r="I23">
            <v>6.49</v>
          </cell>
          <cell r="J23">
            <v>26.8</v>
          </cell>
          <cell r="K23">
            <v>-19.29512</v>
          </cell>
          <cell r="L23">
            <v>38.918549999999996</v>
          </cell>
          <cell r="M23">
            <v>65.71855</v>
          </cell>
        </row>
        <row r="24">
          <cell r="A24" t="str">
            <v>DOM</v>
          </cell>
          <cell r="C24">
            <v>0.38673</v>
          </cell>
          <cell r="D24">
            <v>25.405</v>
          </cell>
          <cell r="E24">
            <v>16.64385</v>
          </cell>
          <cell r="F24">
            <v>-25.405</v>
          </cell>
          <cell r="G24">
            <v>16.27813</v>
          </cell>
          <cell r="H24">
            <v>0.3657199999999996</v>
          </cell>
          <cell r="I24">
            <v>0.7524499999999996</v>
          </cell>
          <cell r="J24">
            <v>17.5</v>
          </cell>
          <cell r="K24">
            <v>-0.8561499999999995</v>
          </cell>
          <cell r="L24">
            <v>24.54885</v>
          </cell>
          <cell r="M24">
            <v>42.04885</v>
          </cell>
        </row>
        <row r="25">
          <cell r="A25" t="str">
            <v>DON</v>
          </cell>
          <cell r="B25">
            <v>134</v>
          </cell>
          <cell r="C25">
            <v>14.33443</v>
          </cell>
          <cell r="D25">
            <v>191.65323</v>
          </cell>
          <cell r="E25">
            <v>0</v>
          </cell>
          <cell r="F25">
            <v>-57.65323000000001</v>
          </cell>
          <cell r="G25">
            <v>0</v>
          </cell>
          <cell r="H25">
            <v>0</v>
          </cell>
          <cell r="I25">
            <v>14.33443</v>
          </cell>
          <cell r="J25">
            <v>15.9</v>
          </cell>
          <cell r="K25">
            <v>-15.9</v>
          </cell>
          <cell r="L25">
            <v>175.75323</v>
          </cell>
          <cell r="M25">
            <v>191.65323</v>
          </cell>
        </row>
        <row r="26">
          <cell r="A26" t="str">
            <v>DOP</v>
          </cell>
          <cell r="C26">
            <v>11.93768</v>
          </cell>
          <cell r="D26">
            <v>350.58176</v>
          </cell>
          <cell r="E26">
            <v>6.96106</v>
          </cell>
          <cell r="F26">
            <v>-350.58176</v>
          </cell>
          <cell r="G26">
            <v>9.72103</v>
          </cell>
          <cell r="H26">
            <v>-2.759970000000001</v>
          </cell>
          <cell r="I26">
            <v>9.17771</v>
          </cell>
          <cell r="J26">
            <v>6.7</v>
          </cell>
          <cell r="K26">
            <v>0.2610599999999996</v>
          </cell>
          <cell r="L26">
            <v>350.84281999999996</v>
          </cell>
          <cell r="M26">
            <v>357.54281999999995</v>
          </cell>
        </row>
        <row r="27">
          <cell r="A27" t="str">
            <v>DOQ</v>
          </cell>
          <cell r="C27">
            <v>2.84692</v>
          </cell>
          <cell r="D27">
            <v>69.93714</v>
          </cell>
          <cell r="E27">
            <v>1.29745</v>
          </cell>
          <cell r="F27">
            <v>-69.93714</v>
          </cell>
          <cell r="G27">
            <v>1.17272</v>
          </cell>
          <cell r="H27">
            <v>0.12473000000000001</v>
          </cell>
          <cell r="I27">
            <v>2.97165</v>
          </cell>
          <cell r="J27">
            <v>1.2</v>
          </cell>
          <cell r="K27">
            <v>0.09745000000000004</v>
          </cell>
          <cell r="L27">
            <v>70.03459</v>
          </cell>
          <cell r="M27">
            <v>71.23459</v>
          </cell>
        </row>
        <row r="28">
          <cell r="A28" t="str">
            <v>DOR</v>
          </cell>
          <cell r="C28">
            <v>6.80616</v>
          </cell>
          <cell r="D28">
            <v>53.76826</v>
          </cell>
          <cell r="E28">
            <v>16.34217</v>
          </cell>
          <cell r="F28">
            <v>-53.76826</v>
          </cell>
          <cell r="G28">
            <v>21.97829</v>
          </cell>
          <cell r="H28">
            <v>-5.636120000000002</v>
          </cell>
          <cell r="I28">
            <v>1.1700399999999984</v>
          </cell>
          <cell r="J28">
            <v>9.4</v>
          </cell>
          <cell r="K28">
            <v>6.942169999999999</v>
          </cell>
          <cell r="L28">
            <v>60.710429999999995</v>
          </cell>
          <cell r="M28">
            <v>70.11043</v>
          </cell>
        </row>
        <row r="29">
          <cell r="A29" t="str">
            <v>DOU</v>
          </cell>
          <cell r="C29">
            <v>4.5216</v>
          </cell>
          <cell r="D29">
            <v>4.62454</v>
          </cell>
          <cell r="E29">
            <v>21.9</v>
          </cell>
          <cell r="F29">
            <v>-4.62454</v>
          </cell>
          <cell r="G29">
            <v>24.1608</v>
          </cell>
          <cell r="H29">
            <v>-2.2607999999999997</v>
          </cell>
          <cell r="I29">
            <v>2.2608000000000006</v>
          </cell>
          <cell r="J29">
            <v>1</v>
          </cell>
          <cell r="K29">
            <v>20.9</v>
          </cell>
          <cell r="L29">
            <v>25.52454</v>
          </cell>
          <cell r="M29">
            <v>26.52454</v>
          </cell>
        </row>
        <row r="30">
          <cell r="A30" t="str">
            <v>DOW</v>
          </cell>
          <cell r="C30">
            <v>13.20635</v>
          </cell>
          <cell r="D30">
            <v>107.83086</v>
          </cell>
          <cell r="E30">
            <v>39.56111</v>
          </cell>
          <cell r="F30">
            <v>-107.83086</v>
          </cell>
          <cell r="G30">
            <v>51.39519</v>
          </cell>
          <cell r="H30">
            <v>-11.83408</v>
          </cell>
          <cell r="I30">
            <v>1.3722700000000003</v>
          </cell>
          <cell r="J30">
            <v>81.4</v>
          </cell>
          <cell r="K30">
            <v>-41.838890000000006</v>
          </cell>
          <cell r="L30">
            <v>65.99197</v>
          </cell>
          <cell r="M30">
            <v>147.39197000000001</v>
          </cell>
        </row>
        <row r="31">
          <cell r="A31" t="str">
            <v>DOY</v>
          </cell>
          <cell r="C31">
            <v>8.26802</v>
          </cell>
          <cell r="D31">
            <v>117.53677</v>
          </cell>
          <cell r="E31">
            <v>-0.1485</v>
          </cell>
          <cell r="F31">
            <v>-117.53677</v>
          </cell>
          <cell r="G31">
            <v>-0.17349</v>
          </cell>
          <cell r="H31">
            <v>0.024990000000000012</v>
          </cell>
          <cell r="I31">
            <v>8.29301</v>
          </cell>
          <cell r="J31">
            <v>2.7</v>
          </cell>
          <cell r="K31">
            <v>-2.8485</v>
          </cell>
          <cell r="L31">
            <v>114.68827</v>
          </cell>
          <cell r="M31">
            <v>117.38827</v>
          </cell>
        </row>
        <row r="32">
          <cell r="A32" t="str">
            <v>DOZ</v>
          </cell>
          <cell r="C32">
            <v>0.53403</v>
          </cell>
          <cell r="D32">
            <v>1.05366</v>
          </cell>
          <cell r="E32">
            <v>0.03053</v>
          </cell>
          <cell r="F32">
            <v>-1.05366</v>
          </cell>
          <cell r="G32">
            <v>0.045</v>
          </cell>
          <cell r="H32">
            <v>-0.014469999999999997</v>
          </cell>
          <cell r="I32">
            <v>0.51956</v>
          </cell>
          <cell r="J32">
            <v>0</v>
          </cell>
          <cell r="K32">
            <v>0.03053</v>
          </cell>
          <cell r="L32">
            <v>1.08419</v>
          </cell>
          <cell r="M32">
            <v>1.08419</v>
          </cell>
        </row>
        <row r="33">
          <cell r="A33" t="str">
            <v>DPN</v>
          </cell>
          <cell r="C33">
            <v>15.56888</v>
          </cell>
          <cell r="D33">
            <v>33.40013</v>
          </cell>
          <cell r="E33">
            <v>26.58279</v>
          </cell>
          <cell r="F33">
            <v>-33.40013</v>
          </cell>
          <cell r="G33">
            <v>22.52475</v>
          </cell>
          <cell r="H33">
            <v>4.058039999999998</v>
          </cell>
          <cell r="I33">
            <v>19.62692</v>
          </cell>
          <cell r="J33">
            <v>0</v>
          </cell>
          <cell r="K33">
            <v>26.58279</v>
          </cell>
          <cell r="L33">
            <v>59.98291999999999</v>
          </cell>
          <cell r="M33">
            <v>59.98291999999999</v>
          </cell>
        </row>
        <row r="34">
          <cell r="A34" t="str">
            <v>SHE</v>
          </cell>
          <cell r="C34">
            <v>0.72</v>
          </cell>
          <cell r="D34">
            <v>0.72</v>
          </cell>
          <cell r="F34">
            <v>-0.72</v>
          </cell>
          <cell r="G34">
            <v>0</v>
          </cell>
          <cell r="H34">
            <v>0</v>
          </cell>
          <cell r="I34">
            <v>0.72</v>
          </cell>
          <cell r="J34">
            <v>0</v>
          </cell>
          <cell r="K34">
            <v>0</v>
          </cell>
          <cell r="L34">
            <v>0.72</v>
          </cell>
          <cell r="M34">
            <v>0.72</v>
          </cell>
        </row>
        <row r="35">
          <cell r="A35" t="str">
            <v>SLS</v>
          </cell>
          <cell r="C35">
            <v>-5.5719</v>
          </cell>
          <cell r="D35">
            <v>-14.24341</v>
          </cell>
          <cell r="F35">
            <v>14.24341</v>
          </cell>
          <cell r="G35">
            <v>0</v>
          </cell>
          <cell r="H35">
            <v>0</v>
          </cell>
          <cell r="I35">
            <v>-5.5719</v>
          </cell>
          <cell r="J35">
            <v>0</v>
          </cell>
          <cell r="K35">
            <v>0</v>
          </cell>
          <cell r="L35">
            <v>-14.24341</v>
          </cell>
          <cell r="M35">
            <v>-14.24341</v>
          </cell>
        </row>
        <row r="36">
          <cell r="A36" t="str">
            <v>SOV</v>
          </cell>
          <cell r="C36">
            <v>0</v>
          </cell>
          <cell r="D36">
            <v>-4.43889</v>
          </cell>
          <cell r="E36">
            <v>0</v>
          </cell>
          <cell r="F36">
            <v>4.43889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-4.43889</v>
          </cell>
          <cell r="M36">
            <v>-4.43889</v>
          </cell>
        </row>
        <row r="37">
          <cell r="A37" t="str">
            <v>Total: </v>
          </cell>
          <cell r="B37">
            <v>1784</v>
          </cell>
          <cell r="C37">
            <v>268.10695</v>
          </cell>
          <cell r="D37">
            <v>2583.46753</v>
          </cell>
          <cell r="E37">
            <v>2125.51677</v>
          </cell>
          <cell r="F37">
            <v>-799.4675300000001</v>
          </cell>
          <cell r="G37">
            <v>1996.3015300000002</v>
          </cell>
          <cell r="H37">
            <v>129.21523999999994</v>
          </cell>
          <cell r="I37">
            <v>397.32218999999986</v>
          </cell>
          <cell r="J37">
            <v>1079.8000000000002</v>
          </cell>
          <cell r="K37">
            <v>1045.7167700000002</v>
          </cell>
          <cell r="L37">
            <v>3629.1843</v>
          </cell>
          <cell r="M37">
            <v>4708.9843</v>
          </cell>
        </row>
      </sheetData>
      <sheetData sheetId="2">
        <row r="1">
          <cell r="A1" t="str">
            <v>Budget Code</v>
          </cell>
          <cell r="B1" t="str">
            <v>FY Oblig</v>
          </cell>
          <cell r="C1" t="str">
            <v>Total_Open_Comm</v>
          </cell>
        </row>
        <row r="2">
          <cell r="A2" t="str">
            <v>DBA</v>
          </cell>
          <cell r="B2">
            <v>33.68</v>
          </cell>
          <cell r="C2">
            <v>-1E-05</v>
          </cell>
        </row>
        <row r="3">
          <cell r="A3" t="str">
            <v>DBB</v>
          </cell>
          <cell r="B3">
            <v>25.95</v>
          </cell>
          <cell r="C3">
            <v>18.143</v>
          </cell>
        </row>
        <row r="4">
          <cell r="A4" t="str">
            <v>DBC</v>
          </cell>
          <cell r="B4">
            <v>21.33312</v>
          </cell>
          <cell r="C4">
            <v>0</v>
          </cell>
        </row>
        <row r="5">
          <cell r="A5" t="str">
            <v>DBF</v>
          </cell>
          <cell r="B5">
            <v>3.84805</v>
          </cell>
          <cell r="C5">
            <v>1.479</v>
          </cell>
        </row>
        <row r="6">
          <cell r="A6" t="str">
            <v>DBI</v>
          </cell>
          <cell r="B6">
            <v>0</v>
          </cell>
          <cell r="C6">
            <v>0</v>
          </cell>
        </row>
        <row r="7">
          <cell r="A7" t="str">
            <v>DBK</v>
          </cell>
          <cell r="B7">
            <v>0.44224</v>
          </cell>
          <cell r="C7">
            <v>0.03</v>
          </cell>
        </row>
        <row r="8">
          <cell r="A8" t="str">
            <v>DBL</v>
          </cell>
          <cell r="B8">
            <v>0.01874</v>
          </cell>
          <cell r="C8">
            <v>0</v>
          </cell>
        </row>
        <row r="9">
          <cell r="A9" t="str">
            <v>DBO</v>
          </cell>
          <cell r="B9">
            <v>0.0228</v>
          </cell>
          <cell r="C9">
            <v>0</v>
          </cell>
        </row>
        <row r="10">
          <cell r="A10" t="str">
            <v>DBX</v>
          </cell>
          <cell r="B10">
            <v>3.06251</v>
          </cell>
          <cell r="C10">
            <v>0</v>
          </cell>
        </row>
        <row r="11">
          <cell r="A11" t="str">
            <v>DBY</v>
          </cell>
          <cell r="B11">
            <v>554.85492</v>
          </cell>
          <cell r="C11">
            <v>554.85492</v>
          </cell>
        </row>
        <row r="12">
          <cell r="A12" t="str">
            <v>DJC</v>
          </cell>
          <cell r="B12">
            <v>0.296</v>
          </cell>
          <cell r="C12">
            <v>0</v>
          </cell>
        </row>
        <row r="13">
          <cell r="A13" t="str">
            <v>DJI</v>
          </cell>
          <cell r="B13">
            <v>0.58384</v>
          </cell>
          <cell r="C13">
            <v>0</v>
          </cell>
        </row>
        <row r="14">
          <cell r="A14" t="str">
            <v>DJO</v>
          </cell>
          <cell r="B14">
            <v>114.72125</v>
          </cell>
          <cell r="C14">
            <v>38.945</v>
          </cell>
        </row>
        <row r="15">
          <cell r="A15" t="str">
            <v>DJP</v>
          </cell>
          <cell r="B15">
            <v>210.34581</v>
          </cell>
          <cell r="C15">
            <v>10.28549</v>
          </cell>
        </row>
        <row r="16">
          <cell r="A16" t="str">
            <v>DJQ</v>
          </cell>
          <cell r="B16">
            <v>122.1</v>
          </cell>
          <cell r="C16">
            <v>0</v>
          </cell>
        </row>
        <row r="17">
          <cell r="A17" t="str">
            <v>DJR</v>
          </cell>
          <cell r="B17">
            <v>76.06261</v>
          </cell>
          <cell r="C17">
            <v>37.92</v>
          </cell>
        </row>
        <row r="18">
          <cell r="A18" t="str">
            <v>DJS</v>
          </cell>
          <cell r="B18">
            <v>21.36148</v>
          </cell>
          <cell r="C18">
            <v>14.32125</v>
          </cell>
        </row>
        <row r="19">
          <cell r="A19" t="str">
            <v>DJT</v>
          </cell>
          <cell r="B19">
            <v>26.6925</v>
          </cell>
          <cell r="C19">
            <v>9.9099</v>
          </cell>
        </row>
        <row r="20">
          <cell r="A20" t="str">
            <v>DJU</v>
          </cell>
          <cell r="B20">
            <v>18.78668</v>
          </cell>
          <cell r="C20">
            <v>0</v>
          </cell>
        </row>
        <row r="21">
          <cell r="A21" t="str">
            <v>DJV</v>
          </cell>
          <cell r="B21">
            <v>49.59211</v>
          </cell>
          <cell r="C21">
            <v>47.288</v>
          </cell>
        </row>
        <row r="22">
          <cell r="A22" t="str">
            <v>DJW</v>
          </cell>
          <cell r="B22">
            <v>255.1428</v>
          </cell>
          <cell r="C22">
            <v>71.68497</v>
          </cell>
        </row>
        <row r="23">
          <cell r="A23" t="str">
            <v>DUP</v>
          </cell>
          <cell r="B23">
            <v>27.94389</v>
          </cell>
          <cell r="C23">
            <v>2.24046</v>
          </cell>
        </row>
        <row r="24">
          <cell r="A24" t="str">
            <v>DVC</v>
          </cell>
          <cell r="B24">
            <v>6</v>
          </cell>
          <cell r="C24">
            <v>0</v>
          </cell>
        </row>
        <row r="25">
          <cell r="A25" t="str">
            <v>DVF</v>
          </cell>
          <cell r="B25">
            <v>67.94</v>
          </cell>
          <cell r="C25">
            <v>67.94</v>
          </cell>
        </row>
        <row r="26">
          <cell r="A26" t="str">
            <v>DVH</v>
          </cell>
          <cell r="B26">
            <v>52.14</v>
          </cell>
          <cell r="C26">
            <v>52.14</v>
          </cell>
        </row>
        <row r="27">
          <cell r="A27" t="str">
            <v>DVJ</v>
          </cell>
          <cell r="B27">
            <v>105.39645</v>
          </cell>
          <cell r="C27">
            <v>84.68256</v>
          </cell>
        </row>
        <row r="28">
          <cell r="A28" t="str">
            <v>Total: </v>
          </cell>
          <cell r="B28">
            <v>1798.3178000000003</v>
          </cell>
          <cell r="C28">
            <v>1011.8645399999999</v>
          </cell>
        </row>
      </sheetData>
      <sheetData sheetId="3">
        <row r="1">
          <cell r="A1" t="str">
            <v>Budget Code</v>
          </cell>
          <cell r="B1" t="str">
            <v>FY Oblig</v>
          </cell>
          <cell r="C1" t="str">
            <v>Total_Open_Comm</v>
          </cell>
        </row>
        <row r="2">
          <cell r="A2" t="str">
            <v>DBA</v>
          </cell>
          <cell r="B2">
            <v>59.45001</v>
          </cell>
          <cell r="C2">
            <v>21.95356</v>
          </cell>
        </row>
        <row r="3">
          <cell r="A3" t="str">
            <v>DBB</v>
          </cell>
          <cell r="B3">
            <v>-26.445</v>
          </cell>
          <cell r="C3">
            <v>0</v>
          </cell>
        </row>
        <row r="4">
          <cell r="A4" t="str">
            <v>DBC</v>
          </cell>
          <cell r="B4">
            <v>1330.02</v>
          </cell>
          <cell r="C4">
            <v>1330</v>
          </cell>
        </row>
        <row r="5">
          <cell r="A5" t="str">
            <v>DBD</v>
          </cell>
          <cell r="B5">
            <v>77.6395</v>
          </cell>
          <cell r="C5">
            <v>55</v>
          </cell>
        </row>
        <row r="6">
          <cell r="A6" t="str">
            <v>DBE</v>
          </cell>
          <cell r="B6">
            <v>86.3825</v>
          </cell>
          <cell r="C6">
            <v>59.69039</v>
          </cell>
        </row>
        <row r="7">
          <cell r="A7" t="str">
            <v>DBF</v>
          </cell>
          <cell r="B7">
            <v>14.98704</v>
          </cell>
          <cell r="C7">
            <v>11.832</v>
          </cell>
        </row>
        <row r="8">
          <cell r="A8" t="str">
            <v>DBG</v>
          </cell>
          <cell r="B8">
            <v>128.497</v>
          </cell>
          <cell r="C8">
            <v>75</v>
          </cell>
        </row>
        <row r="9">
          <cell r="A9" t="str">
            <v>DBH</v>
          </cell>
          <cell r="B9">
            <v>98.59</v>
          </cell>
          <cell r="C9">
            <v>98.59</v>
          </cell>
        </row>
        <row r="10">
          <cell r="A10" t="str">
            <v>DBI</v>
          </cell>
          <cell r="B10">
            <v>1.01083</v>
          </cell>
          <cell r="C10">
            <v>0</v>
          </cell>
        </row>
        <row r="11">
          <cell r="A11" t="str">
            <v>DBJ</v>
          </cell>
          <cell r="B11">
            <v>9.88262</v>
          </cell>
          <cell r="C11">
            <v>-0.10692</v>
          </cell>
        </row>
        <row r="12">
          <cell r="A12" t="str">
            <v>DBK</v>
          </cell>
          <cell r="B12">
            <v>-0.03</v>
          </cell>
          <cell r="C12">
            <v>0</v>
          </cell>
        </row>
        <row r="13">
          <cell r="A13" t="str">
            <v>DBL</v>
          </cell>
          <cell r="B13">
            <v>86.5</v>
          </cell>
          <cell r="C13">
            <v>68.21843</v>
          </cell>
        </row>
        <row r="14">
          <cell r="A14" t="str">
            <v>DBM</v>
          </cell>
          <cell r="B14">
            <v>0.00375</v>
          </cell>
          <cell r="C14">
            <v>0</v>
          </cell>
        </row>
        <row r="15">
          <cell r="A15" t="str">
            <v>DBO</v>
          </cell>
          <cell r="B15">
            <v>0</v>
          </cell>
          <cell r="C15">
            <v>0</v>
          </cell>
        </row>
        <row r="16">
          <cell r="A16" t="str">
            <v>DBU</v>
          </cell>
          <cell r="B16">
            <v>0.03988</v>
          </cell>
          <cell r="C16">
            <v>0</v>
          </cell>
        </row>
        <row r="17">
          <cell r="A17" t="str">
            <v>DBX</v>
          </cell>
          <cell r="B17">
            <v>8.78736</v>
          </cell>
          <cell r="C17">
            <v>0</v>
          </cell>
        </row>
        <row r="18">
          <cell r="A18" t="str">
            <v>DBY</v>
          </cell>
          <cell r="B18">
            <v>122.94932</v>
          </cell>
          <cell r="C18">
            <v>145.94208</v>
          </cell>
        </row>
        <row r="19">
          <cell r="A19" t="str">
            <v>DBZ</v>
          </cell>
          <cell r="B19">
            <v>183.39364</v>
          </cell>
          <cell r="C19">
            <v>181.3262</v>
          </cell>
        </row>
        <row r="20">
          <cell r="A20" t="str">
            <v>DJC</v>
          </cell>
          <cell r="B20">
            <v>83.6772</v>
          </cell>
          <cell r="C20">
            <v>60.5367</v>
          </cell>
        </row>
        <row r="21">
          <cell r="A21" t="str">
            <v>DJD</v>
          </cell>
          <cell r="B21">
            <v>463.1969</v>
          </cell>
          <cell r="C21">
            <v>430.5408</v>
          </cell>
        </row>
        <row r="22">
          <cell r="A22" t="str">
            <v>DJG</v>
          </cell>
          <cell r="B22">
            <v>0.01718</v>
          </cell>
          <cell r="C22">
            <v>0</v>
          </cell>
        </row>
        <row r="23">
          <cell r="A23" t="str">
            <v>DJI</v>
          </cell>
          <cell r="B23">
            <v>0</v>
          </cell>
          <cell r="C23">
            <v>0</v>
          </cell>
        </row>
        <row r="24">
          <cell r="A24" t="str">
            <v>DJK</v>
          </cell>
          <cell r="B24">
            <v>2.9868</v>
          </cell>
          <cell r="C24">
            <v>0</v>
          </cell>
        </row>
        <row r="25">
          <cell r="A25" t="str">
            <v>DJL</v>
          </cell>
          <cell r="B25">
            <v>31.9</v>
          </cell>
          <cell r="C25">
            <v>0</v>
          </cell>
        </row>
        <row r="26">
          <cell r="A26" t="str">
            <v>DJO</v>
          </cell>
          <cell r="B26">
            <v>-4.56292</v>
          </cell>
          <cell r="C26">
            <v>26.64838</v>
          </cell>
        </row>
        <row r="27">
          <cell r="A27" t="str">
            <v>DJP</v>
          </cell>
          <cell r="B27">
            <v>-8.38906</v>
          </cell>
          <cell r="C27">
            <v>0</v>
          </cell>
        </row>
        <row r="28">
          <cell r="A28" t="str">
            <v>DJQ</v>
          </cell>
          <cell r="B28">
            <v>0</v>
          </cell>
          <cell r="C28">
            <v>0</v>
          </cell>
        </row>
        <row r="29">
          <cell r="A29" t="str">
            <v>DJR</v>
          </cell>
          <cell r="B29">
            <v>9.86423</v>
          </cell>
          <cell r="C29">
            <v>3.2682</v>
          </cell>
        </row>
        <row r="30">
          <cell r="A30" t="str">
            <v>DJS</v>
          </cell>
          <cell r="B30">
            <v>0.67785</v>
          </cell>
          <cell r="C30">
            <v>0</v>
          </cell>
        </row>
        <row r="31">
          <cell r="A31" t="str">
            <v>DJT</v>
          </cell>
          <cell r="B31">
            <v>0.63647</v>
          </cell>
          <cell r="C31">
            <v>0</v>
          </cell>
        </row>
        <row r="32">
          <cell r="A32" t="str">
            <v>DJU</v>
          </cell>
          <cell r="B32">
            <v>3.75312</v>
          </cell>
          <cell r="C32">
            <v>0</v>
          </cell>
        </row>
        <row r="33">
          <cell r="A33" t="str">
            <v>DJV</v>
          </cell>
          <cell r="B33">
            <v>32.57214</v>
          </cell>
          <cell r="C33">
            <v>22.28885</v>
          </cell>
        </row>
        <row r="34">
          <cell r="A34" t="str">
            <v>DJW</v>
          </cell>
          <cell r="B34">
            <v>7.42243</v>
          </cell>
          <cell r="C34">
            <v>2.52994</v>
          </cell>
        </row>
        <row r="35">
          <cell r="A35" t="str">
            <v>DUP</v>
          </cell>
          <cell r="B35">
            <v>9.66462</v>
          </cell>
          <cell r="C35">
            <v>4.44046</v>
          </cell>
        </row>
        <row r="36">
          <cell r="A36" t="str">
            <v>DVB</v>
          </cell>
          <cell r="B36">
            <v>0.76645</v>
          </cell>
          <cell r="C36">
            <v>0</v>
          </cell>
        </row>
        <row r="37">
          <cell r="A37" t="str">
            <v>DVC</v>
          </cell>
          <cell r="B37">
            <v>89.2107</v>
          </cell>
          <cell r="C37">
            <v>13.6402</v>
          </cell>
        </row>
        <row r="38">
          <cell r="A38" t="str">
            <v>DVD</v>
          </cell>
          <cell r="B38">
            <v>0.47589</v>
          </cell>
          <cell r="C38">
            <v>0</v>
          </cell>
        </row>
        <row r="39">
          <cell r="A39" t="str">
            <v>DVF</v>
          </cell>
          <cell r="B39">
            <v>6.88</v>
          </cell>
          <cell r="C39">
            <v>5.85552</v>
          </cell>
        </row>
        <row r="40">
          <cell r="A40" t="str">
            <v>DVH</v>
          </cell>
          <cell r="B40">
            <v>5.28</v>
          </cell>
          <cell r="C40">
            <v>4.49376</v>
          </cell>
        </row>
        <row r="41">
          <cell r="A41" t="str">
            <v>DVI</v>
          </cell>
          <cell r="B41">
            <v>20.8025</v>
          </cell>
          <cell r="C41">
            <v>0</v>
          </cell>
        </row>
        <row r="42">
          <cell r="A42" t="str">
            <v>DVJ</v>
          </cell>
          <cell r="B42">
            <v>162.2902</v>
          </cell>
          <cell r="C42">
            <v>41.3298</v>
          </cell>
        </row>
        <row r="43">
          <cell r="A43" t="str">
            <v>DVL</v>
          </cell>
          <cell r="B43">
            <v>0.02699</v>
          </cell>
          <cell r="C43">
            <v>0</v>
          </cell>
        </row>
        <row r="44">
          <cell r="A44" t="str">
            <v>Total: </v>
          </cell>
          <cell r="B44">
            <v>3100.8081400000005</v>
          </cell>
          <cell r="C44">
            <v>2663.018349999999</v>
          </cell>
        </row>
      </sheetData>
      <sheetData sheetId="4">
        <row r="1">
          <cell r="A1" t="str">
            <v>Budget Code</v>
          </cell>
          <cell r="B1" t="str">
            <v>FY Oblig</v>
          </cell>
          <cell r="C1" t="str">
            <v>Total_Open_Comm</v>
          </cell>
        </row>
        <row r="2">
          <cell r="A2" t="str">
            <v>DBA</v>
          </cell>
          <cell r="B2">
            <v>125.32922</v>
          </cell>
          <cell r="C2">
            <v>81.82962</v>
          </cell>
        </row>
        <row r="3">
          <cell r="A3" t="str">
            <v>DBB</v>
          </cell>
          <cell r="B3">
            <v>1.445</v>
          </cell>
          <cell r="C3">
            <v>1.445</v>
          </cell>
        </row>
        <row r="4">
          <cell r="A4" t="str">
            <v>DBC</v>
          </cell>
          <cell r="B4">
            <v>0</v>
          </cell>
          <cell r="C4">
            <v>1310.7</v>
          </cell>
        </row>
        <row r="5">
          <cell r="A5" t="str">
            <v>DBD</v>
          </cell>
          <cell r="B5">
            <v>0</v>
          </cell>
          <cell r="C5">
            <v>14</v>
          </cell>
        </row>
        <row r="6">
          <cell r="A6" t="str">
            <v>DBE</v>
          </cell>
          <cell r="B6">
            <v>26.26031</v>
          </cell>
          <cell r="C6">
            <v>0</v>
          </cell>
        </row>
        <row r="7">
          <cell r="A7" t="str">
            <v>DBF</v>
          </cell>
          <cell r="B7">
            <v>2.473</v>
          </cell>
          <cell r="C7">
            <v>0</v>
          </cell>
        </row>
        <row r="8">
          <cell r="A8" t="str">
            <v>DBG</v>
          </cell>
          <cell r="B8">
            <v>0</v>
          </cell>
          <cell r="C8">
            <v>7.62714</v>
          </cell>
        </row>
        <row r="9">
          <cell r="A9" t="str">
            <v>DBH</v>
          </cell>
          <cell r="B9">
            <v>34.8899</v>
          </cell>
          <cell r="C9">
            <v>25.93452</v>
          </cell>
        </row>
        <row r="10">
          <cell r="A10" t="str">
            <v>DBI</v>
          </cell>
          <cell r="B10">
            <v>2919.21</v>
          </cell>
          <cell r="C10">
            <v>2901.799</v>
          </cell>
        </row>
        <row r="11">
          <cell r="A11" t="str">
            <v>DBJ</v>
          </cell>
          <cell r="B11">
            <v>65.33996</v>
          </cell>
          <cell r="C11">
            <v>39.23868</v>
          </cell>
        </row>
        <row r="12">
          <cell r="A12" t="str">
            <v>DBK</v>
          </cell>
          <cell r="B12">
            <v>0</v>
          </cell>
          <cell r="C12">
            <v>0</v>
          </cell>
        </row>
        <row r="13">
          <cell r="A13" t="str">
            <v>DBL</v>
          </cell>
          <cell r="B13">
            <v>12.5</v>
          </cell>
          <cell r="C13">
            <v>1.46552</v>
          </cell>
        </row>
        <row r="14">
          <cell r="A14" t="str">
            <v>DBM</v>
          </cell>
          <cell r="B14">
            <v>0.00375</v>
          </cell>
          <cell r="C14">
            <v>0</v>
          </cell>
        </row>
        <row r="15">
          <cell r="A15" t="str">
            <v>DBO</v>
          </cell>
          <cell r="B15">
            <v>0</v>
          </cell>
          <cell r="C15">
            <v>0</v>
          </cell>
        </row>
        <row r="16">
          <cell r="A16" t="str">
            <v>DBS</v>
          </cell>
          <cell r="B16">
            <v>9.36718</v>
          </cell>
          <cell r="C16">
            <v>0</v>
          </cell>
        </row>
        <row r="17">
          <cell r="A17" t="str">
            <v>DBT</v>
          </cell>
          <cell r="B17">
            <v>65</v>
          </cell>
          <cell r="C17">
            <v>64.1302</v>
          </cell>
        </row>
        <row r="18">
          <cell r="A18" t="str">
            <v>DBU</v>
          </cell>
          <cell r="B18">
            <v>0</v>
          </cell>
          <cell r="C18">
            <v>0</v>
          </cell>
        </row>
        <row r="19">
          <cell r="A19" t="str">
            <v>DBV</v>
          </cell>
          <cell r="B19">
            <v>7.19748</v>
          </cell>
          <cell r="C19">
            <v>0</v>
          </cell>
        </row>
        <row r="20">
          <cell r="A20" t="str">
            <v>DBX</v>
          </cell>
          <cell r="B20">
            <v>17.3988</v>
          </cell>
          <cell r="C20">
            <v>0.23125</v>
          </cell>
        </row>
        <row r="21">
          <cell r="A21" t="str">
            <v>DBY</v>
          </cell>
          <cell r="B21">
            <v>33.64656</v>
          </cell>
          <cell r="C21">
            <v>62.125</v>
          </cell>
        </row>
        <row r="22">
          <cell r="A22" t="str">
            <v>DBZ</v>
          </cell>
          <cell r="B22">
            <v>2.81015</v>
          </cell>
          <cell r="C22">
            <v>97.498</v>
          </cell>
        </row>
        <row r="23">
          <cell r="A23" t="str">
            <v>DJB</v>
          </cell>
          <cell r="B23">
            <v>11.52836</v>
          </cell>
          <cell r="C23">
            <v>4.45929</v>
          </cell>
        </row>
        <row r="24">
          <cell r="A24" t="str">
            <v>DJC</v>
          </cell>
          <cell r="B24">
            <v>0.01855</v>
          </cell>
          <cell r="C24">
            <v>0</v>
          </cell>
        </row>
        <row r="25">
          <cell r="A25" t="str">
            <v>DJD</v>
          </cell>
          <cell r="B25">
            <v>0.33765</v>
          </cell>
          <cell r="C25">
            <v>404.1</v>
          </cell>
        </row>
        <row r="26">
          <cell r="A26" t="str">
            <v>DJF</v>
          </cell>
          <cell r="B26">
            <v>22.6</v>
          </cell>
          <cell r="C26">
            <v>22.6</v>
          </cell>
        </row>
        <row r="27">
          <cell r="A27" t="str">
            <v>DJG</v>
          </cell>
          <cell r="B27">
            <v>0</v>
          </cell>
          <cell r="C27">
            <v>0</v>
          </cell>
        </row>
        <row r="28">
          <cell r="A28" t="str">
            <v>DJI</v>
          </cell>
          <cell r="B28">
            <v>0</v>
          </cell>
          <cell r="C28">
            <v>0</v>
          </cell>
        </row>
        <row r="29">
          <cell r="A29" t="str">
            <v>DJJ</v>
          </cell>
          <cell r="B29">
            <v>4.20507</v>
          </cell>
          <cell r="C29">
            <v>0.138</v>
          </cell>
        </row>
        <row r="30">
          <cell r="A30" t="str">
            <v>DJK</v>
          </cell>
          <cell r="B30">
            <v>0</v>
          </cell>
          <cell r="C30">
            <v>0</v>
          </cell>
        </row>
        <row r="31">
          <cell r="A31" t="str">
            <v>DJL</v>
          </cell>
          <cell r="B31">
            <v>0</v>
          </cell>
          <cell r="C31">
            <v>0</v>
          </cell>
        </row>
        <row r="32">
          <cell r="A32" t="str">
            <v>DJO</v>
          </cell>
          <cell r="B32">
            <v>5.5495</v>
          </cell>
          <cell r="C32">
            <v>0.01232</v>
          </cell>
        </row>
        <row r="33">
          <cell r="A33" t="str">
            <v>DJP</v>
          </cell>
          <cell r="B33">
            <v>0.00966</v>
          </cell>
          <cell r="C33">
            <v>0</v>
          </cell>
        </row>
        <row r="34">
          <cell r="A34" t="str">
            <v>DJQ</v>
          </cell>
          <cell r="B34">
            <v>0</v>
          </cell>
          <cell r="C34">
            <v>0</v>
          </cell>
        </row>
        <row r="35">
          <cell r="A35" t="str">
            <v>DJR</v>
          </cell>
          <cell r="B35">
            <v>0</v>
          </cell>
          <cell r="C35">
            <v>3.2682</v>
          </cell>
        </row>
        <row r="36">
          <cell r="A36" t="str">
            <v>DJS</v>
          </cell>
          <cell r="B36">
            <v>0.00415</v>
          </cell>
          <cell r="C36">
            <v>0</v>
          </cell>
        </row>
        <row r="37">
          <cell r="A37" t="str">
            <v>DJT</v>
          </cell>
          <cell r="B37">
            <v>0.02892</v>
          </cell>
          <cell r="C37">
            <v>0</v>
          </cell>
        </row>
        <row r="38">
          <cell r="A38" t="str">
            <v>DJU</v>
          </cell>
          <cell r="B38">
            <v>0.3306</v>
          </cell>
          <cell r="C38">
            <v>0</v>
          </cell>
        </row>
        <row r="39">
          <cell r="A39" t="str">
            <v>DJV</v>
          </cell>
          <cell r="B39">
            <v>13.33115</v>
          </cell>
          <cell r="C39">
            <v>26.73</v>
          </cell>
        </row>
        <row r="40">
          <cell r="A40" t="str">
            <v>DJW</v>
          </cell>
          <cell r="B40">
            <v>7.26131</v>
          </cell>
          <cell r="C40">
            <v>0</v>
          </cell>
        </row>
        <row r="41">
          <cell r="A41" t="str">
            <v>DLC</v>
          </cell>
          <cell r="B41">
            <v>217</v>
          </cell>
          <cell r="C41">
            <v>112.78175</v>
          </cell>
        </row>
        <row r="42">
          <cell r="A42" t="str">
            <v>DLG</v>
          </cell>
          <cell r="B42">
            <v>191</v>
          </cell>
          <cell r="C42">
            <v>191</v>
          </cell>
        </row>
        <row r="43">
          <cell r="A43" t="str">
            <v>DLL</v>
          </cell>
          <cell r="B43">
            <v>19.83</v>
          </cell>
          <cell r="C43">
            <v>0</v>
          </cell>
        </row>
        <row r="44">
          <cell r="A44" t="str">
            <v>DUP</v>
          </cell>
          <cell r="B44">
            <v>0</v>
          </cell>
          <cell r="C44">
            <v>4.44046</v>
          </cell>
        </row>
        <row r="45">
          <cell r="A45" t="str">
            <v>DVB</v>
          </cell>
          <cell r="B45">
            <v>1.40816</v>
          </cell>
          <cell r="C45">
            <v>0</v>
          </cell>
        </row>
        <row r="46">
          <cell r="A46" t="str">
            <v>DVC</v>
          </cell>
          <cell r="B46">
            <v>11.8942</v>
          </cell>
          <cell r="C46">
            <v>0.1848</v>
          </cell>
        </row>
        <row r="47">
          <cell r="A47" t="str">
            <v>DVD</v>
          </cell>
          <cell r="B47">
            <v>0</v>
          </cell>
          <cell r="C47">
            <v>0</v>
          </cell>
        </row>
        <row r="48">
          <cell r="A48" t="str">
            <v>DVF</v>
          </cell>
          <cell r="B48">
            <v>0</v>
          </cell>
          <cell r="C48">
            <v>5.85552</v>
          </cell>
        </row>
        <row r="49">
          <cell r="A49" t="str">
            <v>DVG</v>
          </cell>
          <cell r="B49">
            <v>234.17552</v>
          </cell>
          <cell r="C49">
            <v>178.75392</v>
          </cell>
        </row>
        <row r="50">
          <cell r="A50" t="str">
            <v>DVH</v>
          </cell>
          <cell r="B50">
            <v>0</v>
          </cell>
          <cell r="C50">
            <v>4.49376</v>
          </cell>
        </row>
        <row r="51">
          <cell r="A51" t="str">
            <v>DVI</v>
          </cell>
          <cell r="B51">
            <v>0.01818</v>
          </cell>
          <cell r="C51">
            <v>0</v>
          </cell>
        </row>
        <row r="52">
          <cell r="A52" t="str">
            <v>DVJ</v>
          </cell>
          <cell r="B52">
            <v>0.39348</v>
          </cell>
          <cell r="C52">
            <v>0</v>
          </cell>
        </row>
        <row r="53">
          <cell r="A53" t="str">
            <v>DVL</v>
          </cell>
          <cell r="B53">
            <v>0</v>
          </cell>
          <cell r="C53">
            <v>0</v>
          </cell>
        </row>
        <row r="54">
          <cell r="A54" t="str">
            <v>DVQ</v>
          </cell>
          <cell r="B54">
            <v>0.0398</v>
          </cell>
          <cell r="C54">
            <v>0</v>
          </cell>
        </row>
        <row r="55">
          <cell r="A55" t="str">
            <v>DVR</v>
          </cell>
          <cell r="B55">
            <v>184.56166</v>
          </cell>
          <cell r="C55">
            <v>177.1</v>
          </cell>
        </row>
        <row r="56">
          <cell r="A56" t="str">
            <v>Total: </v>
          </cell>
          <cell r="B56">
            <v>4248.39723</v>
          </cell>
          <cell r="C56">
            <v>5743.94195</v>
          </cell>
        </row>
        <row r="58">
          <cell r="B58">
            <v>192.42634</v>
          </cell>
        </row>
      </sheetData>
      <sheetData sheetId="5">
        <row r="1">
          <cell r="B1">
            <v>1993</v>
          </cell>
          <cell r="C1">
            <v>1994</v>
          </cell>
          <cell r="D1">
            <v>1995</v>
          </cell>
          <cell r="E1">
            <v>1996</v>
          </cell>
        </row>
        <row r="2">
          <cell r="A2" t="str">
            <v>B/C</v>
          </cell>
          <cell r="B2" t="str">
            <v>YTD OBL</v>
          </cell>
          <cell r="C2" t="str">
            <v>YTD OBL</v>
          </cell>
          <cell r="D2" t="str">
            <v>YTD OBL</v>
          </cell>
          <cell r="E2" t="str">
            <v>YTD OBL</v>
          </cell>
        </row>
        <row r="4">
          <cell r="A4" t="str">
            <v>DAG</v>
          </cell>
          <cell r="C4">
            <v>12.4</v>
          </cell>
          <cell r="E4">
            <v>30.6</v>
          </cell>
        </row>
        <row r="5">
          <cell r="A5" t="str">
            <v>DAK</v>
          </cell>
          <cell r="B5">
            <v>33.2</v>
          </cell>
        </row>
        <row r="6">
          <cell r="A6" t="str">
            <v>DAR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DAT</v>
          </cell>
          <cell r="B7">
            <v>522.9</v>
          </cell>
        </row>
        <row r="8">
          <cell r="A8" t="str">
            <v>DAU</v>
          </cell>
          <cell r="E8">
            <v>0</v>
          </cell>
        </row>
        <row r="9">
          <cell r="A9" t="str">
            <v>DBA</v>
          </cell>
          <cell r="B9">
            <v>33.7</v>
          </cell>
          <cell r="C9">
            <v>59.5</v>
          </cell>
          <cell r="D9">
            <v>125.3</v>
          </cell>
          <cell r="E9">
            <v>49.1</v>
          </cell>
        </row>
        <row r="10">
          <cell r="A10" t="str">
            <v>DBB</v>
          </cell>
          <cell r="B10">
            <v>26</v>
          </cell>
          <cell r="C10">
            <v>-26.4</v>
          </cell>
          <cell r="D10">
            <v>1.4</v>
          </cell>
          <cell r="E10">
            <v>388.7</v>
          </cell>
        </row>
        <row r="11">
          <cell r="A11" t="str">
            <v>DBC</v>
          </cell>
          <cell r="B11">
            <v>21.3</v>
          </cell>
          <cell r="C11">
            <v>1330</v>
          </cell>
          <cell r="E11">
            <v>40.7</v>
          </cell>
        </row>
        <row r="12">
          <cell r="A12" t="str">
            <v>DBD</v>
          </cell>
          <cell r="C12">
            <v>77.6</v>
          </cell>
          <cell r="E12">
            <v>684</v>
          </cell>
        </row>
        <row r="13">
          <cell r="A13" t="str">
            <v>DBE</v>
          </cell>
          <cell r="C13">
            <v>86.4</v>
          </cell>
          <cell r="D13">
            <v>26.3</v>
          </cell>
          <cell r="E13">
            <v>0</v>
          </cell>
        </row>
        <row r="14">
          <cell r="A14" t="str">
            <v>DBF</v>
          </cell>
          <cell r="B14">
            <v>3.8</v>
          </cell>
          <cell r="C14">
            <v>15</v>
          </cell>
          <cell r="D14">
            <v>2.5</v>
          </cell>
          <cell r="E14">
            <v>177.5</v>
          </cell>
        </row>
        <row r="15">
          <cell r="A15" t="str">
            <v>DBG</v>
          </cell>
          <cell r="C15">
            <v>128.5</v>
          </cell>
          <cell r="E15">
            <v>-3.1</v>
          </cell>
        </row>
        <row r="16">
          <cell r="A16" t="str">
            <v>DBH</v>
          </cell>
          <cell r="C16">
            <v>98.6</v>
          </cell>
          <cell r="D16">
            <v>34.9</v>
          </cell>
          <cell r="E16">
            <v>-26.8</v>
          </cell>
        </row>
        <row r="17">
          <cell r="A17" t="str">
            <v>DBI</v>
          </cell>
          <cell r="B17">
            <v>0</v>
          </cell>
          <cell r="C17">
            <v>1</v>
          </cell>
          <cell r="D17">
            <v>2919.2</v>
          </cell>
          <cell r="E17">
            <v>247</v>
          </cell>
        </row>
        <row r="18">
          <cell r="A18" t="str">
            <v>DBJ</v>
          </cell>
          <cell r="C18">
            <v>9.9</v>
          </cell>
          <cell r="D18">
            <v>65.3</v>
          </cell>
          <cell r="E18">
            <v>97</v>
          </cell>
        </row>
        <row r="19">
          <cell r="A19" t="str">
            <v>DBK</v>
          </cell>
          <cell r="B19">
            <v>0.4</v>
          </cell>
          <cell r="C19">
            <v>0</v>
          </cell>
        </row>
        <row r="20">
          <cell r="A20" t="str">
            <v>DBL</v>
          </cell>
          <cell r="B20">
            <v>0</v>
          </cell>
          <cell r="C20">
            <v>86.5</v>
          </cell>
          <cell r="D20">
            <v>12.5</v>
          </cell>
        </row>
        <row r="21">
          <cell r="A21" t="str">
            <v>DBM</v>
          </cell>
          <cell r="C21">
            <v>0</v>
          </cell>
          <cell r="D21">
            <v>0</v>
          </cell>
          <cell r="E21">
            <v>206.5</v>
          </cell>
        </row>
        <row r="22">
          <cell r="A22" t="str">
            <v>DBN</v>
          </cell>
          <cell r="E22">
            <v>9.2</v>
          </cell>
        </row>
        <row r="23">
          <cell r="A23" t="str">
            <v>DBO</v>
          </cell>
          <cell r="B23">
            <v>0</v>
          </cell>
        </row>
        <row r="24">
          <cell r="A24" t="str">
            <v>DBQ</v>
          </cell>
          <cell r="E24">
            <v>1.7</v>
          </cell>
        </row>
        <row r="25">
          <cell r="A25" t="str">
            <v>DBS</v>
          </cell>
          <cell r="D25">
            <v>9.4</v>
          </cell>
          <cell r="E25">
            <v>18.3</v>
          </cell>
        </row>
        <row r="26">
          <cell r="A26" t="str">
            <v>DBT</v>
          </cell>
          <cell r="D26">
            <v>65</v>
          </cell>
          <cell r="E26">
            <v>77</v>
          </cell>
        </row>
        <row r="27">
          <cell r="A27" t="str">
            <v>DBU</v>
          </cell>
          <cell r="C27">
            <v>0</v>
          </cell>
        </row>
        <row r="28">
          <cell r="A28" t="str">
            <v>DBV</v>
          </cell>
          <cell r="D28">
            <v>7.2</v>
          </cell>
          <cell r="E28">
            <v>7.6</v>
          </cell>
        </row>
        <row r="29">
          <cell r="A29" t="str">
            <v>DBX</v>
          </cell>
          <cell r="B29">
            <v>3.1</v>
          </cell>
          <cell r="C29">
            <v>8.8</v>
          </cell>
          <cell r="D29">
            <v>17.4</v>
          </cell>
          <cell r="E29">
            <v>140</v>
          </cell>
        </row>
        <row r="30">
          <cell r="A30" t="str">
            <v>DBY</v>
          </cell>
          <cell r="B30">
            <v>554.9</v>
          </cell>
          <cell r="C30">
            <v>122.9</v>
          </cell>
          <cell r="D30">
            <v>33.6</v>
          </cell>
        </row>
        <row r="31">
          <cell r="A31" t="str">
            <v>DBZ</v>
          </cell>
          <cell r="C31">
            <v>183.4</v>
          </cell>
          <cell r="D31">
            <v>2.8</v>
          </cell>
          <cell r="E31">
            <v>0.1</v>
          </cell>
        </row>
        <row r="32">
          <cell r="A32" t="str">
            <v>DCA</v>
          </cell>
          <cell r="B32">
            <v>1128.1</v>
          </cell>
        </row>
        <row r="33">
          <cell r="A33" t="str">
            <v>DCB</v>
          </cell>
          <cell r="B33">
            <v>4949.5</v>
          </cell>
          <cell r="D33">
            <v>0</v>
          </cell>
        </row>
        <row r="34">
          <cell r="A34" t="str">
            <v>DCD</v>
          </cell>
          <cell r="B34">
            <v>222.3</v>
          </cell>
          <cell r="C34">
            <v>0</v>
          </cell>
          <cell r="D34">
            <v>0</v>
          </cell>
        </row>
        <row r="35">
          <cell r="A35" t="str">
            <v>DCF</v>
          </cell>
          <cell r="B35">
            <v>937.1</v>
          </cell>
          <cell r="C35">
            <v>0.1</v>
          </cell>
          <cell r="E35">
            <v>0.1</v>
          </cell>
        </row>
        <row r="36">
          <cell r="A36" t="str">
            <v>DCG</v>
          </cell>
          <cell r="B36">
            <v>308.8</v>
          </cell>
          <cell r="E36">
            <v>0.1</v>
          </cell>
        </row>
        <row r="37">
          <cell r="A37" t="str">
            <v>DCH</v>
          </cell>
          <cell r="B37">
            <v>500.2</v>
          </cell>
          <cell r="D37">
            <v>0</v>
          </cell>
          <cell r="E37">
            <v>-6.2</v>
          </cell>
        </row>
        <row r="38">
          <cell r="A38" t="str">
            <v>DCI</v>
          </cell>
          <cell r="B38">
            <v>5048.6</v>
          </cell>
          <cell r="D38">
            <v>0.1</v>
          </cell>
        </row>
        <row r="39">
          <cell r="A39" t="str">
            <v>DCJ</v>
          </cell>
          <cell r="B39">
            <v>449.2</v>
          </cell>
        </row>
        <row r="40">
          <cell r="A40" t="str">
            <v>DCK</v>
          </cell>
          <cell r="B40">
            <v>712.1</v>
          </cell>
          <cell r="C40">
            <v>0.3</v>
          </cell>
          <cell r="D40">
            <v>0</v>
          </cell>
        </row>
        <row r="41">
          <cell r="A41" t="str">
            <v>DCM</v>
          </cell>
          <cell r="B41">
            <v>362.2</v>
          </cell>
          <cell r="C41">
            <v>0</v>
          </cell>
        </row>
        <row r="42">
          <cell r="A42" t="str">
            <v>DCN</v>
          </cell>
          <cell r="B42">
            <v>86.2</v>
          </cell>
        </row>
        <row r="43">
          <cell r="A43" t="str">
            <v>DCO</v>
          </cell>
          <cell r="B43">
            <v>107.4</v>
          </cell>
          <cell r="C43">
            <v>0.1</v>
          </cell>
          <cell r="D43">
            <v>0.1</v>
          </cell>
        </row>
        <row r="44">
          <cell r="A44" t="str">
            <v>DCR</v>
          </cell>
          <cell r="B44">
            <v>480.7</v>
          </cell>
        </row>
        <row r="45">
          <cell r="A45" t="str">
            <v>DDA</v>
          </cell>
          <cell r="B45">
            <v>2</v>
          </cell>
        </row>
        <row r="46">
          <cell r="A46" t="str">
            <v>DDB</v>
          </cell>
          <cell r="B46">
            <v>1.4</v>
          </cell>
        </row>
        <row r="47">
          <cell r="A47" t="str">
            <v>DDC</v>
          </cell>
          <cell r="B47">
            <v>0.3</v>
          </cell>
        </row>
        <row r="48">
          <cell r="A48" t="str">
            <v>DDD</v>
          </cell>
          <cell r="B48">
            <v>4</v>
          </cell>
        </row>
        <row r="49">
          <cell r="A49" t="str">
            <v>DDE</v>
          </cell>
          <cell r="B49">
            <v>96.6</v>
          </cell>
        </row>
        <row r="50">
          <cell r="A50" t="str">
            <v>DDF</v>
          </cell>
          <cell r="B50">
            <v>50</v>
          </cell>
        </row>
        <row r="51">
          <cell r="A51" t="str">
            <v>DDG</v>
          </cell>
          <cell r="B51">
            <v>334.5</v>
          </cell>
          <cell r="C51">
            <v>0</v>
          </cell>
        </row>
        <row r="52">
          <cell r="A52" t="str">
            <v>DDK</v>
          </cell>
          <cell r="B52">
            <v>0</v>
          </cell>
        </row>
        <row r="53">
          <cell r="A53" t="str">
            <v>DDL</v>
          </cell>
          <cell r="B53">
            <v>31.7</v>
          </cell>
          <cell r="C53">
            <v>15.2</v>
          </cell>
          <cell r="D53">
            <v>-0.5</v>
          </cell>
        </row>
        <row r="54">
          <cell r="A54" t="str">
            <v>DDM</v>
          </cell>
          <cell r="B54">
            <v>154.3</v>
          </cell>
          <cell r="C54">
            <v>6.2</v>
          </cell>
        </row>
        <row r="55">
          <cell r="A55" t="str">
            <v>DDN</v>
          </cell>
          <cell r="B55">
            <v>14.8</v>
          </cell>
          <cell r="C55">
            <v>0.2</v>
          </cell>
        </row>
        <row r="56">
          <cell r="A56" t="str">
            <v>DDO</v>
          </cell>
          <cell r="B56">
            <v>125.8</v>
          </cell>
          <cell r="C56">
            <v>19.4</v>
          </cell>
          <cell r="D56">
            <v>0.1</v>
          </cell>
        </row>
        <row r="57">
          <cell r="A57" t="str">
            <v>DDP</v>
          </cell>
          <cell r="B57">
            <v>360</v>
          </cell>
          <cell r="C57">
            <v>12</v>
          </cell>
          <cell r="D57">
            <v>0.1</v>
          </cell>
        </row>
        <row r="58">
          <cell r="A58" t="str">
            <v>DDQ</v>
          </cell>
          <cell r="B58">
            <v>34.7</v>
          </cell>
        </row>
        <row r="59">
          <cell r="A59" t="str">
            <v>DDR</v>
          </cell>
          <cell r="B59">
            <v>0</v>
          </cell>
        </row>
        <row r="60">
          <cell r="A60" t="str">
            <v>DDS</v>
          </cell>
          <cell r="B60">
            <v>37.2</v>
          </cell>
          <cell r="C60">
            <v>0</v>
          </cell>
          <cell r="D60">
            <v>40.2</v>
          </cell>
        </row>
        <row r="61">
          <cell r="A61" t="str">
            <v>DEA</v>
          </cell>
          <cell r="B61">
            <v>1977</v>
          </cell>
        </row>
        <row r="62">
          <cell r="A62" t="str">
            <v>DEB</v>
          </cell>
          <cell r="B62">
            <v>3409</v>
          </cell>
        </row>
        <row r="63">
          <cell r="A63" t="str">
            <v>DED</v>
          </cell>
          <cell r="B63">
            <v>1633.3</v>
          </cell>
        </row>
        <row r="64">
          <cell r="A64" t="str">
            <v>DEF</v>
          </cell>
          <cell r="B64">
            <v>351.6</v>
          </cell>
        </row>
        <row r="65">
          <cell r="A65" t="str">
            <v>DEG</v>
          </cell>
          <cell r="B65">
            <v>325.1</v>
          </cell>
        </row>
        <row r="66">
          <cell r="A66" t="str">
            <v>DEH</v>
          </cell>
          <cell r="B66">
            <v>557.3</v>
          </cell>
        </row>
        <row r="67">
          <cell r="A67" t="str">
            <v>DEI</v>
          </cell>
          <cell r="B67">
            <v>0.1</v>
          </cell>
        </row>
        <row r="68">
          <cell r="A68" t="str">
            <v>DEJ</v>
          </cell>
          <cell r="B68">
            <v>0.6</v>
          </cell>
        </row>
        <row r="69">
          <cell r="A69" t="str">
            <v>DEK</v>
          </cell>
          <cell r="B69">
            <v>392.4</v>
          </cell>
        </row>
        <row r="70">
          <cell r="A70" t="str">
            <v>DEL</v>
          </cell>
          <cell r="B70">
            <v>658.3</v>
          </cell>
          <cell r="D70">
            <v>0</v>
          </cell>
        </row>
        <row r="71">
          <cell r="A71" t="str">
            <v>DEN</v>
          </cell>
          <cell r="B71">
            <v>0.6</v>
          </cell>
        </row>
        <row r="72">
          <cell r="A72" t="str">
            <v>DEP</v>
          </cell>
          <cell r="B72">
            <v>0.6</v>
          </cell>
        </row>
        <row r="73">
          <cell r="A73" t="str">
            <v>DER</v>
          </cell>
          <cell r="B73">
            <v>1.8</v>
          </cell>
        </row>
        <row r="74">
          <cell r="A74" t="str">
            <v>DES</v>
          </cell>
          <cell r="B74">
            <v>146.4</v>
          </cell>
        </row>
        <row r="75">
          <cell r="A75" t="str">
            <v>DET</v>
          </cell>
          <cell r="B75">
            <v>113</v>
          </cell>
        </row>
        <row r="76">
          <cell r="A76" t="str">
            <v>DEU</v>
          </cell>
          <cell r="B76">
            <v>761.4</v>
          </cell>
          <cell r="C76">
            <v>24.3</v>
          </cell>
        </row>
        <row r="77">
          <cell r="A77" t="str">
            <v>DEV</v>
          </cell>
          <cell r="B77">
            <v>1</v>
          </cell>
        </row>
        <row r="78">
          <cell r="A78" t="str">
            <v>DEW</v>
          </cell>
          <cell r="B78">
            <v>62</v>
          </cell>
        </row>
        <row r="79">
          <cell r="A79" t="str">
            <v>DEX</v>
          </cell>
          <cell r="B79">
            <v>2390.3</v>
          </cell>
          <cell r="C79">
            <v>1.6</v>
          </cell>
          <cell r="D79">
            <v>-7.7</v>
          </cell>
        </row>
        <row r="80">
          <cell r="A80" t="str">
            <v>DEY</v>
          </cell>
          <cell r="B80">
            <v>666.3</v>
          </cell>
          <cell r="C80">
            <v>0.2</v>
          </cell>
          <cell r="E80">
            <v>12.2</v>
          </cell>
        </row>
        <row r="81">
          <cell r="A81" t="str">
            <v>DEZ</v>
          </cell>
          <cell r="B81">
            <v>106</v>
          </cell>
          <cell r="C81">
            <v>23.7</v>
          </cell>
          <cell r="D81">
            <v>0</v>
          </cell>
        </row>
        <row r="82">
          <cell r="A82" t="str">
            <v>DGA</v>
          </cell>
          <cell r="B82">
            <v>7.5</v>
          </cell>
          <cell r="C82">
            <v>7</v>
          </cell>
        </row>
        <row r="83">
          <cell r="A83" t="str">
            <v>DGB</v>
          </cell>
          <cell r="B83">
            <v>275.1</v>
          </cell>
          <cell r="C83">
            <v>33.2</v>
          </cell>
          <cell r="D83">
            <v>-0.3</v>
          </cell>
          <cell r="E83">
            <v>-2.6</v>
          </cell>
        </row>
        <row r="84">
          <cell r="A84" t="str">
            <v>DGC</v>
          </cell>
          <cell r="B84">
            <v>1409.4</v>
          </cell>
          <cell r="C84">
            <v>659.4</v>
          </cell>
          <cell r="D84">
            <v>-446.1</v>
          </cell>
          <cell r="E84">
            <v>0.3</v>
          </cell>
        </row>
        <row r="85">
          <cell r="A85" t="str">
            <v>DGD</v>
          </cell>
          <cell r="B85">
            <v>3</v>
          </cell>
          <cell r="C85">
            <v>2.9</v>
          </cell>
        </row>
        <row r="86">
          <cell r="A86" t="str">
            <v>DGE</v>
          </cell>
          <cell r="B86">
            <v>2.3</v>
          </cell>
          <cell r="C86">
            <v>0.1</v>
          </cell>
        </row>
        <row r="87">
          <cell r="A87" t="str">
            <v>DGF</v>
          </cell>
          <cell r="B87">
            <v>141.2</v>
          </cell>
          <cell r="C87">
            <v>13.5</v>
          </cell>
        </row>
        <row r="88">
          <cell r="A88" t="str">
            <v>DGG</v>
          </cell>
          <cell r="B88">
            <v>60.2</v>
          </cell>
          <cell r="C88">
            <v>7.8</v>
          </cell>
          <cell r="D88">
            <v>4.7</v>
          </cell>
        </row>
        <row r="89">
          <cell r="A89" t="str">
            <v>DGJ</v>
          </cell>
          <cell r="C89">
            <v>3.1</v>
          </cell>
        </row>
        <row r="90">
          <cell r="A90" t="str">
            <v>DGL</v>
          </cell>
          <cell r="B90">
            <v>16.1</v>
          </cell>
          <cell r="C90">
            <v>0.1</v>
          </cell>
        </row>
        <row r="91">
          <cell r="A91" t="str">
            <v>DGN</v>
          </cell>
          <cell r="B91">
            <v>0</v>
          </cell>
        </row>
        <row r="92">
          <cell r="A92" t="str">
            <v>DGO</v>
          </cell>
          <cell r="B92">
            <v>0.7</v>
          </cell>
          <cell r="C92">
            <v>1.2</v>
          </cell>
        </row>
        <row r="93">
          <cell r="A93" t="str">
            <v>DHJ</v>
          </cell>
          <cell r="E93">
            <v>2.1</v>
          </cell>
        </row>
        <row r="94">
          <cell r="A94" t="str">
            <v>DIA</v>
          </cell>
          <cell r="B94">
            <v>26.3</v>
          </cell>
          <cell r="D94">
            <v>-51.9</v>
          </cell>
        </row>
        <row r="95">
          <cell r="A95" t="str">
            <v>DIB</v>
          </cell>
          <cell r="B95">
            <v>556.5</v>
          </cell>
          <cell r="D95">
            <v>-34.6</v>
          </cell>
        </row>
        <row r="96">
          <cell r="A96" t="str">
            <v>DIC</v>
          </cell>
          <cell r="B96">
            <v>1080.4</v>
          </cell>
        </row>
        <row r="97">
          <cell r="A97" t="str">
            <v>DID</v>
          </cell>
          <cell r="B97">
            <v>1208.1</v>
          </cell>
          <cell r="C97">
            <v>2.6</v>
          </cell>
        </row>
        <row r="98">
          <cell r="A98" t="str">
            <v>DIE</v>
          </cell>
          <cell r="B98">
            <v>17.2</v>
          </cell>
        </row>
        <row r="99">
          <cell r="A99" t="str">
            <v>DIF</v>
          </cell>
          <cell r="B99">
            <v>0.6</v>
          </cell>
          <cell r="D99">
            <v>2.1</v>
          </cell>
          <cell r="E99">
            <v>0.7</v>
          </cell>
        </row>
        <row r="100">
          <cell r="A100" t="str">
            <v>DIG</v>
          </cell>
          <cell r="B100">
            <v>11.3</v>
          </cell>
        </row>
        <row r="101">
          <cell r="A101" t="str">
            <v>DJB</v>
          </cell>
          <cell r="D101">
            <v>11.5</v>
          </cell>
          <cell r="E101">
            <v>124.6</v>
          </cell>
        </row>
        <row r="102">
          <cell r="A102" t="str">
            <v>DJC</v>
          </cell>
          <cell r="B102">
            <v>0.3</v>
          </cell>
          <cell r="C102">
            <v>83.7</v>
          </cell>
          <cell r="D102">
            <v>0</v>
          </cell>
        </row>
        <row r="103">
          <cell r="A103" t="str">
            <v>DJD</v>
          </cell>
          <cell r="C103">
            <v>463.2</v>
          </cell>
          <cell r="D103">
            <v>0.3</v>
          </cell>
          <cell r="E103">
            <v>0</v>
          </cell>
        </row>
        <row r="104">
          <cell r="A104" t="str">
            <v>DJF</v>
          </cell>
          <cell r="D104">
            <v>22.6</v>
          </cell>
        </row>
        <row r="105">
          <cell r="A105" t="str">
            <v>DJG</v>
          </cell>
          <cell r="C105">
            <v>0</v>
          </cell>
        </row>
        <row r="106">
          <cell r="A106" t="str">
            <v>DJI</v>
          </cell>
          <cell r="B106">
            <v>0.6</v>
          </cell>
        </row>
        <row r="107">
          <cell r="A107" t="str">
            <v>DJJ</v>
          </cell>
          <cell r="D107">
            <v>4.2</v>
          </cell>
          <cell r="E107">
            <v>0</v>
          </cell>
        </row>
        <row r="108">
          <cell r="A108" t="str">
            <v>DJK</v>
          </cell>
          <cell r="C108">
            <v>3</v>
          </cell>
        </row>
        <row r="109">
          <cell r="A109" t="str">
            <v>DJL</v>
          </cell>
          <cell r="C109">
            <v>31.9</v>
          </cell>
        </row>
        <row r="110">
          <cell r="A110" t="str">
            <v>DJO</v>
          </cell>
          <cell r="B110">
            <v>114.7</v>
          </cell>
          <cell r="C110">
            <v>-4.6</v>
          </cell>
          <cell r="D110">
            <v>5.5</v>
          </cell>
          <cell r="E110">
            <v>6</v>
          </cell>
        </row>
        <row r="111">
          <cell r="A111" t="str">
            <v>DJP</v>
          </cell>
          <cell r="B111">
            <v>210.3</v>
          </cell>
          <cell r="C111">
            <v>-8.4</v>
          </cell>
          <cell r="D111">
            <v>0</v>
          </cell>
        </row>
        <row r="112">
          <cell r="A112" t="str">
            <v>DJQ</v>
          </cell>
          <cell r="B112">
            <v>122.1</v>
          </cell>
        </row>
        <row r="113">
          <cell r="A113" t="str">
            <v>DJR</v>
          </cell>
          <cell r="B113">
            <v>76.1</v>
          </cell>
          <cell r="C113">
            <v>9.9</v>
          </cell>
          <cell r="E113">
            <v>-3.3</v>
          </cell>
        </row>
        <row r="114">
          <cell r="A114" t="str">
            <v>DJS</v>
          </cell>
          <cell r="B114">
            <v>21.4</v>
          </cell>
          <cell r="C114">
            <v>0.7</v>
          </cell>
          <cell r="D114">
            <v>0</v>
          </cell>
        </row>
        <row r="115">
          <cell r="A115" t="str">
            <v>DJT</v>
          </cell>
          <cell r="B115">
            <v>26.7</v>
          </cell>
          <cell r="C115">
            <v>0.6</v>
          </cell>
          <cell r="D115">
            <v>0</v>
          </cell>
        </row>
        <row r="116">
          <cell r="A116" t="str">
            <v>DJU</v>
          </cell>
          <cell r="B116">
            <v>18.8</v>
          </cell>
          <cell r="C116">
            <v>3.8</v>
          </cell>
          <cell r="D116">
            <v>0.3</v>
          </cell>
        </row>
        <row r="117">
          <cell r="A117" t="str">
            <v>DJV</v>
          </cell>
          <cell r="B117">
            <v>49.6</v>
          </cell>
          <cell r="C117">
            <v>32.6</v>
          </cell>
          <cell r="D117">
            <v>13.3</v>
          </cell>
          <cell r="E117">
            <v>0.1</v>
          </cell>
        </row>
        <row r="118">
          <cell r="A118" t="str">
            <v>DJW</v>
          </cell>
          <cell r="B118">
            <v>255.1</v>
          </cell>
          <cell r="C118">
            <v>7.4</v>
          </cell>
          <cell r="D118">
            <v>7.3</v>
          </cell>
        </row>
        <row r="119">
          <cell r="A119" t="str">
            <v>DKA</v>
          </cell>
          <cell r="B119">
            <v>137.2</v>
          </cell>
        </row>
        <row r="120">
          <cell r="A120" t="str">
            <v>DKB</v>
          </cell>
          <cell r="B120">
            <v>467</v>
          </cell>
          <cell r="D120">
            <v>0.1</v>
          </cell>
        </row>
        <row r="121">
          <cell r="A121" t="str">
            <v>DKC</v>
          </cell>
          <cell r="B121">
            <v>365.4</v>
          </cell>
        </row>
        <row r="122">
          <cell r="A122" t="str">
            <v>DKD</v>
          </cell>
          <cell r="B122">
            <v>200.7</v>
          </cell>
        </row>
        <row r="123">
          <cell r="A123" t="str">
            <v>DKE</v>
          </cell>
          <cell r="B123">
            <v>270</v>
          </cell>
        </row>
        <row r="124">
          <cell r="A124" t="str">
            <v>DKF</v>
          </cell>
          <cell r="B124">
            <v>145.7</v>
          </cell>
          <cell r="E124">
            <v>0.4</v>
          </cell>
        </row>
        <row r="125">
          <cell r="A125" t="str">
            <v>DKG</v>
          </cell>
          <cell r="B125">
            <v>49.9</v>
          </cell>
        </row>
        <row r="126">
          <cell r="A126" t="str">
            <v>DKH</v>
          </cell>
          <cell r="B126">
            <v>612.3</v>
          </cell>
        </row>
        <row r="127">
          <cell r="A127" t="str">
            <v>DKI</v>
          </cell>
          <cell r="B127">
            <v>295.8</v>
          </cell>
        </row>
        <row r="128">
          <cell r="A128" t="str">
            <v>DKJ</v>
          </cell>
          <cell r="B128">
            <v>247.3</v>
          </cell>
          <cell r="C128">
            <v>0.3</v>
          </cell>
        </row>
        <row r="129">
          <cell r="A129" t="str">
            <v>DKK</v>
          </cell>
          <cell r="B129">
            <v>61.1</v>
          </cell>
        </row>
        <row r="130">
          <cell r="A130" t="str">
            <v>DKL</v>
          </cell>
          <cell r="B130">
            <v>673.3</v>
          </cell>
        </row>
        <row r="131">
          <cell r="A131" t="str">
            <v>DKM</v>
          </cell>
          <cell r="B131">
            <v>587.8</v>
          </cell>
        </row>
        <row r="132">
          <cell r="A132" t="str">
            <v>DKN</v>
          </cell>
          <cell r="B132">
            <v>921.4</v>
          </cell>
        </row>
        <row r="133">
          <cell r="A133" t="str">
            <v>DKO</v>
          </cell>
          <cell r="B133">
            <v>554.6</v>
          </cell>
        </row>
        <row r="134">
          <cell r="A134" t="str">
            <v>DKP</v>
          </cell>
          <cell r="B134">
            <v>408.9</v>
          </cell>
        </row>
        <row r="135">
          <cell r="A135" t="str">
            <v>DKQ</v>
          </cell>
          <cell r="B135">
            <v>50.2</v>
          </cell>
        </row>
        <row r="136">
          <cell r="A136" t="str">
            <v>DKR</v>
          </cell>
          <cell r="B136">
            <v>2</v>
          </cell>
        </row>
        <row r="137">
          <cell r="A137" t="str">
            <v>DKS</v>
          </cell>
          <cell r="B137">
            <v>171.7</v>
          </cell>
        </row>
        <row r="138">
          <cell r="A138" t="str">
            <v>DKT</v>
          </cell>
          <cell r="B138">
            <v>79.5</v>
          </cell>
          <cell r="C138">
            <v>0</v>
          </cell>
          <cell r="D138">
            <v>0</v>
          </cell>
        </row>
        <row r="139">
          <cell r="A139" t="str">
            <v>DKW</v>
          </cell>
          <cell r="B139">
            <v>95.1</v>
          </cell>
        </row>
        <row r="140">
          <cell r="A140" t="str">
            <v>DKX</v>
          </cell>
          <cell r="B140">
            <v>740.2</v>
          </cell>
        </row>
        <row r="141">
          <cell r="A141" t="str">
            <v>DLB</v>
          </cell>
          <cell r="E141">
            <v>189</v>
          </cell>
        </row>
        <row r="142">
          <cell r="A142" t="str">
            <v>DLC</v>
          </cell>
          <cell r="D142">
            <v>217</v>
          </cell>
          <cell r="E142">
            <v>650</v>
          </cell>
        </row>
        <row r="143">
          <cell r="A143" t="str">
            <v>DLG</v>
          </cell>
          <cell r="D143">
            <v>191</v>
          </cell>
        </row>
        <row r="144">
          <cell r="A144" t="str">
            <v>DLL</v>
          </cell>
          <cell r="D144">
            <v>19.8</v>
          </cell>
          <cell r="E144">
            <v>0.2</v>
          </cell>
        </row>
        <row r="145">
          <cell r="A145" t="str">
            <v>DMA</v>
          </cell>
          <cell r="B145">
            <v>33.2</v>
          </cell>
          <cell r="E145">
            <v>20.4</v>
          </cell>
        </row>
        <row r="146">
          <cell r="A146" t="str">
            <v>DMB</v>
          </cell>
          <cell r="B146">
            <v>1761.4</v>
          </cell>
          <cell r="E146">
            <v>-4.4</v>
          </cell>
        </row>
        <row r="147">
          <cell r="A147" t="str">
            <v>DMC</v>
          </cell>
          <cell r="B147">
            <v>768.6</v>
          </cell>
          <cell r="D147">
            <v>0.2</v>
          </cell>
        </row>
        <row r="148">
          <cell r="A148" t="str">
            <v>DMD</v>
          </cell>
          <cell r="B148">
            <v>1070.5</v>
          </cell>
        </row>
        <row r="149">
          <cell r="A149" t="str">
            <v>DMG</v>
          </cell>
          <cell r="B149">
            <v>288.2</v>
          </cell>
        </row>
        <row r="150">
          <cell r="A150" t="str">
            <v>DMH</v>
          </cell>
          <cell r="B150">
            <v>12.9</v>
          </cell>
        </row>
        <row r="151">
          <cell r="A151" t="str">
            <v>DMJ</v>
          </cell>
          <cell r="B151">
            <v>2710.9</v>
          </cell>
        </row>
        <row r="152">
          <cell r="A152" t="str">
            <v>DML</v>
          </cell>
          <cell r="B152">
            <v>280.6</v>
          </cell>
        </row>
        <row r="153">
          <cell r="A153" t="str">
            <v>DMN</v>
          </cell>
          <cell r="B153">
            <v>44</v>
          </cell>
        </row>
        <row r="154">
          <cell r="A154" t="str">
            <v>DQC</v>
          </cell>
          <cell r="B154">
            <v>191.7</v>
          </cell>
        </row>
        <row r="155">
          <cell r="A155" t="str">
            <v>DQD</v>
          </cell>
          <cell r="B155">
            <v>1.1</v>
          </cell>
          <cell r="C155">
            <v>0.3</v>
          </cell>
        </row>
        <row r="156">
          <cell r="A156" t="str">
            <v>DQG</v>
          </cell>
          <cell r="B156">
            <v>260.3</v>
          </cell>
        </row>
        <row r="157">
          <cell r="A157" t="str">
            <v>DQL</v>
          </cell>
          <cell r="B157">
            <v>58.6</v>
          </cell>
        </row>
        <row r="158">
          <cell r="A158" t="str">
            <v>DQM</v>
          </cell>
          <cell r="B158">
            <v>60.4</v>
          </cell>
        </row>
        <row r="159">
          <cell r="A159" t="str">
            <v>DQN</v>
          </cell>
          <cell r="B159">
            <v>248.2</v>
          </cell>
        </row>
        <row r="160">
          <cell r="A160" t="str">
            <v>DQP</v>
          </cell>
          <cell r="B160">
            <v>410.7</v>
          </cell>
        </row>
        <row r="161">
          <cell r="A161" t="str">
            <v>DQQ</v>
          </cell>
          <cell r="B161">
            <v>846.6</v>
          </cell>
        </row>
        <row r="162">
          <cell r="A162" t="str">
            <v>DQR</v>
          </cell>
          <cell r="B162">
            <v>1010.7</v>
          </cell>
        </row>
        <row r="163">
          <cell r="A163" t="str">
            <v>DUP</v>
          </cell>
          <cell r="B163">
            <v>27.9</v>
          </cell>
          <cell r="C163">
            <v>9.7</v>
          </cell>
        </row>
        <row r="164">
          <cell r="A164" t="str">
            <v>DUQ</v>
          </cell>
          <cell r="C164">
            <v>17.1</v>
          </cell>
        </row>
        <row r="165">
          <cell r="A165" t="str">
            <v>DVB</v>
          </cell>
          <cell r="C165">
            <v>0.8</v>
          </cell>
          <cell r="D165">
            <v>1.4</v>
          </cell>
        </row>
        <row r="166">
          <cell r="A166" t="str">
            <v>DVC</v>
          </cell>
          <cell r="B166">
            <v>6</v>
          </cell>
          <cell r="C166">
            <v>89.2</v>
          </cell>
          <cell r="D166">
            <v>11.9</v>
          </cell>
          <cell r="E166">
            <v>-0.2</v>
          </cell>
        </row>
        <row r="167">
          <cell r="A167" t="str">
            <v>DVD</v>
          </cell>
          <cell r="C167">
            <v>0.5</v>
          </cell>
        </row>
        <row r="168">
          <cell r="A168" t="str">
            <v>DVF</v>
          </cell>
          <cell r="B168">
            <v>67.9</v>
          </cell>
          <cell r="C168">
            <v>6.9</v>
          </cell>
          <cell r="E168">
            <v>-5.9</v>
          </cell>
        </row>
        <row r="169">
          <cell r="A169" t="str">
            <v>DVG</v>
          </cell>
          <cell r="D169">
            <v>234.2</v>
          </cell>
          <cell r="E169">
            <v>41.5</v>
          </cell>
        </row>
        <row r="170">
          <cell r="A170" t="str">
            <v>DVH</v>
          </cell>
          <cell r="B170">
            <v>52.1</v>
          </cell>
          <cell r="C170">
            <v>5.3</v>
          </cell>
          <cell r="E170">
            <v>-4.5</v>
          </cell>
        </row>
        <row r="171">
          <cell r="A171" t="str">
            <v>DVI</v>
          </cell>
          <cell r="C171">
            <v>20.8</v>
          </cell>
          <cell r="D171">
            <v>0</v>
          </cell>
        </row>
        <row r="172">
          <cell r="A172" t="str">
            <v>DVJ</v>
          </cell>
          <cell r="B172">
            <v>105.4</v>
          </cell>
          <cell r="C172">
            <v>162.3</v>
          </cell>
          <cell r="D172">
            <v>0.4</v>
          </cell>
        </row>
        <row r="173">
          <cell r="A173" t="str">
            <v>DVL</v>
          </cell>
          <cell r="C173">
            <v>0</v>
          </cell>
          <cell r="E173">
            <v>2</v>
          </cell>
        </row>
        <row r="174">
          <cell r="A174" t="str">
            <v>DVQ</v>
          </cell>
          <cell r="D174">
            <v>0</v>
          </cell>
          <cell r="E174">
            <v>4.2</v>
          </cell>
        </row>
        <row r="175">
          <cell r="A175" t="str">
            <v>DVR</v>
          </cell>
          <cell r="D175">
            <v>184.6</v>
          </cell>
        </row>
        <row r="176">
          <cell r="A176" t="str">
            <v>DVU</v>
          </cell>
          <cell r="E176">
            <v>0.6</v>
          </cell>
        </row>
        <row r="177">
          <cell r="A177" t="str">
            <v>DVV</v>
          </cell>
          <cell r="E177">
            <v>0.7</v>
          </cell>
        </row>
        <row r="178">
          <cell r="A178" t="str">
            <v>SDU</v>
          </cell>
          <cell r="E178">
            <v>72.8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BS_Oblg_Comp_Sep97"/>
      <sheetName val="Summary Mar_97_DoE Review"/>
      <sheetName val="summary_report Prior to Mod"/>
      <sheetName val="Q2 Report Summary"/>
      <sheetName val="Q3 Report Summary"/>
      <sheetName val="WBS_Oblg_Comp_June97"/>
      <sheetName val="Aug97 Summay Distribution"/>
      <sheetName val="WBS_Oblg_Comp_Aug97"/>
      <sheetName val="Sep97 Summay Distribution"/>
      <sheetName val="Sep97 Summary New"/>
      <sheetName val="DoE 1-98"/>
    </sheetNames>
    <sheetDataSet>
      <sheetData sheetId="0">
        <row r="1">
          <cell r="A1" t="str">
            <v>Wbs Code</v>
          </cell>
          <cell r="B1" t="str">
            <v>Total</v>
          </cell>
          <cell r="C1" t="str">
            <v>Ytd Percent Complete</v>
          </cell>
        </row>
        <row r="2">
          <cell r="A2" t="str">
            <v>1</v>
          </cell>
          <cell r="B2">
            <v>6424057.77</v>
          </cell>
          <cell r="C2">
            <v>0</v>
          </cell>
        </row>
        <row r="3">
          <cell r="A3" t="str">
            <v>1.1</v>
          </cell>
          <cell r="B3">
            <v>3382464.26</v>
          </cell>
          <cell r="C3">
            <v>0</v>
          </cell>
        </row>
        <row r="4">
          <cell r="A4" t="str">
            <v>1.1.1</v>
          </cell>
          <cell r="B4">
            <v>836425.24</v>
          </cell>
          <cell r="C4">
            <v>0</v>
          </cell>
        </row>
        <row r="5">
          <cell r="A5" t="str">
            <v>1.1.1.1</v>
          </cell>
          <cell r="B5">
            <v>24833.65</v>
          </cell>
          <cell r="C5">
            <v>0</v>
          </cell>
        </row>
        <row r="6">
          <cell r="A6" t="str">
            <v>1.1.1.1.1</v>
          </cell>
          <cell r="B6">
            <v>0</v>
          </cell>
          <cell r="C6">
            <v>0</v>
          </cell>
        </row>
        <row r="7">
          <cell r="A7" t="str">
            <v>1.1.1.1.2</v>
          </cell>
          <cell r="B7">
            <v>0</v>
          </cell>
          <cell r="C7">
            <v>0</v>
          </cell>
        </row>
        <row r="8">
          <cell r="A8" t="str">
            <v>1.1.1.1.3</v>
          </cell>
          <cell r="B8">
            <v>0</v>
          </cell>
          <cell r="C8">
            <v>0</v>
          </cell>
        </row>
        <row r="9">
          <cell r="A9" t="str">
            <v>1.1.1.1.4</v>
          </cell>
          <cell r="B9">
            <v>0</v>
          </cell>
          <cell r="C9">
            <v>0</v>
          </cell>
        </row>
        <row r="10">
          <cell r="A10" t="str">
            <v>1.1.1.1.5</v>
          </cell>
          <cell r="B10">
            <v>24833.65</v>
          </cell>
          <cell r="C10">
            <v>0.45</v>
          </cell>
        </row>
        <row r="11">
          <cell r="A11" t="str">
            <v>1.1.1.2</v>
          </cell>
          <cell r="B11">
            <v>280054.56</v>
          </cell>
          <cell r="C11">
            <v>0</v>
          </cell>
        </row>
        <row r="12">
          <cell r="A12" t="str">
            <v>1.1.1.2.1</v>
          </cell>
          <cell r="B12">
            <v>9556.56</v>
          </cell>
          <cell r="C12">
            <v>0</v>
          </cell>
        </row>
        <row r="13">
          <cell r="A13" t="str">
            <v>1.1.1.2.1.1</v>
          </cell>
          <cell r="B13">
            <v>5000</v>
          </cell>
          <cell r="C13">
            <v>0</v>
          </cell>
        </row>
        <row r="14">
          <cell r="A14" t="str">
            <v>1.1.1.2.1.2</v>
          </cell>
          <cell r="B14">
            <v>850.24</v>
          </cell>
          <cell r="C14">
            <v>0.02</v>
          </cell>
        </row>
        <row r="15">
          <cell r="A15" t="str">
            <v>1.1.1.2.1.3</v>
          </cell>
          <cell r="B15">
            <v>0</v>
          </cell>
          <cell r="C15">
            <v>0</v>
          </cell>
        </row>
        <row r="16">
          <cell r="A16" t="str">
            <v>1.1.1.2.1.4</v>
          </cell>
          <cell r="B16">
            <v>0</v>
          </cell>
          <cell r="C16">
            <v>0</v>
          </cell>
        </row>
        <row r="17">
          <cell r="A17" t="str">
            <v>1.1.1.2.1.5</v>
          </cell>
          <cell r="B17">
            <v>522.32</v>
          </cell>
          <cell r="C17">
            <v>0.02</v>
          </cell>
        </row>
        <row r="18">
          <cell r="A18" t="str">
            <v>1.1.1.2.1.6</v>
          </cell>
          <cell r="B18">
            <v>3184</v>
          </cell>
          <cell r="C18">
            <v>0.05</v>
          </cell>
        </row>
        <row r="19">
          <cell r="A19" t="str">
            <v>1.1.1.2.1.7</v>
          </cell>
          <cell r="B19">
            <v>0</v>
          </cell>
          <cell r="C19">
            <v>0</v>
          </cell>
        </row>
        <row r="20">
          <cell r="A20" t="str">
            <v>1.1.1.2.2</v>
          </cell>
          <cell r="B20">
            <v>232758</v>
          </cell>
          <cell r="C20">
            <v>0</v>
          </cell>
        </row>
        <row r="21">
          <cell r="A21" t="str">
            <v>1.1.1.2.2.1</v>
          </cell>
          <cell r="B21">
            <v>220500</v>
          </cell>
          <cell r="C21">
            <v>1.13</v>
          </cell>
        </row>
        <row r="22">
          <cell r="A22" t="str">
            <v>1.1.1.2.2.2</v>
          </cell>
          <cell r="B22">
            <v>9960</v>
          </cell>
          <cell r="C22">
            <v>1</v>
          </cell>
        </row>
        <row r="23">
          <cell r="A23" t="str">
            <v>1.1.1.2.2.3</v>
          </cell>
          <cell r="B23">
            <v>2298</v>
          </cell>
          <cell r="C23">
            <v>0.02</v>
          </cell>
        </row>
        <row r="24">
          <cell r="A24" t="str">
            <v>1.1.1.2.2.4</v>
          </cell>
          <cell r="B24">
            <v>0</v>
          </cell>
          <cell r="C24">
            <v>0</v>
          </cell>
        </row>
        <row r="25">
          <cell r="A25" t="str">
            <v>1.1.1.2.2.5</v>
          </cell>
          <cell r="B25">
            <v>0</v>
          </cell>
          <cell r="C25">
            <v>0</v>
          </cell>
        </row>
        <row r="26">
          <cell r="A26" t="str">
            <v>1.1.1.2.2.6</v>
          </cell>
          <cell r="B26">
            <v>0</v>
          </cell>
          <cell r="C26">
            <v>0</v>
          </cell>
        </row>
        <row r="27">
          <cell r="A27" t="str">
            <v>1.1.1.2.3</v>
          </cell>
          <cell r="B27">
            <v>37740</v>
          </cell>
          <cell r="C27">
            <v>0.35</v>
          </cell>
        </row>
        <row r="28">
          <cell r="A28" t="str">
            <v>1.1.1.3</v>
          </cell>
          <cell r="B28">
            <v>446266.58</v>
          </cell>
        </row>
        <row r="29">
          <cell r="A29" t="str">
            <v>1.1.1.3.1</v>
          </cell>
          <cell r="B29">
            <v>91568.9</v>
          </cell>
          <cell r="C29">
            <v>0</v>
          </cell>
        </row>
        <row r="30">
          <cell r="A30" t="str">
            <v>1.1.1.3.1.1</v>
          </cell>
          <cell r="B30">
            <v>147400</v>
          </cell>
          <cell r="C30">
            <v>2</v>
          </cell>
        </row>
        <row r="31">
          <cell r="A31" t="str">
            <v>1.1.1.3.1.2</v>
          </cell>
          <cell r="B31">
            <v>-59852</v>
          </cell>
          <cell r="C31">
            <v>0</v>
          </cell>
        </row>
        <row r="32">
          <cell r="A32" t="str">
            <v>1.1.1.3.2</v>
          </cell>
          <cell r="B32">
            <v>1666.7</v>
          </cell>
          <cell r="C32">
            <v>0</v>
          </cell>
        </row>
        <row r="33">
          <cell r="A33" t="str">
            <v>1.1.1.3.3</v>
          </cell>
          <cell r="B33">
            <v>181372.7</v>
          </cell>
          <cell r="C33">
            <v>0</v>
          </cell>
        </row>
        <row r="34">
          <cell r="A34" t="str">
            <v>1.1.1.3.3.1</v>
          </cell>
          <cell r="B34">
            <v>257547.7</v>
          </cell>
          <cell r="C34">
            <v>2</v>
          </cell>
        </row>
        <row r="35">
          <cell r="A35" t="str">
            <v>1.1.1.3.3.2</v>
          </cell>
          <cell r="B35">
            <v>-76175</v>
          </cell>
          <cell r="C35">
            <v>0</v>
          </cell>
        </row>
        <row r="36">
          <cell r="A36" t="str">
            <v>1.1.1.3.4</v>
          </cell>
          <cell r="B36">
            <v>0</v>
          </cell>
          <cell r="C36">
            <v>0</v>
          </cell>
        </row>
        <row r="37">
          <cell r="A37" t="str">
            <v>1.1.1.3.5</v>
          </cell>
          <cell r="B37">
            <v>95657</v>
          </cell>
          <cell r="C37">
            <v>2</v>
          </cell>
        </row>
        <row r="38">
          <cell r="A38" t="str">
            <v>1.1.1.3.6</v>
          </cell>
          <cell r="B38">
            <v>11273.51</v>
          </cell>
          <cell r="C38">
            <v>0.05</v>
          </cell>
        </row>
        <row r="39">
          <cell r="A39" t="str">
            <v>1.1.1.3.7</v>
          </cell>
          <cell r="B39">
            <v>49971.1</v>
          </cell>
          <cell r="C39">
            <v>0.17</v>
          </cell>
        </row>
        <row r="40">
          <cell r="A40" t="str">
            <v>1.1.1.3.8</v>
          </cell>
          <cell r="B40">
            <v>175.2</v>
          </cell>
          <cell r="C40">
            <v>0</v>
          </cell>
        </row>
        <row r="41">
          <cell r="A41" t="str">
            <v>1.1.1.3.9</v>
          </cell>
          <cell r="B41">
            <v>14581.47</v>
          </cell>
          <cell r="C41">
            <v>0.369</v>
          </cell>
        </row>
        <row r="42">
          <cell r="A42" t="str">
            <v>1.1.1.3.10</v>
          </cell>
          <cell r="B42">
            <v>0</v>
          </cell>
          <cell r="C42">
            <v>0</v>
          </cell>
        </row>
        <row r="43">
          <cell r="A43" t="str">
            <v>1.1.1.3.11</v>
          </cell>
          <cell r="B43">
            <v>3403.6</v>
          </cell>
          <cell r="C43">
            <v>0.03</v>
          </cell>
        </row>
        <row r="44">
          <cell r="A44" t="str">
            <v>1.1.1.3.12</v>
          </cell>
          <cell r="B44">
            <v>617.3</v>
          </cell>
          <cell r="C44">
            <v>0.003</v>
          </cell>
        </row>
        <row r="45">
          <cell r="A45" t="str">
            <v>1.1.1.4</v>
          </cell>
          <cell r="B45">
            <v>22868.6</v>
          </cell>
          <cell r="C45">
            <v>0</v>
          </cell>
        </row>
        <row r="46">
          <cell r="A46" t="str">
            <v>1.1.1.4.1</v>
          </cell>
          <cell r="B46">
            <v>0</v>
          </cell>
          <cell r="C46">
            <v>0</v>
          </cell>
        </row>
        <row r="47">
          <cell r="A47" t="str">
            <v>1.1.1.4.2</v>
          </cell>
          <cell r="B47">
            <v>0</v>
          </cell>
          <cell r="C47">
            <v>0</v>
          </cell>
        </row>
        <row r="48">
          <cell r="A48" t="str">
            <v>1.1.1.4.3</v>
          </cell>
          <cell r="B48">
            <v>0</v>
          </cell>
          <cell r="C48">
            <v>0</v>
          </cell>
        </row>
        <row r="49">
          <cell r="A49" t="str">
            <v>1.1.1.4.4</v>
          </cell>
          <cell r="B49">
            <v>0</v>
          </cell>
          <cell r="C49">
            <v>0</v>
          </cell>
        </row>
        <row r="50">
          <cell r="A50" t="str">
            <v>1.1.1.4.5</v>
          </cell>
          <cell r="B50">
            <v>0</v>
          </cell>
          <cell r="C50">
            <v>0</v>
          </cell>
        </row>
        <row r="51">
          <cell r="A51" t="str">
            <v>1.1.1.4.6</v>
          </cell>
          <cell r="B51">
            <v>0</v>
          </cell>
          <cell r="C51">
            <v>0</v>
          </cell>
        </row>
        <row r="52">
          <cell r="A52" t="str">
            <v>1.1.1.4.7</v>
          </cell>
          <cell r="B52">
            <v>22868.6</v>
          </cell>
          <cell r="C52">
            <v>0</v>
          </cell>
        </row>
        <row r="53">
          <cell r="A53" t="str">
            <v>1.1.1.4.8</v>
          </cell>
          <cell r="B53">
            <v>0</v>
          </cell>
          <cell r="C53">
            <v>0</v>
          </cell>
        </row>
        <row r="54">
          <cell r="A54" t="str">
            <v>1.1.1.5</v>
          </cell>
          <cell r="B54">
            <v>61793.61</v>
          </cell>
          <cell r="C54">
            <v>0</v>
          </cell>
        </row>
        <row r="55">
          <cell r="A55" t="str">
            <v>1.1.1.5.1</v>
          </cell>
          <cell r="B55">
            <v>10659.35</v>
          </cell>
          <cell r="C55">
            <v>0.07</v>
          </cell>
        </row>
        <row r="56">
          <cell r="A56" t="str">
            <v>1.1.1.5.2</v>
          </cell>
          <cell r="B56">
            <v>38924.2</v>
          </cell>
          <cell r="C56">
            <v>0.1472</v>
          </cell>
        </row>
        <row r="57">
          <cell r="A57" t="str">
            <v>1.1.1.5.3</v>
          </cell>
          <cell r="B57">
            <v>11490</v>
          </cell>
          <cell r="C57">
            <v>0.2</v>
          </cell>
        </row>
        <row r="58">
          <cell r="A58" t="str">
            <v>1.1.1.5.4</v>
          </cell>
          <cell r="B58">
            <v>0</v>
          </cell>
          <cell r="C58">
            <v>0</v>
          </cell>
        </row>
        <row r="59">
          <cell r="A59" t="str">
            <v>1.1.1.5.5</v>
          </cell>
          <cell r="B59">
            <v>0</v>
          </cell>
          <cell r="C59">
            <v>0</v>
          </cell>
        </row>
        <row r="60">
          <cell r="A60" t="str">
            <v>1.1.1.5.6</v>
          </cell>
          <cell r="B60">
            <v>0</v>
          </cell>
          <cell r="C60">
            <v>0</v>
          </cell>
        </row>
        <row r="61">
          <cell r="A61" t="str">
            <v>1.1.1.5.7</v>
          </cell>
          <cell r="B61">
            <v>720.06</v>
          </cell>
          <cell r="C61">
            <v>0.011</v>
          </cell>
        </row>
        <row r="62">
          <cell r="A62" t="str">
            <v>1.1.1.5.8</v>
          </cell>
          <cell r="B62">
            <v>0</v>
          </cell>
          <cell r="C62">
            <v>0</v>
          </cell>
        </row>
        <row r="63">
          <cell r="A63" t="str">
            <v>1.1.1.5.9</v>
          </cell>
          <cell r="B63">
            <v>0</v>
          </cell>
          <cell r="C63">
            <v>0</v>
          </cell>
        </row>
        <row r="64">
          <cell r="A64" t="str">
            <v>1.1.1.6</v>
          </cell>
          <cell r="B64">
            <v>608.24</v>
          </cell>
          <cell r="C64">
            <v>0</v>
          </cell>
        </row>
        <row r="65">
          <cell r="A65" t="str">
            <v>1.1.1.6.1</v>
          </cell>
          <cell r="B65">
            <v>0</v>
          </cell>
          <cell r="C65">
            <v>0</v>
          </cell>
        </row>
        <row r="66">
          <cell r="A66" t="str">
            <v>1.1.1.6.2</v>
          </cell>
          <cell r="B66">
            <v>0</v>
          </cell>
          <cell r="C66">
            <v>0</v>
          </cell>
        </row>
        <row r="67">
          <cell r="A67" t="str">
            <v>1.1.1.6.3</v>
          </cell>
          <cell r="B67">
            <v>608.24</v>
          </cell>
          <cell r="C67">
            <v>0</v>
          </cell>
        </row>
        <row r="68">
          <cell r="A68" t="str">
            <v>1.1.1.6.4</v>
          </cell>
          <cell r="B68">
            <v>0</v>
          </cell>
          <cell r="C68">
            <v>0</v>
          </cell>
        </row>
        <row r="69">
          <cell r="A69" t="str">
            <v>1.1.1.6.5</v>
          </cell>
          <cell r="B69">
            <v>0</v>
          </cell>
          <cell r="C69">
            <v>0</v>
          </cell>
        </row>
        <row r="70">
          <cell r="A70" t="str">
            <v>1.1.1.7</v>
          </cell>
          <cell r="B70">
            <v>0</v>
          </cell>
          <cell r="C70">
            <v>0</v>
          </cell>
        </row>
        <row r="71">
          <cell r="A71" t="str">
            <v>1.1.1.7.1</v>
          </cell>
          <cell r="B71">
            <v>0</v>
          </cell>
          <cell r="C71">
            <v>0</v>
          </cell>
        </row>
        <row r="72">
          <cell r="A72" t="str">
            <v>1.1.1.7.2</v>
          </cell>
          <cell r="B72">
            <v>0</v>
          </cell>
          <cell r="C72">
            <v>0</v>
          </cell>
        </row>
        <row r="73">
          <cell r="A73" t="str">
            <v>1.1.1.7.3</v>
          </cell>
          <cell r="B73">
            <v>0</v>
          </cell>
          <cell r="C73">
            <v>0</v>
          </cell>
        </row>
        <row r="74">
          <cell r="A74" t="str">
            <v>1.1.2</v>
          </cell>
          <cell r="B74">
            <v>1109268.47</v>
          </cell>
          <cell r="C74">
            <v>0</v>
          </cell>
        </row>
        <row r="75">
          <cell r="A75" t="str">
            <v>1.1.2.1</v>
          </cell>
          <cell r="B75">
            <v>0</v>
          </cell>
          <cell r="C75">
            <v>0</v>
          </cell>
        </row>
        <row r="76">
          <cell r="A76" t="str">
            <v>1.1.2.2</v>
          </cell>
          <cell r="B76">
            <v>268792.55</v>
          </cell>
          <cell r="C76">
            <v>0</v>
          </cell>
        </row>
        <row r="77">
          <cell r="A77" t="str">
            <v>1.1.2.2.1</v>
          </cell>
          <cell r="B77">
            <v>0</v>
          </cell>
          <cell r="C77">
            <v>0</v>
          </cell>
        </row>
        <row r="78">
          <cell r="A78" t="str">
            <v>1.1.2.2.2</v>
          </cell>
          <cell r="B78">
            <v>0</v>
          </cell>
          <cell r="C78">
            <v>0</v>
          </cell>
        </row>
        <row r="79">
          <cell r="A79" t="str">
            <v>1.1.2.2.3</v>
          </cell>
          <cell r="B79">
            <v>0</v>
          </cell>
          <cell r="C79">
            <v>0</v>
          </cell>
        </row>
        <row r="80">
          <cell r="A80" t="str">
            <v>1.1.2.2.4</v>
          </cell>
          <cell r="B80">
            <v>0</v>
          </cell>
          <cell r="C80">
            <v>0</v>
          </cell>
        </row>
        <row r="81">
          <cell r="A81" t="str">
            <v>1.1.2.2.5</v>
          </cell>
          <cell r="B81">
            <v>936</v>
          </cell>
          <cell r="C81">
            <v>0.04</v>
          </cell>
        </row>
        <row r="82">
          <cell r="A82" t="str">
            <v>1.1.2.2.6</v>
          </cell>
          <cell r="B82">
            <v>11397.55</v>
          </cell>
          <cell r="C82">
            <v>0.24</v>
          </cell>
        </row>
        <row r="83">
          <cell r="A83" t="str">
            <v>1.1.2.2.7</v>
          </cell>
          <cell r="B83">
            <v>256459</v>
          </cell>
          <cell r="C83">
            <v>0</v>
          </cell>
        </row>
        <row r="84">
          <cell r="A84" t="str">
            <v>1.1.2.2.7.1</v>
          </cell>
          <cell r="B84">
            <v>1055</v>
          </cell>
          <cell r="C84">
            <v>0.014</v>
          </cell>
        </row>
        <row r="85">
          <cell r="A85" t="str">
            <v>1.1.2.2.7.2</v>
          </cell>
          <cell r="B85">
            <v>255404</v>
          </cell>
          <cell r="C85">
            <v>1</v>
          </cell>
        </row>
        <row r="86">
          <cell r="A86" t="str">
            <v>1.1.2.3</v>
          </cell>
          <cell r="B86">
            <v>58728.19</v>
          </cell>
          <cell r="C86">
            <v>0</v>
          </cell>
        </row>
        <row r="87">
          <cell r="A87" t="str">
            <v>1.1.2.3.1</v>
          </cell>
        </row>
        <row r="88">
          <cell r="A88" t="str">
            <v>1.1.2.3.2</v>
          </cell>
          <cell r="B88">
            <v>0</v>
          </cell>
          <cell r="C88">
            <v>0</v>
          </cell>
        </row>
        <row r="89">
          <cell r="A89" t="str">
            <v>1.1.2.3.3</v>
          </cell>
          <cell r="B89">
            <v>0</v>
          </cell>
          <cell r="C89">
            <v>0</v>
          </cell>
        </row>
        <row r="90">
          <cell r="A90" t="str">
            <v>1.1.2.3.4</v>
          </cell>
          <cell r="B90">
            <v>0</v>
          </cell>
          <cell r="C90">
            <v>0</v>
          </cell>
        </row>
        <row r="91">
          <cell r="A91" t="str">
            <v>1.1.2.3.5</v>
          </cell>
          <cell r="B91">
            <v>32325.19</v>
          </cell>
          <cell r="C91">
            <v>0.19</v>
          </cell>
        </row>
        <row r="92">
          <cell r="A92" t="str">
            <v>1.1.2.3.6</v>
          </cell>
          <cell r="B92">
            <v>26403</v>
          </cell>
          <cell r="C92">
            <v>1</v>
          </cell>
        </row>
        <row r="93">
          <cell r="A93" t="str">
            <v>1.1.2.3.7</v>
          </cell>
          <cell r="B93">
            <v>0</v>
          </cell>
          <cell r="C93">
            <v>0</v>
          </cell>
        </row>
        <row r="94">
          <cell r="A94" t="str">
            <v>1.1.2.4</v>
          </cell>
          <cell r="B94">
            <v>710961.37</v>
          </cell>
          <cell r="C94">
            <v>0</v>
          </cell>
        </row>
        <row r="95">
          <cell r="A95" t="str">
            <v>1.1.2.4.1</v>
          </cell>
          <cell r="B95">
            <v>710961.37</v>
          </cell>
          <cell r="C95">
            <v>0.18766</v>
          </cell>
        </row>
        <row r="96">
          <cell r="A96" t="str">
            <v>1.1.2.4.2</v>
          </cell>
          <cell r="B96">
            <v>0</v>
          </cell>
          <cell r="C96">
            <v>0</v>
          </cell>
        </row>
        <row r="97">
          <cell r="A97" t="str">
            <v>1.1.2.5</v>
          </cell>
          <cell r="B97">
            <v>70872.36</v>
          </cell>
          <cell r="C97">
            <v>0</v>
          </cell>
        </row>
        <row r="98">
          <cell r="A98" t="str">
            <v>1.1.2.5.1</v>
          </cell>
          <cell r="B98">
            <v>6196.6</v>
          </cell>
          <cell r="C98">
            <v>0</v>
          </cell>
        </row>
        <row r="99">
          <cell r="A99" t="str">
            <v>1.1.2.5.2</v>
          </cell>
          <cell r="B99">
            <v>24036.32</v>
          </cell>
          <cell r="C99">
            <v>0.1177</v>
          </cell>
        </row>
        <row r="100">
          <cell r="A100" t="str">
            <v>1.1.2.5.3</v>
          </cell>
          <cell r="B100">
            <v>27297.44</v>
          </cell>
          <cell r="C100">
            <v>0.4</v>
          </cell>
        </row>
        <row r="101">
          <cell r="A101" t="str">
            <v>1.1.2.5.4</v>
          </cell>
          <cell r="B101">
            <v>0</v>
          </cell>
          <cell r="C101">
            <v>0</v>
          </cell>
        </row>
        <row r="102">
          <cell r="A102" t="str">
            <v>1.1.2.5.5</v>
          </cell>
          <cell r="B102">
            <v>13342</v>
          </cell>
          <cell r="C102">
            <v>0.333</v>
          </cell>
        </row>
        <row r="103">
          <cell r="A103" t="str">
            <v>1.1.2.6</v>
          </cell>
          <cell r="B103">
            <v>0</v>
          </cell>
          <cell r="C103">
            <v>0</v>
          </cell>
        </row>
        <row r="104">
          <cell r="A104" t="str">
            <v>1.1.2.6.1</v>
          </cell>
          <cell r="B104">
            <v>0</v>
          </cell>
          <cell r="C104">
            <v>0</v>
          </cell>
        </row>
        <row r="105">
          <cell r="A105" t="str">
            <v>1.1.2.6.2</v>
          </cell>
          <cell r="B105">
            <v>0</v>
          </cell>
          <cell r="C105">
            <v>0</v>
          </cell>
        </row>
        <row r="106">
          <cell r="A106" t="str">
            <v>1.1.2.6.3</v>
          </cell>
          <cell r="B106">
            <v>0</v>
          </cell>
          <cell r="C106">
            <v>0</v>
          </cell>
        </row>
        <row r="107">
          <cell r="A107" t="str">
            <v>1.1.2.6.3.1</v>
          </cell>
          <cell r="B107">
            <v>0</v>
          </cell>
          <cell r="C107">
            <v>0</v>
          </cell>
        </row>
        <row r="108">
          <cell r="A108" t="str">
            <v>1.1.2.6.3.2</v>
          </cell>
          <cell r="B108">
            <v>0</v>
          </cell>
          <cell r="C108">
            <v>0</v>
          </cell>
        </row>
        <row r="109">
          <cell r="A109" t="str">
            <v>1.1.2.6.3.3</v>
          </cell>
          <cell r="B109">
            <v>0</v>
          </cell>
          <cell r="C109">
            <v>0</v>
          </cell>
        </row>
        <row r="110">
          <cell r="A110" t="str">
            <v>1.1.2.6.3.4</v>
          </cell>
          <cell r="B110">
            <v>0</v>
          </cell>
          <cell r="C110">
            <v>0</v>
          </cell>
        </row>
        <row r="111">
          <cell r="A111" t="str">
            <v>1.1.2.6.3.5</v>
          </cell>
          <cell r="B111">
            <v>0</v>
          </cell>
          <cell r="C111">
            <v>0</v>
          </cell>
        </row>
        <row r="112">
          <cell r="A112" t="str">
            <v>1.1.2.6.3.6</v>
          </cell>
          <cell r="B112">
            <v>0</v>
          </cell>
          <cell r="C112">
            <v>0</v>
          </cell>
        </row>
        <row r="113">
          <cell r="A113" t="str">
            <v>1.1.2.6.4</v>
          </cell>
          <cell r="B113">
            <v>0</v>
          </cell>
          <cell r="C113">
            <v>0</v>
          </cell>
        </row>
        <row r="114">
          <cell r="A114" t="str">
            <v>1.1.2.6.5</v>
          </cell>
          <cell r="B114">
            <v>0</v>
          </cell>
          <cell r="C114">
            <v>0</v>
          </cell>
        </row>
        <row r="115">
          <cell r="A115" t="str">
            <v>1.1.2.6.6</v>
          </cell>
          <cell r="B115">
            <v>0</v>
          </cell>
          <cell r="C115">
            <v>0</v>
          </cell>
        </row>
        <row r="116">
          <cell r="A116" t="str">
            <v>1.1.2.6.7</v>
          </cell>
          <cell r="B116">
            <v>0</v>
          </cell>
          <cell r="C116">
            <v>0</v>
          </cell>
        </row>
        <row r="117">
          <cell r="A117" t="str">
            <v>1.1.2.6.8</v>
          </cell>
          <cell r="B117">
            <v>0</v>
          </cell>
          <cell r="C117">
            <v>0</v>
          </cell>
        </row>
        <row r="118">
          <cell r="A118" t="str">
            <v>1.1.2.6.9</v>
          </cell>
          <cell r="B118">
            <v>0</v>
          </cell>
          <cell r="C118">
            <v>0</v>
          </cell>
        </row>
        <row r="119">
          <cell r="A119" t="str">
            <v>1.1.2.7</v>
          </cell>
          <cell r="B119">
            <v>0</v>
          </cell>
          <cell r="C119">
            <v>0</v>
          </cell>
        </row>
        <row r="120">
          <cell r="A120" t="str">
            <v>1.1.2.7.1</v>
          </cell>
          <cell r="B120">
            <v>0</v>
          </cell>
          <cell r="C120">
            <v>0</v>
          </cell>
        </row>
        <row r="121">
          <cell r="A121" t="str">
            <v>1.1.2.7.2</v>
          </cell>
          <cell r="B121">
            <v>0</v>
          </cell>
          <cell r="C121">
            <v>0</v>
          </cell>
        </row>
        <row r="122">
          <cell r="A122" t="str">
            <v>1.1.2.7.3</v>
          </cell>
          <cell r="B122">
            <v>0</v>
          </cell>
          <cell r="C122">
            <v>0</v>
          </cell>
        </row>
        <row r="123">
          <cell r="A123" t="str">
            <v>1.1.2.7.4</v>
          </cell>
          <cell r="B123">
            <v>0</v>
          </cell>
          <cell r="C123">
            <v>0</v>
          </cell>
        </row>
        <row r="124">
          <cell r="A124" t="str">
            <v>1.1.2.8</v>
          </cell>
          <cell r="B124">
            <v>0</v>
          </cell>
          <cell r="C124">
            <v>0</v>
          </cell>
        </row>
        <row r="125">
          <cell r="A125" t="str">
            <v>1.1.2.8.1</v>
          </cell>
          <cell r="B125">
            <v>0</v>
          </cell>
          <cell r="C125">
            <v>0</v>
          </cell>
        </row>
        <row r="126">
          <cell r="A126" t="str">
            <v>1.1.2.8.2</v>
          </cell>
          <cell r="B126">
            <v>0</v>
          </cell>
          <cell r="C126">
            <v>0</v>
          </cell>
        </row>
        <row r="127">
          <cell r="A127" t="str">
            <v>1.1.2.8.3</v>
          </cell>
          <cell r="B127">
            <v>0</v>
          </cell>
          <cell r="C127">
            <v>0</v>
          </cell>
        </row>
        <row r="128">
          <cell r="A128" t="str">
            <v>1.1.3</v>
          </cell>
          <cell r="B128">
            <v>31562.11</v>
          </cell>
          <cell r="C128">
            <v>0</v>
          </cell>
        </row>
        <row r="129">
          <cell r="A129" t="str">
            <v>1.1.3.1</v>
          </cell>
          <cell r="B129">
            <v>0</v>
          </cell>
          <cell r="C129">
            <v>0</v>
          </cell>
        </row>
        <row r="130">
          <cell r="A130" t="str">
            <v>1.1.3.1.1</v>
          </cell>
          <cell r="B130">
            <v>0</v>
          </cell>
          <cell r="C130">
            <v>0</v>
          </cell>
        </row>
        <row r="131">
          <cell r="A131" t="str">
            <v>1.1.3.1.2</v>
          </cell>
          <cell r="B131">
            <v>0</v>
          </cell>
          <cell r="C131">
            <v>0</v>
          </cell>
        </row>
        <row r="132">
          <cell r="A132" t="str">
            <v>1.1.3.2</v>
          </cell>
          <cell r="B132">
            <v>-186.66</v>
          </cell>
          <cell r="C132">
            <v>0</v>
          </cell>
        </row>
        <row r="133">
          <cell r="A133" t="str">
            <v>1.1.3.2.1</v>
          </cell>
          <cell r="B133">
            <v>0</v>
          </cell>
          <cell r="C133">
            <v>0</v>
          </cell>
        </row>
        <row r="134">
          <cell r="A134" t="str">
            <v>1.1.3.2.2</v>
          </cell>
          <cell r="B134">
            <v>0</v>
          </cell>
          <cell r="C134">
            <v>0</v>
          </cell>
        </row>
        <row r="135">
          <cell r="A135" t="str">
            <v>1.1.3.2.3</v>
          </cell>
          <cell r="B135">
            <v>-186.66</v>
          </cell>
          <cell r="C135">
            <v>0</v>
          </cell>
        </row>
        <row r="136">
          <cell r="A136" t="str">
            <v>1.1.3.2.4</v>
          </cell>
          <cell r="B136">
            <v>0</v>
          </cell>
          <cell r="C136">
            <v>0</v>
          </cell>
        </row>
        <row r="137">
          <cell r="A137" t="str">
            <v>1.1.3.2.5</v>
          </cell>
          <cell r="B137">
            <v>0</v>
          </cell>
          <cell r="C137">
            <v>0</v>
          </cell>
        </row>
        <row r="138">
          <cell r="A138" t="str">
            <v>1.1.3.3</v>
          </cell>
          <cell r="B138">
            <v>0</v>
          </cell>
          <cell r="C138">
            <v>0</v>
          </cell>
        </row>
        <row r="139">
          <cell r="A139" t="str">
            <v>1.1.3.3.1</v>
          </cell>
          <cell r="B139">
            <v>0</v>
          </cell>
          <cell r="C139">
            <v>0</v>
          </cell>
        </row>
        <row r="140">
          <cell r="A140" t="str">
            <v>1.1.3.3.2</v>
          </cell>
          <cell r="B140">
            <v>0</v>
          </cell>
          <cell r="C140">
            <v>0</v>
          </cell>
        </row>
        <row r="141">
          <cell r="A141" t="str">
            <v>1.1.3.3.3</v>
          </cell>
          <cell r="B141">
            <v>0</v>
          </cell>
          <cell r="C141">
            <v>0</v>
          </cell>
        </row>
        <row r="142">
          <cell r="A142" t="str">
            <v>1.1.3.4</v>
          </cell>
          <cell r="B142">
            <v>22949.03</v>
          </cell>
          <cell r="C142">
            <v>0</v>
          </cell>
        </row>
        <row r="143">
          <cell r="A143" t="str">
            <v>1.1.3.4.1</v>
          </cell>
          <cell r="B143">
            <v>0</v>
          </cell>
          <cell r="C143">
            <v>0</v>
          </cell>
        </row>
        <row r="144">
          <cell r="A144" t="str">
            <v>1.1.3.4.2</v>
          </cell>
          <cell r="B144">
            <v>0</v>
          </cell>
          <cell r="C144">
            <v>0</v>
          </cell>
        </row>
        <row r="145">
          <cell r="A145" t="str">
            <v>1.1.3.4.3</v>
          </cell>
          <cell r="B145">
            <v>21031.9</v>
          </cell>
          <cell r="C145">
            <v>0</v>
          </cell>
        </row>
        <row r="146">
          <cell r="A146" t="str">
            <v>1.1.3.4.4</v>
          </cell>
          <cell r="B146">
            <v>1467.13</v>
          </cell>
          <cell r="C146">
            <v>0.6999</v>
          </cell>
        </row>
        <row r="147">
          <cell r="A147" t="str">
            <v>1.1.3.4.5</v>
          </cell>
          <cell r="B147">
            <v>0</v>
          </cell>
          <cell r="C147">
            <v>0</v>
          </cell>
        </row>
        <row r="148">
          <cell r="A148" t="str">
            <v>1.1.3.4.6</v>
          </cell>
          <cell r="B148">
            <v>0</v>
          </cell>
          <cell r="C148">
            <v>0</v>
          </cell>
        </row>
        <row r="149">
          <cell r="A149" t="str">
            <v>1.1.3.4.7</v>
          </cell>
          <cell r="B149">
            <v>0</v>
          </cell>
          <cell r="C149">
            <v>0</v>
          </cell>
        </row>
        <row r="150">
          <cell r="A150" t="str">
            <v>1.1.3.4.8</v>
          </cell>
          <cell r="B150">
            <v>450</v>
          </cell>
          <cell r="C150">
            <v>0</v>
          </cell>
        </row>
        <row r="151">
          <cell r="A151" t="str">
            <v>1.1.3.4.9</v>
          </cell>
          <cell r="B151">
            <v>0</v>
          </cell>
          <cell r="C151">
            <v>0</v>
          </cell>
        </row>
        <row r="152">
          <cell r="A152" t="str">
            <v>1.1.3.5</v>
          </cell>
          <cell r="B152">
            <v>5007.74</v>
          </cell>
          <cell r="C152">
            <v>0</v>
          </cell>
        </row>
        <row r="153">
          <cell r="A153" t="str">
            <v>1.1.3.5.1</v>
          </cell>
          <cell r="B153">
            <v>775.5</v>
          </cell>
          <cell r="C153">
            <v>0.1</v>
          </cell>
        </row>
        <row r="154">
          <cell r="A154" t="str">
            <v>1.1.3.5.2</v>
          </cell>
          <cell r="B154">
            <v>0</v>
          </cell>
          <cell r="C154">
            <v>0</v>
          </cell>
        </row>
        <row r="155">
          <cell r="A155" t="str">
            <v>1.1.3.5.3</v>
          </cell>
          <cell r="B155">
            <v>0</v>
          </cell>
          <cell r="C155">
            <v>0</v>
          </cell>
        </row>
        <row r="156">
          <cell r="A156" t="str">
            <v>1.1.3.5.4</v>
          </cell>
          <cell r="B156">
            <v>3220.79</v>
          </cell>
          <cell r="C156">
            <v>0</v>
          </cell>
        </row>
        <row r="157">
          <cell r="A157" t="str">
            <v>1.1.3.5.5</v>
          </cell>
          <cell r="B157">
            <v>0</v>
          </cell>
          <cell r="C157">
            <v>0</v>
          </cell>
        </row>
        <row r="158">
          <cell r="A158" t="str">
            <v>1.1.3.5.6</v>
          </cell>
          <cell r="B158">
            <v>0</v>
          </cell>
          <cell r="C158">
            <v>0</v>
          </cell>
        </row>
        <row r="159">
          <cell r="A159" t="str">
            <v>1.1.3.5.7</v>
          </cell>
          <cell r="B159">
            <v>0</v>
          </cell>
          <cell r="C159">
            <v>0</v>
          </cell>
        </row>
        <row r="160">
          <cell r="A160" t="str">
            <v>1.1.3.5.8</v>
          </cell>
          <cell r="B160">
            <v>0</v>
          </cell>
          <cell r="C160">
            <v>0</v>
          </cell>
        </row>
        <row r="161">
          <cell r="A161" t="str">
            <v>1.1.3.5.9</v>
          </cell>
          <cell r="B161">
            <v>0</v>
          </cell>
          <cell r="C161">
            <v>0</v>
          </cell>
        </row>
        <row r="162">
          <cell r="A162" t="str">
            <v>1.1.3.5.10</v>
          </cell>
          <cell r="B162">
            <v>1011.45</v>
          </cell>
          <cell r="C162">
            <v>0.1</v>
          </cell>
        </row>
        <row r="163">
          <cell r="A163" t="str">
            <v>1.1.3.5.11</v>
          </cell>
          <cell r="B163">
            <v>0</v>
          </cell>
          <cell r="C163">
            <v>0</v>
          </cell>
        </row>
        <row r="164">
          <cell r="A164" t="str">
            <v>1.1.3.5.12</v>
          </cell>
          <cell r="B164">
            <v>0</v>
          </cell>
          <cell r="C164">
            <v>0</v>
          </cell>
        </row>
        <row r="165">
          <cell r="A165" t="str">
            <v>1.1.3.6</v>
          </cell>
          <cell r="B165">
            <v>3750</v>
          </cell>
          <cell r="C165">
            <v>0</v>
          </cell>
        </row>
        <row r="166">
          <cell r="A166" t="str">
            <v>1.1.3.6.1</v>
          </cell>
          <cell r="B166">
            <v>1350</v>
          </cell>
          <cell r="C166">
            <v>0.02</v>
          </cell>
        </row>
        <row r="167">
          <cell r="A167" t="str">
            <v>1.1.3.6.2</v>
          </cell>
          <cell r="B167">
            <v>0</v>
          </cell>
          <cell r="C167">
            <v>0</v>
          </cell>
        </row>
        <row r="168">
          <cell r="A168" t="str">
            <v>1.1.3.6.3</v>
          </cell>
          <cell r="B168">
            <v>2400</v>
          </cell>
          <cell r="C168">
            <v>0.376</v>
          </cell>
        </row>
        <row r="169">
          <cell r="A169" t="str">
            <v>1.1.3.7</v>
          </cell>
          <cell r="B169">
            <v>0</v>
          </cell>
          <cell r="C169">
            <v>0</v>
          </cell>
        </row>
        <row r="170">
          <cell r="A170" t="str">
            <v>1.1.3.8</v>
          </cell>
          <cell r="B170">
            <v>42</v>
          </cell>
          <cell r="C170">
            <v>0</v>
          </cell>
        </row>
        <row r="171">
          <cell r="A171" t="str">
            <v>1.1.3.8.1</v>
          </cell>
          <cell r="B171">
            <v>0</v>
          </cell>
          <cell r="C171">
            <v>0</v>
          </cell>
        </row>
        <row r="172">
          <cell r="A172" t="str">
            <v>1.1.3.8.2</v>
          </cell>
          <cell r="B172">
            <v>42</v>
          </cell>
          <cell r="C172">
            <v>0</v>
          </cell>
        </row>
        <row r="173">
          <cell r="A173" t="str">
            <v>1.1.3.8.3</v>
          </cell>
          <cell r="B173">
            <v>0</v>
          </cell>
          <cell r="C173">
            <v>0</v>
          </cell>
        </row>
        <row r="174">
          <cell r="A174" t="str">
            <v>1.1.3.8.4</v>
          </cell>
          <cell r="B174">
            <v>0</v>
          </cell>
          <cell r="C174">
            <v>0</v>
          </cell>
        </row>
        <row r="175">
          <cell r="A175" t="str">
            <v>1.1.3.8.5</v>
          </cell>
          <cell r="B175">
            <v>0</v>
          </cell>
          <cell r="C175">
            <v>0</v>
          </cell>
        </row>
        <row r="176">
          <cell r="A176" t="str">
            <v>1.1.3.9</v>
          </cell>
          <cell r="B176">
            <v>0</v>
          </cell>
          <cell r="C176">
            <v>0</v>
          </cell>
        </row>
        <row r="177">
          <cell r="A177" t="str">
            <v>1.1.3.9.1</v>
          </cell>
          <cell r="B177">
            <v>0</v>
          </cell>
          <cell r="C177">
            <v>0</v>
          </cell>
        </row>
        <row r="178">
          <cell r="A178" t="str">
            <v>1.1.3.9.2</v>
          </cell>
          <cell r="B178">
            <v>0</v>
          </cell>
          <cell r="C178">
            <v>0</v>
          </cell>
        </row>
        <row r="179">
          <cell r="A179" t="str">
            <v>1.1.3.9.3</v>
          </cell>
          <cell r="B179">
            <v>0</v>
          </cell>
          <cell r="C179">
            <v>0</v>
          </cell>
        </row>
        <row r="180">
          <cell r="A180" t="str">
            <v>1.1.4</v>
          </cell>
          <cell r="B180">
            <v>221501.14</v>
          </cell>
          <cell r="C180">
            <v>0</v>
          </cell>
        </row>
        <row r="181">
          <cell r="A181" t="str">
            <v>1.1.4.1</v>
          </cell>
          <cell r="B181">
            <v>0</v>
          </cell>
          <cell r="C181">
            <v>0</v>
          </cell>
        </row>
        <row r="182">
          <cell r="A182" t="str">
            <v>1.1.4.1.1</v>
          </cell>
          <cell r="B182">
            <v>0</v>
          </cell>
          <cell r="C182">
            <v>0</v>
          </cell>
        </row>
        <row r="183">
          <cell r="A183" t="str">
            <v>1.1.4.2</v>
          </cell>
          <cell r="B183">
            <v>17058.35</v>
          </cell>
          <cell r="C183">
            <v>0</v>
          </cell>
        </row>
        <row r="184">
          <cell r="A184" t="str">
            <v>1.1.4.2.1</v>
          </cell>
          <cell r="B184">
            <v>0</v>
          </cell>
          <cell r="C184">
            <v>0</v>
          </cell>
        </row>
        <row r="185">
          <cell r="A185" t="str">
            <v>1.1.4.2.2</v>
          </cell>
          <cell r="B185">
            <v>7569.35</v>
          </cell>
          <cell r="C185">
            <v>0.2001</v>
          </cell>
        </row>
        <row r="186">
          <cell r="A186" t="str">
            <v>1.1.4.2.3</v>
          </cell>
          <cell r="B186">
            <v>5375</v>
          </cell>
          <cell r="C186">
            <v>1</v>
          </cell>
        </row>
        <row r="187">
          <cell r="A187" t="str">
            <v>1.1.4.2.4</v>
          </cell>
          <cell r="B187">
            <v>0</v>
          </cell>
          <cell r="C187">
            <v>0</v>
          </cell>
        </row>
        <row r="188">
          <cell r="A188" t="str">
            <v>1.1.4.2.5</v>
          </cell>
          <cell r="B188">
            <v>0</v>
          </cell>
          <cell r="C188">
            <v>0</v>
          </cell>
        </row>
        <row r="189">
          <cell r="A189" t="str">
            <v>1.1.4.3</v>
          </cell>
          <cell r="B189">
            <v>0</v>
          </cell>
          <cell r="C189">
            <v>0</v>
          </cell>
        </row>
        <row r="190">
          <cell r="A190" t="str">
            <v>1.1.4.3.1</v>
          </cell>
          <cell r="B190">
            <v>0</v>
          </cell>
          <cell r="C190">
            <v>0</v>
          </cell>
        </row>
        <row r="191">
          <cell r="A191" t="str">
            <v>1.1.4.3.2</v>
          </cell>
          <cell r="B191">
            <v>0</v>
          </cell>
          <cell r="C191">
            <v>0</v>
          </cell>
        </row>
        <row r="192">
          <cell r="A192" t="str">
            <v>1.1.4.3.3</v>
          </cell>
          <cell r="B192">
            <v>0</v>
          </cell>
          <cell r="C192">
            <v>0</v>
          </cell>
        </row>
        <row r="193">
          <cell r="A193" t="str">
            <v>1.1.4.4</v>
          </cell>
          <cell r="B193">
            <v>28757.79</v>
          </cell>
          <cell r="C193">
            <v>0</v>
          </cell>
        </row>
        <row r="194">
          <cell r="A194" t="str">
            <v>1.1.4.4.1</v>
          </cell>
          <cell r="B194">
            <v>14042.79</v>
          </cell>
          <cell r="C194">
            <v>1</v>
          </cell>
        </row>
        <row r="195">
          <cell r="A195" t="str">
            <v>1.1.4.4.2</v>
          </cell>
          <cell r="B195">
            <v>0</v>
          </cell>
          <cell r="C195">
            <v>0</v>
          </cell>
        </row>
        <row r="196">
          <cell r="A196" t="str">
            <v>1.1.4.4.3</v>
          </cell>
          <cell r="B196">
            <v>0</v>
          </cell>
          <cell r="C196">
            <v>0</v>
          </cell>
        </row>
        <row r="197">
          <cell r="A197" t="str">
            <v>1.1.4.4.4</v>
          </cell>
          <cell r="B197">
            <v>14715</v>
          </cell>
          <cell r="C197">
            <v>0.943</v>
          </cell>
        </row>
        <row r="198">
          <cell r="A198" t="str">
            <v>1.1.4.4.5</v>
          </cell>
          <cell r="B198">
            <v>0</v>
          </cell>
          <cell r="C198">
            <v>0</v>
          </cell>
        </row>
        <row r="199">
          <cell r="A199" t="str">
            <v>1.1.4.4.6</v>
          </cell>
          <cell r="B199">
            <v>0</v>
          </cell>
          <cell r="C199">
            <v>0</v>
          </cell>
        </row>
        <row r="200">
          <cell r="A200" t="str">
            <v>1.1.4.5</v>
          </cell>
          <cell r="B200">
            <v>0</v>
          </cell>
          <cell r="C200">
            <v>0</v>
          </cell>
        </row>
        <row r="201">
          <cell r="A201" t="str">
            <v>1.1.4.5.1</v>
          </cell>
          <cell r="B201">
            <v>0</v>
          </cell>
          <cell r="C201">
            <v>0</v>
          </cell>
        </row>
        <row r="202">
          <cell r="A202" t="str">
            <v>1.1.4.5.2</v>
          </cell>
          <cell r="B202">
            <v>0</v>
          </cell>
          <cell r="C202">
            <v>0</v>
          </cell>
        </row>
        <row r="203">
          <cell r="A203" t="str">
            <v>1.1.4.5.3</v>
          </cell>
          <cell r="B203">
            <v>0</v>
          </cell>
          <cell r="C203">
            <v>0</v>
          </cell>
        </row>
        <row r="204">
          <cell r="A204" t="str">
            <v>1.1.4.5.4</v>
          </cell>
          <cell r="B204">
            <v>0</v>
          </cell>
          <cell r="C204">
            <v>0</v>
          </cell>
        </row>
        <row r="205">
          <cell r="A205" t="str">
            <v>1.1.4.5.5</v>
          </cell>
          <cell r="B205">
            <v>0</v>
          </cell>
          <cell r="C205">
            <v>0</v>
          </cell>
        </row>
        <row r="206">
          <cell r="A206" t="str">
            <v>1.1.4.5.6</v>
          </cell>
          <cell r="B206">
            <v>0</v>
          </cell>
          <cell r="C206">
            <v>0</v>
          </cell>
        </row>
        <row r="207">
          <cell r="A207" t="str">
            <v>1.1.4.6</v>
          </cell>
          <cell r="B207">
            <v>175685</v>
          </cell>
          <cell r="C207">
            <v>0</v>
          </cell>
        </row>
        <row r="208">
          <cell r="A208" t="str">
            <v>1.1.4.6.1</v>
          </cell>
          <cell r="B208">
            <v>162020</v>
          </cell>
          <cell r="C208">
            <v>1.002</v>
          </cell>
        </row>
        <row r="209">
          <cell r="A209" t="str">
            <v>1.1.4.6.2</v>
          </cell>
          <cell r="B209">
            <v>13665</v>
          </cell>
          <cell r="C209">
            <v>0.712</v>
          </cell>
        </row>
        <row r="210">
          <cell r="A210" t="str">
            <v>1.1.4.7</v>
          </cell>
          <cell r="B210">
            <v>0</v>
          </cell>
          <cell r="C210">
            <v>0</v>
          </cell>
        </row>
        <row r="211">
          <cell r="A211" t="str">
            <v>1.1.4.8</v>
          </cell>
          <cell r="B211">
            <v>0</v>
          </cell>
          <cell r="C211">
            <v>0</v>
          </cell>
        </row>
        <row r="212">
          <cell r="A212" t="str">
            <v>1.1.4.8.1</v>
          </cell>
          <cell r="B212">
            <v>0</v>
          </cell>
          <cell r="C212">
            <v>0</v>
          </cell>
        </row>
        <row r="213">
          <cell r="A213" t="str">
            <v>1.1.4.8.2</v>
          </cell>
          <cell r="B213">
            <v>0</v>
          </cell>
          <cell r="C213">
            <v>0</v>
          </cell>
        </row>
        <row r="214">
          <cell r="A214" t="str">
            <v>1.1.4.8.3</v>
          </cell>
          <cell r="B214">
            <v>0</v>
          </cell>
          <cell r="C214">
            <v>0</v>
          </cell>
        </row>
        <row r="215">
          <cell r="A215" t="str">
            <v>1.1.4.8.4</v>
          </cell>
          <cell r="B215">
            <v>0</v>
          </cell>
          <cell r="C215">
            <v>0</v>
          </cell>
        </row>
        <row r="216">
          <cell r="A216" t="str">
            <v>1.1.4.8.5</v>
          </cell>
          <cell r="B216">
            <v>0</v>
          </cell>
          <cell r="C216">
            <v>0</v>
          </cell>
        </row>
        <row r="217">
          <cell r="A217" t="str">
            <v>1.1.4.9</v>
          </cell>
          <cell r="B217">
            <v>0</v>
          </cell>
          <cell r="C217">
            <v>0</v>
          </cell>
        </row>
        <row r="218">
          <cell r="A218" t="str">
            <v>1.1.4.9.1</v>
          </cell>
          <cell r="B218">
            <v>0</v>
          </cell>
          <cell r="C218">
            <v>0</v>
          </cell>
        </row>
        <row r="219">
          <cell r="A219" t="str">
            <v>1.1.4.9.2</v>
          </cell>
          <cell r="B219">
            <v>0</v>
          </cell>
          <cell r="C219">
            <v>0</v>
          </cell>
        </row>
        <row r="220">
          <cell r="A220" t="str">
            <v>1.1.4.9.3</v>
          </cell>
          <cell r="B220">
            <v>0</v>
          </cell>
          <cell r="C220">
            <v>0</v>
          </cell>
        </row>
        <row r="221">
          <cell r="A221" t="str">
            <v>1.1.4.9.4</v>
          </cell>
          <cell r="B221">
            <v>0</v>
          </cell>
          <cell r="C221">
            <v>0</v>
          </cell>
        </row>
        <row r="222">
          <cell r="A222" t="str">
            <v>1.1.4.9.5</v>
          </cell>
          <cell r="B222">
            <v>0</v>
          </cell>
          <cell r="C222">
            <v>0</v>
          </cell>
        </row>
        <row r="223">
          <cell r="A223" t="str">
            <v>1.1.5</v>
          </cell>
          <cell r="B223">
            <v>1183707.3</v>
          </cell>
          <cell r="C223">
            <v>0</v>
          </cell>
        </row>
        <row r="224">
          <cell r="A224" t="str">
            <v>1.1.5.1</v>
          </cell>
          <cell r="B224">
            <v>0</v>
          </cell>
          <cell r="C224">
            <v>0</v>
          </cell>
        </row>
        <row r="225">
          <cell r="A225" t="str">
            <v>1.1.5.2</v>
          </cell>
          <cell r="B225">
            <v>468184</v>
          </cell>
          <cell r="C225">
            <v>0</v>
          </cell>
        </row>
        <row r="226">
          <cell r="A226" t="str">
            <v>1.1.5.2.1</v>
          </cell>
          <cell r="B226">
            <v>-3003</v>
          </cell>
          <cell r="C226">
            <v>0</v>
          </cell>
        </row>
        <row r="227">
          <cell r="A227" t="str">
            <v>1.1.5.2.1.1</v>
          </cell>
          <cell r="B227">
            <v>-3003</v>
          </cell>
          <cell r="C227">
            <v>0</v>
          </cell>
        </row>
        <row r="228">
          <cell r="A228" t="str">
            <v>1.1.5.2.1.2</v>
          </cell>
          <cell r="B228">
            <v>0</v>
          </cell>
          <cell r="C228">
            <v>0</v>
          </cell>
        </row>
        <row r="229">
          <cell r="A229" t="str">
            <v>1.1.5.2.1.3</v>
          </cell>
          <cell r="B229">
            <v>0</v>
          </cell>
          <cell r="C229">
            <v>0</v>
          </cell>
        </row>
        <row r="230">
          <cell r="A230" t="str">
            <v>1.1.5.2.1.4</v>
          </cell>
          <cell r="B230">
            <v>0</v>
          </cell>
          <cell r="C230">
            <v>0</v>
          </cell>
        </row>
        <row r="231">
          <cell r="A231" t="str">
            <v>1.1.5.2.1.5</v>
          </cell>
          <cell r="B231">
            <v>0</v>
          </cell>
          <cell r="C231">
            <v>0</v>
          </cell>
        </row>
        <row r="232">
          <cell r="A232" t="str">
            <v>1.1.5.2.2</v>
          </cell>
          <cell r="B232">
            <v>0</v>
          </cell>
          <cell r="C232">
            <v>0</v>
          </cell>
        </row>
        <row r="233">
          <cell r="A233" t="str">
            <v>1.1.5.2.2.1</v>
          </cell>
          <cell r="B233">
            <v>0</v>
          </cell>
          <cell r="C233">
            <v>0</v>
          </cell>
        </row>
        <row r="234">
          <cell r="A234" t="str">
            <v>1.1.5.2.3</v>
          </cell>
          <cell r="B234">
            <v>471187</v>
          </cell>
          <cell r="C234">
            <v>0</v>
          </cell>
        </row>
        <row r="235">
          <cell r="A235" t="str">
            <v>1.1.5.2.3.1</v>
          </cell>
          <cell r="B235">
            <v>418456.7</v>
          </cell>
          <cell r="C235">
            <v>0.13</v>
          </cell>
        </row>
        <row r="236">
          <cell r="A236" t="str">
            <v>1.1.5.2.3.2</v>
          </cell>
          <cell r="B236">
            <v>0</v>
          </cell>
          <cell r="C236">
            <v>0</v>
          </cell>
        </row>
        <row r="237">
          <cell r="A237" t="str">
            <v>1.1.5.2.3.3</v>
          </cell>
          <cell r="B237">
            <v>812.5</v>
          </cell>
          <cell r="C237">
            <v>0</v>
          </cell>
        </row>
        <row r="238">
          <cell r="A238" t="str">
            <v>1.1.5.2.3.4</v>
          </cell>
          <cell r="B238">
            <v>49070</v>
          </cell>
          <cell r="C238">
            <v>1</v>
          </cell>
        </row>
        <row r="239">
          <cell r="A239" t="str">
            <v>1.1.5.2.3.5</v>
          </cell>
          <cell r="B239">
            <v>0</v>
          </cell>
          <cell r="C239">
            <v>0</v>
          </cell>
        </row>
        <row r="240">
          <cell r="A240" t="str">
            <v>1.1.5.2.3.6</v>
          </cell>
          <cell r="B240">
            <v>2847.8</v>
          </cell>
          <cell r="C240">
            <v>0</v>
          </cell>
        </row>
        <row r="241">
          <cell r="A241" t="str">
            <v>1.1.5.3</v>
          </cell>
          <cell r="B241">
            <v>715523.3</v>
          </cell>
          <cell r="C241">
            <v>0</v>
          </cell>
        </row>
        <row r="242">
          <cell r="A242" t="str">
            <v>1.1.5.3.1</v>
          </cell>
          <cell r="B242">
            <v>327800</v>
          </cell>
          <cell r="C242">
            <v>0</v>
          </cell>
        </row>
        <row r="243">
          <cell r="A243" t="str">
            <v>1.1.5.3.1.1</v>
          </cell>
          <cell r="B243">
            <v>0</v>
          </cell>
          <cell r="C243">
            <v>0</v>
          </cell>
        </row>
        <row r="244">
          <cell r="A244" t="str">
            <v>1.1.5.3.1.2</v>
          </cell>
          <cell r="B244">
            <v>96800</v>
          </cell>
          <cell r="C244">
            <v>0.67</v>
          </cell>
        </row>
        <row r="245">
          <cell r="A245" t="str">
            <v>1.1.5.3.1.3</v>
          </cell>
          <cell r="B245">
            <v>0</v>
          </cell>
          <cell r="C245">
            <v>0</v>
          </cell>
        </row>
        <row r="246">
          <cell r="A246" t="str">
            <v>1.1.5.3.1.4</v>
          </cell>
          <cell r="B246">
            <v>231000</v>
          </cell>
          <cell r="C246">
            <v>1</v>
          </cell>
        </row>
        <row r="247">
          <cell r="A247" t="str">
            <v>1.1.5.3.1.5</v>
          </cell>
          <cell r="B247">
            <v>0</v>
          </cell>
          <cell r="C247">
            <v>0</v>
          </cell>
        </row>
        <row r="248">
          <cell r="A248" t="str">
            <v>1.1.5.3.1.6</v>
          </cell>
          <cell r="B248">
            <v>0</v>
          </cell>
          <cell r="C248">
            <v>0</v>
          </cell>
        </row>
        <row r="249">
          <cell r="A249" t="str">
            <v>1.1.5.3.1.7</v>
          </cell>
          <cell r="B249">
            <v>0</v>
          </cell>
          <cell r="C249">
            <v>0</v>
          </cell>
        </row>
        <row r="250">
          <cell r="A250" t="str">
            <v>1.1.5.3.1.8</v>
          </cell>
          <cell r="B250">
            <v>0</v>
          </cell>
          <cell r="C250">
            <v>0</v>
          </cell>
        </row>
        <row r="251">
          <cell r="A251" t="str">
            <v>1.1.5.3.1.9</v>
          </cell>
          <cell r="B251">
            <v>0</v>
          </cell>
          <cell r="C251">
            <v>0</v>
          </cell>
        </row>
        <row r="252">
          <cell r="A252" t="str">
            <v>1.1.5.3.1.10</v>
          </cell>
          <cell r="B252">
            <v>0</v>
          </cell>
          <cell r="C252">
            <v>0</v>
          </cell>
        </row>
        <row r="253">
          <cell r="A253" t="str">
            <v>1.1.5.3.1.11</v>
          </cell>
          <cell r="B253">
            <v>0</v>
          </cell>
          <cell r="C253">
            <v>0</v>
          </cell>
        </row>
        <row r="254">
          <cell r="A254" t="str">
            <v>1.1.5.3.2</v>
          </cell>
          <cell r="B254">
            <v>89761</v>
          </cell>
          <cell r="C254">
            <v>0</v>
          </cell>
        </row>
        <row r="255">
          <cell r="A255" t="str">
            <v>1.1.5.3.2.1</v>
          </cell>
          <cell r="B255">
            <v>36011</v>
          </cell>
          <cell r="C255">
            <v>1</v>
          </cell>
        </row>
        <row r="256">
          <cell r="A256" t="str">
            <v>1.1.5.3.2.2</v>
          </cell>
          <cell r="B256">
            <v>0</v>
          </cell>
          <cell r="C256">
            <v>0</v>
          </cell>
        </row>
        <row r="257">
          <cell r="A257" t="str">
            <v>1.1.5.3.2.3</v>
          </cell>
          <cell r="B257">
            <v>0</v>
          </cell>
          <cell r="C257">
            <v>0</v>
          </cell>
        </row>
        <row r="258">
          <cell r="A258" t="str">
            <v>1.1.5.3.2.4</v>
          </cell>
          <cell r="B258">
            <v>53750</v>
          </cell>
          <cell r="C258">
            <v>1</v>
          </cell>
        </row>
        <row r="259">
          <cell r="A259" t="str">
            <v>1.1.5.3.3</v>
          </cell>
          <cell r="B259">
            <v>184330</v>
          </cell>
          <cell r="C259">
            <v>0</v>
          </cell>
        </row>
        <row r="260">
          <cell r="A260" t="str">
            <v>1.1.5.3.3.1</v>
          </cell>
          <cell r="B260">
            <v>0</v>
          </cell>
          <cell r="C260">
            <v>0</v>
          </cell>
        </row>
        <row r="261">
          <cell r="A261" t="str">
            <v>1.1.5.3.3.2</v>
          </cell>
          <cell r="B261">
            <v>154000</v>
          </cell>
          <cell r="C261">
            <v>1</v>
          </cell>
        </row>
        <row r="262">
          <cell r="A262" t="str">
            <v>1.1.5.3.3.3</v>
          </cell>
          <cell r="B262">
            <v>0</v>
          </cell>
          <cell r="C262">
            <v>0</v>
          </cell>
        </row>
        <row r="263">
          <cell r="A263" t="str">
            <v>1.1.5.3.3.4</v>
          </cell>
          <cell r="B263">
            <v>2250</v>
          </cell>
          <cell r="C263">
            <v>0</v>
          </cell>
        </row>
        <row r="264">
          <cell r="A264" t="str">
            <v>1.1.5.3.3.5</v>
          </cell>
          <cell r="B264">
            <v>0</v>
          </cell>
          <cell r="C264">
            <v>0</v>
          </cell>
        </row>
        <row r="265">
          <cell r="A265" t="str">
            <v>1.1.5.3.3.6</v>
          </cell>
          <cell r="B265">
            <v>0</v>
          </cell>
          <cell r="C265">
            <v>0</v>
          </cell>
        </row>
        <row r="266">
          <cell r="A266" t="str">
            <v>1.1.5.3.3.7</v>
          </cell>
          <cell r="B266">
            <v>0</v>
          </cell>
          <cell r="C266">
            <v>0</v>
          </cell>
        </row>
        <row r="267">
          <cell r="A267" t="str">
            <v>1.1.5.3.3.8</v>
          </cell>
          <cell r="B267">
            <v>28080</v>
          </cell>
          <cell r="C267">
            <v>0.1</v>
          </cell>
        </row>
        <row r="268">
          <cell r="A268" t="str">
            <v>1.1.5.3.3.9</v>
          </cell>
          <cell r="B268">
            <v>0</v>
          </cell>
          <cell r="C268">
            <v>0</v>
          </cell>
        </row>
        <row r="269">
          <cell r="A269" t="str">
            <v>1.1.5.3.3.10</v>
          </cell>
          <cell r="B269">
            <v>0</v>
          </cell>
          <cell r="C269">
            <v>0</v>
          </cell>
        </row>
        <row r="270">
          <cell r="A270" t="str">
            <v>1.1.5.3.4</v>
          </cell>
          <cell r="B270">
            <v>0</v>
          </cell>
          <cell r="C270">
            <v>0</v>
          </cell>
        </row>
        <row r="271">
          <cell r="A271" t="str">
            <v>1.1.5.3.4.1</v>
          </cell>
          <cell r="B271">
            <v>0</v>
          </cell>
          <cell r="C271">
            <v>0</v>
          </cell>
        </row>
        <row r="272">
          <cell r="A272" t="str">
            <v>1.1.5.3.5</v>
          </cell>
          <cell r="B272">
            <v>72832.3</v>
          </cell>
          <cell r="C272">
            <v>0</v>
          </cell>
        </row>
        <row r="273">
          <cell r="A273" t="str">
            <v>1.1.5.3.5.1</v>
          </cell>
          <cell r="B273">
            <v>64927</v>
          </cell>
          <cell r="C273">
            <v>0.33</v>
          </cell>
        </row>
        <row r="274">
          <cell r="A274" t="str">
            <v>1.1.5.3.5.2</v>
          </cell>
          <cell r="B274">
            <v>1525</v>
          </cell>
          <cell r="C274">
            <v>0</v>
          </cell>
        </row>
        <row r="275">
          <cell r="A275" t="str">
            <v>1.1.5.3.5.3</v>
          </cell>
          <cell r="B275">
            <v>6380.3</v>
          </cell>
          <cell r="C275">
            <v>0</v>
          </cell>
        </row>
        <row r="276">
          <cell r="A276" t="str">
            <v>1.1.5.3.5.4</v>
          </cell>
          <cell r="B276">
            <v>0</v>
          </cell>
          <cell r="C276">
            <v>0</v>
          </cell>
        </row>
        <row r="277">
          <cell r="A277" t="str">
            <v>1.1.5.3.5.5</v>
          </cell>
          <cell r="B277">
            <v>0</v>
          </cell>
          <cell r="C277">
            <v>0</v>
          </cell>
        </row>
        <row r="278">
          <cell r="A278" t="str">
            <v>1.1.5.3.6</v>
          </cell>
          <cell r="B278">
            <v>40800</v>
          </cell>
          <cell r="C278">
            <v>0</v>
          </cell>
        </row>
        <row r="279">
          <cell r="A279" t="str">
            <v>1.1.5.3.6.1</v>
          </cell>
          <cell r="B279">
            <v>0</v>
          </cell>
          <cell r="C279">
            <v>0</v>
          </cell>
        </row>
        <row r="280">
          <cell r="A280" t="str">
            <v>1.1.5.3.6.2</v>
          </cell>
          <cell r="B280">
            <v>40800</v>
          </cell>
          <cell r="C280">
            <v>0.33</v>
          </cell>
        </row>
        <row r="281">
          <cell r="A281" t="str">
            <v>1.1.5.3.6.3</v>
          </cell>
          <cell r="B281">
            <v>0</v>
          </cell>
          <cell r="C281">
            <v>0</v>
          </cell>
        </row>
        <row r="282">
          <cell r="A282" t="str">
            <v>1.1.5.3.6.4</v>
          </cell>
          <cell r="B282">
            <v>0</v>
          </cell>
          <cell r="C282">
            <v>0.25</v>
          </cell>
        </row>
        <row r="283">
          <cell r="A283" t="str">
            <v>1.1.5.3.6.5</v>
          </cell>
          <cell r="B283">
            <v>0</v>
          </cell>
          <cell r="C283">
            <v>0</v>
          </cell>
        </row>
        <row r="284">
          <cell r="A284" t="str">
            <v>1.1.5.3.6.6</v>
          </cell>
          <cell r="B284">
            <v>0</v>
          </cell>
          <cell r="C284">
            <v>0</v>
          </cell>
        </row>
        <row r="285">
          <cell r="A285" t="str">
            <v>1.1.5.3.6.7</v>
          </cell>
          <cell r="B285">
            <v>0</v>
          </cell>
          <cell r="C285">
            <v>0</v>
          </cell>
        </row>
        <row r="286">
          <cell r="A286" t="str">
            <v>1.1.5.3.6.8</v>
          </cell>
          <cell r="B286">
            <v>0</v>
          </cell>
          <cell r="C286">
            <v>0</v>
          </cell>
        </row>
        <row r="287">
          <cell r="A287" t="str">
            <v>1.1.5.3.6.9</v>
          </cell>
          <cell r="B287">
            <v>0</v>
          </cell>
          <cell r="C287">
            <v>0</v>
          </cell>
        </row>
        <row r="288">
          <cell r="A288" t="str">
            <v>1.1.5.3.6.10</v>
          </cell>
          <cell r="B288">
            <v>0</v>
          </cell>
          <cell r="C288">
            <v>0</v>
          </cell>
        </row>
        <row r="289">
          <cell r="A289" t="str">
            <v>1.1.5.3.6.11</v>
          </cell>
          <cell r="B289">
            <v>0</v>
          </cell>
          <cell r="C289">
            <v>0</v>
          </cell>
        </row>
        <row r="290">
          <cell r="A290" t="str">
            <v>1.2</v>
          </cell>
          <cell r="B290">
            <v>671588.87</v>
          </cell>
          <cell r="C290">
            <v>0</v>
          </cell>
        </row>
        <row r="291">
          <cell r="A291" t="str">
            <v>1.2.1</v>
          </cell>
          <cell r="B291">
            <v>578621.87</v>
          </cell>
          <cell r="C291">
            <v>0</v>
          </cell>
        </row>
        <row r="292">
          <cell r="A292" t="str">
            <v>1.2.1.1</v>
          </cell>
          <cell r="B292">
            <v>92494.17</v>
          </cell>
          <cell r="C292">
            <v>0</v>
          </cell>
        </row>
        <row r="293">
          <cell r="A293" t="str">
            <v>1.2.1.1.1</v>
          </cell>
          <cell r="B293">
            <v>410</v>
          </cell>
          <cell r="C293">
            <v>0</v>
          </cell>
        </row>
        <row r="294">
          <cell r="A294" t="str">
            <v>1.2.1.1.2</v>
          </cell>
          <cell r="B294">
            <v>8669.67</v>
          </cell>
          <cell r="C294">
            <v>0</v>
          </cell>
        </row>
        <row r="295">
          <cell r="A295" t="str">
            <v>1.2.1.1.2.1</v>
          </cell>
          <cell r="B295">
            <v>2430</v>
          </cell>
          <cell r="C295">
            <v>0</v>
          </cell>
        </row>
        <row r="296">
          <cell r="A296" t="str">
            <v>1.2.1.1.2.1.1</v>
          </cell>
          <cell r="B296">
            <v>0</v>
          </cell>
          <cell r="C296">
            <v>0</v>
          </cell>
        </row>
        <row r="297">
          <cell r="A297" t="str">
            <v>1.2.1.1.2.1.2</v>
          </cell>
          <cell r="B297">
            <v>2430</v>
          </cell>
          <cell r="C297">
            <v>0</v>
          </cell>
        </row>
        <row r="298">
          <cell r="A298" t="str">
            <v>1.2.1.1.2.1.2.1</v>
          </cell>
          <cell r="B298">
            <v>160</v>
          </cell>
          <cell r="C298">
            <v>0.001</v>
          </cell>
        </row>
        <row r="299">
          <cell r="A299" t="str">
            <v>1.2.1.1.2.1.2.2</v>
          </cell>
          <cell r="B299">
            <v>570</v>
          </cell>
          <cell r="C299">
            <v>0.003</v>
          </cell>
        </row>
        <row r="300">
          <cell r="A300" t="str">
            <v>1.2.1.1.2.1.2.3</v>
          </cell>
          <cell r="B300">
            <v>1700</v>
          </cell>
          <cell r="C300">
            <v>0.01</v>
          </cell>
        </row>
        <row r="301">
          <cell r="A301" t="str">
            <v>1.2.1.1.2.1.3</v>
          </cell>
          <cell r="B301">
            <v>0</v>
          </cell>
          <cell r="C301">
            <v>0</v>
          </cell>
        </row>
        <row r="302">
          <cell r="A302" t="str">
            <v>1.2.1.1.2.2</v>
          </cell>
          <cell r="B302">
            <v>0</v>
          </cell>
          <cell r="C302">
            <v>0</v>
          </cell>
        </row>
        <row r="303">
          <cell r="A303" t="str">
            <v>1.2.1.1.2.3</v>
          </cell>
          <cell r="B303">
            <v>6239.67</v>
          </cell>
          <cell r="C303">
            <v>0</v>
          </cell>
        </row>
        <row r="304">
          <cell r="A304" t="str">
            <v>1.2.1.1.2.3.1</v>
          </cell>
          <cell r="B304">
            <v>0</v>
          </cell>
          <cell r="C304">
            <v>0</v>
          </cell>
        </row>
        <row r="305">
          <cell r="A305" t="str">
            <v>1.2.1.1.2.3.2</v>
          </cell>
          <cell r="B305">
            <v>6239.67</v>
          </cell>
          <cell r="C305">
            <v>0.4755</v>
          </cell>
        </row>
        <row r="306">
          <cell r="A306" t="str">
            <v>1.2.1.1.3</v>
          </cell>
          <cell r="B306">
            <v>0</v>
          </cell>
          <cell r="C306">
            <v>0</v>
          </cell>
        </row>
        <row r="307">
          <cell r="A307" t="str">
            <v>1.2.1.1.3.1</v>
          </cell>
          <cell r="B307">
            <v>0</v>
          </cell>
          <cell r="C307">
            <v>0</v>
          </cell>
        </row>
        <row r="308">
          <cell r="A308" t="str">
            <v>1.2.1.1.3.2</v>
          </cell>
          <cell r="B308">
            <v>0</v>
          </cell>
          <cell r="C308">
            <v>0</v>
          </cell>
        </row>
        <row r="309">
          <cell r="A309" t="str">
            <v>1.2.1.1.3.3</v>
          </cell>
          <cell r="B309">
            <v>0</v>
          </cell>
          <cell r="C309">
            <v>0</v>
          </cell>
        </row>
        <row r="310">
          <cell r="A310" t="str">
            <v>1.2.1.1.3.4</v>
          </cell>
          <cell r="B310">
            <v>0</v>
          </cell>
          <cell r="C310">
            <v>0</v>
          </cell>
        </row>
        <row r="311">
          <cell r="A311" t="str">
            <v>1.2.1.1.3.4.1</v>
          </cell>
          <cell r="B311">
            <v>0</v>
          </cell>
          <cell r="C311">
            <v>0</v>
          </cell>
        </row>
        <row r="312">
          <cell r="A312" t="str">
            <v>1.2.1.1.3.4.2</v>
          </cell>
          <cell r="B312">
            <v>0</v>
          </cell>
          <cell r="C312">
            <v>0</v>
          </cell>
        </row>
        <row r="313">
          <cell r="A313" t="str">
            <v>1.2.1.1.3.4.3</v>
          </cell>
          <cell r="B313">
            <v>0</v>
          </cell>
          <cell r="C313">
            <v>0</v>
          </cell>
        </row>
        <row r="314">
          <cell r="A314" t="str">
            <v>1.2.1.1.3.4.4</v>
          </cell>
          <cell r="B314">
            <v>0</v>
          </cell>
          <cell r="C314">
            <v>0</v>
          </cell>
        </row>
        <row r="315">
          <cell r="A315" t="str">
            <v>1.2.1.1.3.5</v>
          </cell>
          <cell r="B315">
            <v>0</v>
          </cell>
          <cell r="C315">
            <v>0</v>
          </cell>
        </row>
        <row r="316">
          <cell r="A316" t="str">
            <v>1.2.1.1.4</v>
          </cell>
          <cell r="B316">
            <v>83414.5</v>
          </cell>
          <cell r="C316">
            <v>0.84</v>
          </cell>
        </row>
        <row r="317">
          <cell r="A317" t="str">
            <v>1.2.1.1.4.1</v>
          </cell>
          <cell r="B317">
            <v>51424</v>
          </cell>
          <cell r="C317">
            <v>0</v>
          </cell>
        </row>
        <row r="318">
          <cell r="A318" t="str">
            <v>1.2.1.1.4.2</v>
          </cell>
          <cell r="B318">
            <v>1513</v>
          </cell>
          <cell r="C318">
            <v>0</v>
          </cell>
        </row>
        <row r="319">
          <cell r="A319" t="str">
            <v>1.2.1.1.4.3</v>
          </cell>
          <cell r="B319">
            <v>1557</v>
          </cell>
          <cell r="C319">
            <v>0</v>
          </cell>
        </row>
        <row r="320">
          <cell r="A320" t="str">
            <v>1.2.1.1.4.4</v>
          </cell>
          <cell r="B320">
            <v>3510</v>
          </cell>
          <cell r="C320">
            <v>0</v>
          </cell>
        </row>
        <row r="321">
          <cell r="A321" t="str">
            <v>1.2.1.1.4.5</v>
          </cell>
          <cell r="B321">
            <v>3390</v>
          </cell>
          <cell r="C321">
            <v>0</v>
          </cell>
        </row>
        <row r="322">
          <cell r="A322" t="str">
            <v>1.2.1.1.4.6</v>
          </cell>
          <cell r="B322">
            <v>3090</v>
          </cell>
          <cell r="C322">
            <v>0</v>
          </cell>
        </row>
        <row r="323">
          <cell r="A323" t="str">
            <v>1.2.1.1.4.7</v>
          </cell>
          <cell r="B323">
            <v>2100</v>
          </cell>
          <cell r="C323">
            <v>0</v>
          </cell>
        </row>
        <row r="324">
          <cell r="A324" t="str">
            <v>1.2.1.1.4.8</v>
          </cell>
          <cell r="B324">
            <v>1920</v>
          </cell>
          <cell r="C324">
            <v>0</v>
          </cell>
        </row>
        <row r="325">
          <cell r="A325" t="str">
            <v>1.2.1.1.4.9</v>
          </cell>
          <cell r="B325">
            <v>4710</v>
          </cell>
          <cell r="C325">
            <v>0</v>
          </cell>
        </row>
        <row r="326">
          <cell r="A326" t="str">
            <v>1.2.1.1.4.10</v>
          </cell>
          <cell r="B326">
            <v>6600</v>
          </cell>
          <cell r="C326">
            <v>0.008</v>
          </cell>
        </row>
        <row r="327">
          <cell r="A327" t="str">
            <v>1.2.1.1.4.11</v>
          </cell>
          <cell r="B327">
            <v>3600</v>
          </cell>
          <cell r="C327">
            <v>0</v>
          </cell>
        </row>
        <row r="328">
          <cell r="A328" t="str">
            <v>1.2.1.2</v>
          </cell>
          <cell r="B328">
            <v>486127.7</v>
          </cell>
          <cell r="C328">
            <v>0</v>
          </cell>
        </row>
        <row r="329">
          <cell r="A329" t="str">
            <v>1.2.1.2.1</v>
          </cell>
          <cell r="B329">
            <v>1772.04</v>
          </cell>
          <cell r="C329">
            <v>0</v>
          </cell>
        </row>
        <row r="330">
          <cell r="A330" t="str">
            <v>1.2.1.2.2</v>
          </cell>
          <cell r="B330">
            <v>135925.66</v>
          </cell>
          <cell r="C330">
            <v>0</v>
          </cell>
        </row>
        <row r="331">
          <cell r="A331" t="str">
            <v>1.2.1.2.2.1</v>
          </cell>
          <cell r="B331">
            <v>94160</v>
          </cell>
          <cell r="C331">
            <v>0</v>
          </cell>
        </row>
        <row r="332">
          <cell r="A332" t="str">
            <v>1.2.1.2.2.1.1</v>
          </cell>
          <cell r="B332">
            <v>0</v>
          </cell>
          <cell r="C332">
            <v>0</v>
          </cell>
        </row>
        <row r="333">
          <cell r="A333" t="str">
            <v>1.2.1.2.2.1.2</v>
          </cell>
          <cell r="B333">
            <v>94160</v>
          </cell>
          <cell r="C333">
            <v>1.15</v>
          </cell>
        </row>
        <row r="334">
          <cell r="A334" t="str">
            <v>1.2.1.2.2.1.3</v>
          </cell>
          <cell r="B334">
            <v>0</v>
          </cell>
          <cell r="C334">
            <v>0</v>
          </cell>
        </row>
        <row r="335">
          <cell r="A335" t="str">
            <v>1.2.1.2.2.2</v>
          </cell>
          <cell r="B335">
            <v>38550</v>
          </cell>
          <cell r="C335">
            <v>1</v>
          </cell>
        </row>
        <row r="336">
          <cell r="A336" t="str">
            <v>1.2.1.2.2.3</v>
          </cell>
          <cell r="B336">
            <v>3215.66</v>
          </cell>
          <cell r="C336">
            <v>0.28594</v>
          </cell>
        </row>
        <row r="337">
          <cell r="A337" t="str">
            <v>1.2.1.2.2.4</v>
          </cell>
          <cell r="B337">
            <v>0</v>
          </cell>
          <cell r="C337">
            <v>0</v>
          </cell>
        </row>
        <row r="338">
          <cell r="A338" t="str">
            <v>1.2.1.2.3</v>
          </cell>
          <cell r="B338">
            <v>194400</v>
          </cell>
          <cell r="C338">
            <v>0</v>
          </cell>
        </row>
        <row r="339">
          <cell r="A339" t="str">
            <v>1.2.1.2.3.1</v>
          </cell>
          <cell r="B339">
            <v>0</v>
          </cell>
          <cell r="C339">
            <v>0</v>
          </cell>
        </row>
        <row r="340">
          <cell r="A340" t="str">
            <v>1.2.1.2.3.1.1</v>
          </cell>
          <cell r="B340">
            <v>0</v>
          </cell>
          <cell r="C340">
            <v>0</v>
          </cell>
        </row>
        <row r="341">
          <cell r="A341" t="str">
            <v>1.2.1.2.3.1.2</v>
          </cell>
          <cell r="B341">
            <v>0</v>
          </cell>
          <cell r="C341">
            <v>0</v>
          </cell>
        </row>
        <row r="342">
          <cell r="A342" t="str">
            <v>1.2.1.2.3.1.3</v>
          </cell>
          <cell r="B342">
            <v>0</v>
          </cell>
          <cell r="C342">
            <v>0</v>
          </cell>
        </row>
        <row r="343">
          <cell r="A343" t="str">
            <v>1.2.1.2.3.1.4</v>
          </cell>
          <cell r="B343">
            <v>0</v>
          </cell>
          <cell r="C343">
            <v>0</v>
          </cell>
        </row>
        <row r="344">
          <cell r="A344" t="str">
            <v>1.2.1.2.3.2</v>
          </cell>
          <cell r="B344">
            <v>194400</v>
          </cell>
          <cell r="C344">
            <v>0</v>
          </cell>
        </row>
        <row r="345">
          <cell r="A345" t="str">
            <v>1.2.1.2.3.2.1</v>
          </cell>
          <cell r="B345">
            <v>194400</v>
          </cell>
          <cell r="C345">
            <v>1</v>
          </cell>
        </row>
        <row r="346">
          <cell r="A346" t="str">
            <v>1.2.1.2.3.2.2</v>
          </cell>
          <cell r="B346">
            <v>0</v>
          </cell>
          <cell r="C346">
            <v>0</v>
          </cell>
        </row>
        <row r="347">
          <cell r="A347" t="str">
            <v>1.2.1.2.3.2.3</v>
          </cell>
          <cell r="B347">
            <v>0</v>
          </cell>
          <cell r="C347">
            <v>0</v>
          </cell>
        </row>
        <row r="348">
          <cell r="A348" t="str">
            <v>1.2.1.2.3.3</v>
          </cell>
          <cell r="B348">
            <v>0</v>
          </cell>
          <cell r="C348">
            <v>0</v>
          </cell>
        </row>
        <row r="349">
          <cell r="A349" t="str">
            <v>1.2.1.2.3.3.1</v>
          </cell>
          <cell r="B349">
            <v>0</v>
          </cell>
          <cell r="C349">
            <v>0</v>
          </cell>
        </row>
        <row r="350">
          <cell r="A350" t="str">
            <v>1.2.1.2.3.3.2</v>
          </cell>
          <cell r="B350">
            <v>0</v>
          </cell>
          <cell r="C350">
            <v>0</v>
          </cell>
        </row>
        <row r="351">
          <cell r="A351" t="str">
            <v>1.2.1.2.3.3.3</v>
          </cell>
          <cell r="B351">
            <v>0</v>
          </cell>
          <cell r="C351">
            <v>0</v>
          </cell>
        </row>
        <row r="352">
          <cell r="A352" t="str">
            <v>1.2.1.2.3.4</v>
          </cell>
          <cell r="B352">
            <v>0</v>
          </cell>
          <cell r="C352">
            <v>0</v>
          </cell>
        </row>
        <row r="353">
          <cell r="A353" t="str">
            <v>1.2.1.2.3.5</v>
          </cell>
          <cell r="B353">
            <v>0</v>
          </cell>
          <cell r="C353">
            <v>0</v>
          </cell>
        </row>
        <row r="354">
          <cell r="A354" t="str">
            <v>1.2.1.2.4</v>
          </cell>
          <cell r="B354">
            <v>150350</v>
          </cell>
          <cell r="C354">
            <v>0</v>
          </cell>
        </row>
        <row r="355">
          <cell r="A355" t="str">
            <v>1.2.1.2.4.1</v>
          </cell>
          <cell r="B355">
            <v>0</v>
          </cell>
          <cell r="C355">
            <v>0</v>
          </cell>
        </row>
        <row r="356">
          <cell r="A356" t="str">
            <v>1.2.1.2.4.2</v>
          </cell>
          <cell r="B356">
            <v>0</v>
          </cell>
          <cell r="C356">
            <v>0</v>
          </cell>
        </row>
        <row r="357">
          <cell r="A357" t="str">
            <v>1.2.1.2.4.2.1</v>
          </cell>
          <cell r="B357">
            <v>0</v>
          </cell>
          <cell r="C357">
            <v>0</v>
          </cell>
        </row>
        <row r="358">
          <cell r="A358" t="str">
            <v>1.2.1.2.4.2.2</v>
          </cell>
          <cell r="B358">
            <v>0</v>
          </cell>
          <cell r="C358">
            <v>0</v>
          </cell>
        </row>
        <row r="359">
          <cell r="A359" t="str">
            <v>1.2.1.2.4.2.3</v>
          </cell>
          <cell r="B359">
            <v>0</v>
          </cell>
          <cell r="C359">
            <v>0</v>
          </cell>
        </row>
        <row r="360">
          <cell r="A360" t="str">
            <v>1.2.1.2.4.2.4</v>
          </cell>
          <cell r="B360">
            <v>0</v>
          </cell>
          <cell r="C360">
            <v>0</v>
          </cell>
        </row>
        <row r="361">
          <cell r="A361" t="str">
            <v>1.2.1.2.4.3</v>
          </cell>
          <cell r="B361">
            <v>0</v>
          </cell>
          <cell r="C361">
            <v>0</v>
          </cell>
        </row>
        <row r="362">
          <cell r="A362" t="str">
            <v>1.2.1.2.4.3.1</v>
          </cell>
          <cell r="B362">
            <v>0</v>
          </cell>
          <cell r="C362">
            <v>0</v>
          </cell>
        </row>
        <row r="363">
          <cell r="A363" t="str">
            <v>1.2.1.2.4.3.2</v>
          </cell>
          <cell r="B363">
            <v>0</v>
          </cell>
          <cell r="C363">
            <v>0</v>
          </cell>
        </row>
        <row r="364">
          <cell r="A364" t="str">
            <v>1.2.1.2.4.3.3</v>
          </cell>
          <cell r="B364">
            <v>0</v>
          </cell>
          <cell r="C364">
            <v>0</v>
          </cell>
        </row>
        <row r="365">
          <cell r="A365" t="str">
            <v>1.2.1.2.4.3.4</v>
          </cell>
          <cell r="B365">
            <v>0</v>
          </cell>
          <cell r="C365">
            <v>0</v>
          </cell>
        </row>
        <row r="366">
          <cell r="A366" t="str">
            <v>1.2.1.2.4.4</v>
          </cell>
          <cell r="B366">
            <v>21600</v>
          </cell>
          <cell r="C366">
            <v>0</v>
          </cell>
        </row>
        <row r="367">
          <cell r="A367" t="str">
            <v>1.2.1.2.4.4.1</v>
          </cell>
          <cell r="B367">
            <v>21600</v>
          </cell>
          <cell r="C367">
            <v>1</v>
          </cell>
        </row>
        <row r="368">
          <cell r="A368" t="str">
            <v>1.2.1.2.4.4.2</v>
          </cell>
          <cell r="B368">
            <v>0</v>
          </cell>
          <cell r="C368">
            <v>0</v>
          </cell>
        </row>
        <row r="369">
          <cell r="A369" t="str">
            <v>1.2.1.2.4.4.3</v>
          </cell>
          <cell r="B369">
            <v>0</v>
          </cell>
          <cell r="C369">
            <v>0</v>
          </cell>
        </row>
        <row r="370">
          <cell r="A370" t="str">
            <v>1.2.1.2.4.5</v>
          </cell>
          <cell r="B370">
            <v>7800</v>
          </cell>
          <cell r="C370">
            <v>1</v>
          </cell>
        </row>
        <row r="371">
          <cell r="A371" t="str">
            <v>1.2.1.2.4.6</v>
          </cell>
          <cell r="B371">
            <v>97200</v>
          </cell>
          <cell r="C371">
            <v>1</v>
          </cell>
        </row>
        <row r="372">
          <cell r="A372" t="str">
            <v>1.2.1.2.4.7</v>
          </cell>
          <cell r="B372">
            <v>10800</v>
          </cell>
          <cell r="C372">
            <v>1</v>
          </cell>
        </row>
        <row r="373">
          <cell r="A373" t="str">
            <v>1.2.1.2.4.8</v>
          </cell>
          <cell r="B373">
            <v>2900</v>
          </cell>
          <cell r="C373">
            <v>1</v>
          </cell>
        </row>
        <row r="374">
          <cell r="A374" t="str">
            <v>1.2.1.2.4.9</v>
          </cell>
          <cell r="B374">
            <v>3150</v>
          </cell>
          <cell r="C374">
            <v>1</v>
          </cell>
        </row>
        <row r="375">
          <cell r="A375" t="str">
            <v>1.2.1.2.4.10</v>
          </cell>
          <cell r="B375">
            <v>6900</v>
          </cell>
          <cell r="C375">
            <v>1</v>
          </cell>
        </row>
        <row r="376">
          <cell r="A376" t="str">
            <v>1.2.1.2.5</v>
          </cell>
          <cell r="B376">
            <v>3680</v>
          </cell>
          <cell r="C376">
            <v>0</v>
          </cell>
        </row>
        <row r="377">
          <cell r="A377" t="str">
            <v>1.2.1.2.5.1</v>
          </cell>
          <cell r="B377">
            <v>3680</v>
          </cell>
          <cell r="C377">
            <v>1</v>
          </cell>
        </row>
        <row r="378">
          <cell r="A378" t="str">
            <v>1.2.1.2.5.2</v>
          </cell>
          <cell r="B378">
            <v>0</v>
          </cell>
          <cell r="C378">
            <v>0</v>
          </cell>
        </row>
        <row r="379">
          <cell r="A379" t="str">
            <v>1.2.1.2.5.2.1</v>
          </cell>
          <cell r="B379">
            <v>0</v>
          </cell>
          <cell r="C379">
            <v>0</v>
          </cell>
        </row>
        <row r="380">
          <cell r="A380" t="str">
            <v>1.2.1.2.5.2.2</v>
          </cell>
          <cell r="B380">
            <v>0</v>
          </cell>
          <cell r="C380">
            <v>0</v>
          </cell>
        </row>
        <row r="381">
          <cell r="A381" t="str">
            <v>1.2.1.2.5.3</v>
          </cell>
          <cell r="B381">
            <v>0</v>
          </cell>
          <cell r="C381">
            <v>0</v>
          </cell>
        </row>
        <row r="382">
          <cell r="A382" t="str">
            <v>1.2.1.2.5.4</v>
          </cell>
          <cell r="B382">
            <v>0</v>
          </cell>
          <cell r="C382">
            <v>0</v>
          </cell>
        </row>
        <row r="383">
          <cell r="A383" t="str">
            <v>1.2.1.2.5.5</v>
          </cell>
          <cell r="B383">
            <v>0</v>
          </cell>
          <cell r="C383">
            <v>0</v>
          </cell>
        </row>
        <row r="384">
          <cell r="A384" t="str">
            <v>1.2.1.2.6</v>
          </cell>
          <cell r="B384">
            <v>0</v>
          </cell>
          <cell r="C384">
            <v>0</v>
          </cell>
        </row>
        <row r="385">
          <cell r="A385" t="str">
            <v>1.2.1.2.6.1</v>
          </cell>
          <cell r="B385">
            <v>0</v>
          </cell>
          <cell r="C385">
            <v>0</v>
          </cell>
        </row>
        <row r="386">
          <cell r="A386" t="str">
            <v>1.2.1.2.6.1.1</v>
          </cell>
          <cell r="B386">
            <v>0</v>
          </cell>
          <cell r="C386">
            <v>0</v>
          </cell>
        </row>
        <row r="387">
          <cell r="A387" t="str">
            <v>1.2.1.2.6.1.2</v>
          </cell>
          <cell r="B387">
            <v>0</v>
          </cell>
          <cell r="C387">
            <v>0</v>
          </cell>
        </row>
        <row r="388">
          <cell r="A388" t="str">
            <v>1.2.1.2.6.1.3</v>
          </cell>
          <cell r="B388">
            <v>0</v>
          </cell>
          <cell r="C388">
            <v>0</v>
          </cell>
        </row>
        <row r="389">
          <cell r="A389" t="str">
            <v>1.2.1.2.6.1.4</v>
          </cell>
          <cell r="B389">
            <v>0</v>
          </cell>
          <cell r="C389">
            <v>0</v>
          </cell>
        </row>
        <row r="390">
          <cell r="A390" t="str">
            <v>1.2.1.2.6.1.5</v>
          </cell>
          <cell r="B390">
            <v>0</v>
          </cell>
          <cell r="C390">
            <v>0</v>
          </cell>
        </row>
        <row r="391">
          <cell r="A391" t="str">
            <v>1.2.1.2.6.1.6</v>
          </cell>
          <cell r="B391">
            <v>0</v>
          </cell>
          <cell r="C391">
            <v>0</v>
          </cell>
        </row>
        <row r="392">
          <cell r="A392" t="str">
            <v>1.2.1.2.6.2</v>
          </cell>
          <cell r="B392">
            <v>0</v>
          </cell>
          <cell r="C392">
            <v>0</v>
          </cell>
        </row>
        <row r="393">
          <cell r="A393" t="str">
            <v>1.2.1.2.6.3</v>
          </cell>
          <cell r="B393">
            <v>0</v>
          </cell>
          <cell r="C393">
            <v>0</v>
          </cell>
        </row>
        <row r="394">
          <cell r="A394" t="str">
            <v>1.2.1.2.6.4</v>
          </cell>
          <cell r="B394">
            <v>0</v>
          </cell>
          <cell r="C394">
            <v>0</v>
          </cell>
        </row>
        <row r="395">
          <cell r="A395" t="str">
            <v>1.2.1.2.6.5</v>
          </cell>
          <cell r="B395">
            <v>0</v>
          </cell>
          <cell r="C395">
            <v>0</v>
          </cell>
        </row>
        <row r="396">
          <cell r="A396" t="str">
            <v>1.2.1.2.7</v>
          </cell>
          <cell r="B396">
            <v>0</v>
          </cell>
          <cell r="C396">
            <v>0</v>
          </cell>
        </row>
        <row r="397">
          <cell r="A397" t="str">
            <v>1.2.1.2.8</v>
          </cell>
          <cell r="B397">
            <v>0</v>
          </cell>
          <cell r="C397">
            <v>0</v>
          </cell>
        </row>
        <row r="398">
          <cell r="A398" t="str">
            <v>1.2.1.2.8.1</v>
          </cell>
          <cell r="B398">
            <v>0</v>
          </cell>
          <cell r="C398">
            <v>0</v>
          </cell>
        </row>
        <row r="399">
          <cell r="A399" t="str">
            <v>1.2.1.2.8.2</v>
          </cell>
          <cell r="B399">
            <v>0</v>
          </cell>
          <cell r="C399">
            <v>0</v>
          </cell>
        </row>
        <row r="400">
          <cell r="A400" t="str">
            <v>1.2.1.2.8.3</v>
          </cell>
          <cell r="B400">
            <v>0</v>
          </cell>
          <cell r="C400">
            <v>0</v>
          </cell>
        </row>
        <row r="401">
          <cell r="A401" t="str">
            <v>1.2.1.2.8.4</v>
          </cell>
          <cell r="B401">
            <v>0</v>
          </cell>
          <cell r="C401">
            <v>0</v>
          </cell>
        </row>
        <row r="402">
          <cell r="A402" t="str">
            <v>1.2.1.2.8.5</v>
          </cell>
          <cell r="B402">
            <v>0</v>
          </cell>
          <cell r="C402">
            <v>0</v>
          </cell>
        </row>
        <row r="403">
          <cell r="A403" t="str">
            <v>1.2.1.2.8.6</v>
          </cell>
          <cell r="B403">
            <v>0</v>
          </cell>
          <cell r="C403">
            <v>0</v>
          </cell>
        </row>
        <row r="404">
          <cell r="A404" t="str">
            <v>1.2.1.2.9</v>
          </cell>
          <cell r="B404">
            <v>0</v>
          </cell>
          <cell r="C404">
            <v>0</v>
          </cell>
        </row>
        <row r="405">
          <cell r="A405" t="str">
            <v>1.2.1.3</v>
          </cell>
          <cell r="B405">
            <v>0</v>
          </cell>
          <cell r="C405">
            <v>0</v>
          </cell>
        </row>
        <row r="406">
          <cell r="A406" t="str">
            <v>1.2.1.4</v>
          </cell>
          <cell r="B406">
            <v>0</v>
          </cell>
          <cell r="C406">
            <v>0</v>
          </cell>
        </row>
        <row r="407">
          <cell r="A407" t="str">
            <v>1.2.1.4.1</v>
          </cell>
          <cell r="B407">
            <v>0</v>
          </cell>
          <cell r="C407">
            <v>0</v>
          </cell>
        </row>
        <row r="408">
          <cell r="A408" t="str">
            <v>1.2.1.4.2</v>
          </cell>
          <cell r="B408">
            <v>0</v>
          </cell>
          <cell r="C408">
            <v>0</v>
          </cell>
        </row>
        <row r="409">
          <cell r="A409" t="str">
            <v>1.2.1.4.3</v>
          </cell>
          <cell r="B409">
            <v>0</v>
          </cell>
          <cell r="C409">
            <v>0</v>
          </cell>
        </row>
        <row r="410">
          <cell r="A410" t="str">
            <v>1.2.1.4.4</v>
          </cell>
          <cell r="B410">
            <v>0</v>
          </cell>
          <cell r="C410">
            <v>0</v>
          </cell>
        </row>
        <row r="411">
          <cell r="A411" t="str">
            <v>1.2.1.4.5</v>
          </cell>
          <cell r="B411">
            <v>0</v>
          </cell>
          <cell r="C411">
            <v>0</v>
          </cell>
        </row>
        <row r="412">
          <cell r="A412" t="str">
            <v>1.2.1.5</v>
          </cell>
          <cell r="B412">
            <v>0</v>
          </cell>
          <cell r="C412">
            <v>0</v>
          </cell>
        </row>
        <row r="413">
          <cell r="A413" t="str">
            <v>1.2.1.5.1</v>
          </cell>
          <cell r="B413">
            <v>0</v>
          </cell>
          <cell r="C413">
            <v>0</v>
          </cell>
        </row>
        <row r="414">
          <cell r="A414" t="str">
            <v>1.2.1.5.1.1</v>
          </cell>
          <cell r="B414">
            <v>0</v>
          </cell>
          <cell r="C414">
            <v>0</v>
          </cell>
        </row>
        <row r="415">
          <cell r="A415" t="str">
            <v>1.2.1.5.1.1.1</v>
          </cell>
          <cell r="B415">
            <v>0</v>
          </cell>
          <cell r="C415">
            <v>0</v>
          </cell>
        </row>
        <row r="416">
          <cell r="A416" t="str">
            <v>1.2.1.5.1.1.2</v>
          </cell>
          <cell r="B416">
            <v>0</v>
          </cell>
          <cell r="C416">
            <v>0</v>
          </cell>
        </row>
        <row r="417">
          <cell r="A417" t="str">
            <v>1.2.1.5.1.1.3</v>
          </cell>
          <cell r="B417">
            <v>0</v>
          </cell>
          <cell r="C417">
            <v>0</v>
          </cell>
        </row>
        <row r="418">
          <cell r="A418" t="str">
            <v>1.2.1.5.1.1.4</v>
          </cell>
          <cell r="B418">
            <v>0</v>
          </cell>
          <cell r="C418">
            <v>0</v>
          </cell>
        </row>
        <row r="419">
          <cell r="A419" t="str">
            <v>1.2.1.5.1.1.5</v>
          </cell>
          <cell r="B419">
            <v>0</v>
          </cell>
          <cell r="C419">
            <v>0</v>
          </cell>
        </row>
        <row r="420">
          <cell r="A420" t="str">
            <v>1.2.1.5.1.1.6</v>
          </cell>
          <cell r="B420">
            <v>0</v>
          </cell>
          <cell r="C420">
            <v>0</v>
          </cell>
        </row>
        <row r="421">
          <cell r="A421" t="str">
            <v>1.2.1.5.1.2</v>
          </cell>
          <cell r="B421">
            <v>0</v>
          </cell>
          <cell r="C421">
            <v>0</v>
          </cell>
        </row>
        <row r="422">
          <cell r="A422" t="str">
            <v>1.2.1.5.1.3</v>
          </cell>
          <cell r="B422">
            <v>0</v>
          </cell>
          <cell r="C422">
            <v>0</v>
          </cell>
        </row>
        <row r="423">
          <cell r="A423" t="str">
            <v>1.2.1.5.1.3.1</v>
          </cell>
          <cell r="B423">
            <v>0</v>
          </cell>
          <cell r="C423">
            <v>0</v>
          </cell>
        </row>
        <row r="424">
          <cell r="A424" t="str">
            <v>1.2.1.5.1.3.1.1</v>
          </cell>
          <cell r="B424">
            <v>0</v>
          </cell>
          <cell r="C424">
            <v>0</v>
          </cell>
        </row>
        <row r="425">
          <cell r="A425" t="str">
            <v>1.2.1.5.1.3.1.2</v>
          </cell>
          <cell r="B425">
            <v>0</v>
          </cell>
          <cell r="C425">
            <v>0</v>
          </cell>
        </row>
        <row r="426">
          <cell r="A426" t="str">
            <v>1.2.1.5.1.3.1.3</v>
          </cell>
          <cell r="B426">
            <v>0</v>
          </cell>
          <cell r="C426">
            <v>0</v>
          </cell>
        </row>
        <row r="427">
          <cell r="A427" t="str">
            <v>1.2.1.5.1.3.1.4</v>
          </cell>
          <cell r="B427">
            <v>0</v>
          </cell>
          <cell r="C427">
            <v>0</v>
          </cell>
        </row>
        <row r="428">
          <cell r="A428" t="str">
            <v>1.2.1.5.1.3.2</v>
          </cell>
          <cell r="B428">
            <v>0</v>
          </cell>
          <cell r="C428">
            <v>0</v>
          </cell>
        </row>
        <row r="429">
          <cell r="A429" t="str">
            <v>1.2.1.5.1.3.2.1</v>
          </cell>
          <cell r="B429">
            <v>0</v>
          </cell>
          <cell r="C429">
            <v>0</v>
          </cell>
        </row>
        <row r="430">
          <cell r="A430" t="str">
            <v>1.2.1.5.1.3.2.2</v>
          </cell>
          <cell r="B430">
            <v>0</v>
          </cell>
          <cell r="C430">
            <v>0</v>
          </cell>
        </row>
        <row r="431">
          <cell r="A431" t="str">
            <v>1.2.1.5.1.3.2.3</v>
          </cell>
          <cell r="B431">
            <v>0</v>
          </cell>
          <cell r="C431">
            <v>0</v>
          </cell>
        </row>
        <row r="432">
          <cell r="A432" t="str">
            <v>1.2.1.5.1.3.2.4</v>
          </cell>
          <cell r="B432">
            <v>0</v>
          </cell>
          <cell r="C432">
            <v>0</v>
          </cell>
        </row>
        <row r="433">
          <cell r="A433" t="str">
            <v>1.2.1.5.1.3.2.5</v>
          </cell>
          <cell r="B433">
            <v>0</v>
          </cell>
          <cell r="C433">
            <v>0</v>
          </cell>
        </row>
        <row r="434">
          <cell r="A434" t="str">
            <v>1.2.1.5.1.3.2.6</v>
          </cell>
          <cell r="B434">
            <v>0</v>
          </cell>
          <cell r="C434">
            <v>0</v>
          </cell>
        </row>
        <row r="435">
          <cell r="A435" t="str">
            <v>1.2.1.5.1.3.2.7</v>
          </cell>
          <cell r="B435">
            <v>0</v>
          </cell>
          <cell r="C435">
            <v>0</v>
          </cell>
        </row>
        <row r="436">
          <cell r="A436" t="str">
            <v>1.2.1.5.1.3.2.8</v>
          </cell>
          <cell r="B436">
            <v>0</v>
          </cell>
          <cell r="C436">
            <v>0</v>
          </cell>
        </row>
        <row r="437">
          <cell r="A437" t="str">
            <v>1.2.1.5.1.3.2.9</v>
          </cell>
          <cell r="B437">
            <v>0</v>
          </cell>
          <cell r="C437">
            <v>0</v>
          </cell>
        </row>
        <row r="438">
          <cell r="A438" t="str">
            <v>1.2.1.5.1.3.2.10</v>
          </cell>
          <cell r="B438">
            <v>0</v>
          </cell>
          <cell r="C438">
            <v>0</v>
          </cell>
        </row>
        <row r="439">
          <cell r="A439" t="str">
            <v>1.2.1.5.1.3.2.11</v>
          </cell>
          <cell r="B439">
            <v>0</v>
          </cell>
          <cell r="C439">
            <v>0</v>
          </cell>
        </row>
        <row r="440">
          <cell r="A440" t="str">
            <v>1.2.1.5.1.3.2.12</v>
          </cell>
          <cell r="B440">
            <v>0</v>
          </cell>
          <cell r="C440">
            <v>0</v>
          </cell>
        </row>
        <row r="441">
          <cell r="A441" t="str">
            <v>1.2.1.5.1.3.2.13</v>
          </cell>
          <cell r="B441">
            <v>0</v>
          </cell>
          <cell r="C441">
            <v>0</v>
          </cell>
        </row>
        <row r="442">
          <cell r="A442" t="str">
            <v>1.2.1.5.1.3.3</v>
          </cell>
          <cell r="B442">
            <v>0</v>
          </cell>
          <cell r="C442">
            <v>0</v>
          </cell>
        </row>
        <row r="443">
          <cell r="A443" t="str">
            <v>1.2.1.5.1.3.3.1</v>
          </cell>
          <cell r="B443">
            <v>0</v>
          </cell>
          <cell r="C443">
            <v>0</v>
          </cell>
        </row>
        <row r="444">
          <cell r="A444" t="str">
            <v>1.2.1.5.1.3.3.2</v>
          </cell>
          <cell r="B444">
            <v>0</v>
          </cell>
          <cell r="C444">
            <v>0</v>
          </cell>
        </row>
        <row r="445">
          <cell r="A445" t="str">
            <v>1.2.1.5.1.3.3.3</v>
          </cell>
          <cell r="B445">
            <v>0</v>
          </cell>
          <cell r="C445">
            <v>0</v>
          </cell>
        </row>
        <row r="446">
          <cell r="A446" t="str">
            <v>1.2.1.5.1.3.3.4</v>
          </cell>
          <cell r="B446">
            <v>0</v>
          </cell>
          <cell r="C446">
            <v>0</v>
          </cell>
        </row>
        <row r="447">
          <cell r="A447" t="str">
            <v>1.2.1.5.1.3.3.5</v>
          </cell>
          <cell r="B447">
            <v>0</v>
          </cell>
          <cell r="C447">
            <v>0</v>
          </cell>
        </row>
        <row r="448">
          <cell r="A448" t="str">
            <v>1.2.1.5.1.3.3.6</v>
          </cell>
          <cell r="B448">
            <v>0</v>
          </cell>
          <cell r="C448">
            <v>0</v>
          </cell>
        </row>
        <row r="449">
          <cell r="A449" t="str">
            <v>1.2.1.5.1.3.3.7</v>
          </cell>
          <cell r="B449">
            <v>0</v>
          </cell>
          <cell r="C449">
            <v>0</v>
          </cell>
        </row>
        <row r="450">
          <cell r="A450" t="str">
            <v>1.2.1.5.1.3.4</v>
          </cell>
          <cell r="B450">
            <v>0</v>
          </cell>
          <cell r="C450">
            <v>0</v>
          </cell>
        </row>
        <row r="451">
          <cell r="A451" t="str">
            <v>1.2.1.5.1.3.4.1</v>
          </cell>
          <cell r="B451">
            <v>0</v>
          </cell>
          <cell r="C451">
            <v>0</v>
          </cell>
        </row>
        <row r="452">
          <cell r="A452" t="str">
            <v>1.2.1.5.1.3.4.2</v>
          </cell>
          <cell r="B452">
            <v>0</v>
          </cell>
          <cell r="C452">
            <v>0</v>
          </cell>
        </row>
        <row r="453">
          <cell r="A453" t="str">
            <v>1.2.1.5.1.3.4.3</v>
          </cell>
          <cell r="B453">
            <v>0</v>
          </cell>
          <cell r="C453">
            <v>0</v>
          </cell>
        </row>
        <row r="454">
          <cell r="A454" t="str">
            <v>1.2.1.5.1.3.4.4</v>
          </cell>
          <cell r="B454">
            <v>0</v>
          </cell>
          <cell r="C454">
            <v>0</v>
          </cell>
        </row>
        <row r="455">
          <cell r="A455" t="str">
            <v>1.2.1.5.1.3.4.5</v>
          </cell>
          <cell r="B455">
            <v>0</v>
          </cell>
          <cell r="C455">
            <v>0</v>
          </cell>
        </row>
        <row r="456">
          <cell r="A456" t="str">
            <v>1.2.1.5.1.3.4.6</v>
          </cell>
          <cell r="B456">
            <v>0</v>
          </cell>
          <cell r="C456">
            <v>0</v>
          </cell>
        </row>
        <row r="457">
          <cell r="A457" t="str">
            <v>1.2.1.5.1.3.4.7</v>
          </cell>
          <cell r="B457">
            <v>0</v>
          </cell>
          <cell r="C457">
            <v>0</v>
          </cell>
        </row>
        <row r="458">
          <cell r="A458" t="str">
            <v>1.2.1.5.1.3.4.8</v>
          </cell>
          <cell r="B458">
            <v>0</v>
          </cell>
          <cell r="C458">
            <v>0</v>
          </cell>
        </row>
        <row r="459">
          <cell r="A459" t="str">
            <v>1.2.1.5.1.3.4.9</v>
          </cell>
          <cell r="B459">
            <v>0</v>
          </cell>
          <cell r="C459">
            <v>0</v>
          </cell>
        </row>
        <row r="460">
          <cell r="A460" t="str">
            <v>1.2.1.5.1.3.4.10</v>
          </cell>
          <cell r="B460">
            <v>0</v>
          </cell>
          <cell r="C460">
            <v>0</v>
          </cell>
        </row>
        <row r="461">
          <cell r="A461" t="str">
            <v>1.2.1.5.1.3.4.11</v>
          </cell>
          <cell r="B461">
            <v>0</v>
          </cell>
          <cell r="C461">
            <v>0</v>
          </cell>
        </row>
        <row r="462">
          <cell r="A462" t="str">
            <v>1.2.1.5.1.3.4.12</v>
          </cell>
          <cell r="B462">
            <v>0</v>
          </cell>
          <cell r="C462">
            <v>0</v>
          </cell>
        </row>
        <row r="463">
          <cell r="A463" t="str">
            <v>1.2.1.5.1.3.4.13</v>
          </cell>
          <cell r="B463">
            <v>0</v>
          </cell>
          <cell r="C463">
            <v>0</v>
          </cell>
        </row>
        <row r="464">
          <cell r="A464" t="str">
            <v>1.2.1.5.1.3.4.14</v>
          </cell>
          <cell r="B464">
            <v>0</v>
          </cell>
          <cell r="C464">
            <v>0</v>
          </cell>
        </row>
        <row r="465">
          <cell r="A465" t="str">
            <v>1.2.1.5.1.3.4.15</v>
          </cell>
          <cell r="B465">
            <v>0</v>
          </cell>
          <cell r="C465">
            <v>0</v>
          </cell>
        </row>
        <row r="466">
          <cell r="A466" t="str">
            <v>1.2.1.5.1.3.4.16</v>
          </cell>
          <cell r="B466">
            <v>0</v>
          </cell>
          <cell r="C466">
            <v>0</v>
          </cell>
        </row>
        <row r="467">
          <cell r="A467" t="str">
            <v>1.2.1.5.1.3.4.17</v>
          </cell>
          <cell r="B467">
            <v>0</v>
          </cell>
          <cell r="C467">
            <v>0</v>
          </cell>
        </row>
        <row r="468">
          <cell r="A468" t="str">
            <v>1.2.1.5.1.3.5</v>
          </cell>
          <cell r="B468">
            <v>0</v>
          </cell>
          <cell r="C468">
            <v>0</v>
          </cell>
        </row>
        <row r="469">
          <cell r="A469" t="str">
            <v>1.2.1.5.1.3.5.1</v>
          </cell>
          <cell r="B469">
            <v>0</v>
          </cell>
          <cell r="C469">
            <v>0</v>
          </cell>
        </row>
        <row r="470">
          <cell r="A470" t="str">
            <v>1.2.1.5.1.3.5.2</v>
          </cell>
          <cell r="B470">
            <v>0</v>
          </cell>
          <cell r="C470">
            <v>0</v>
          </cell>
        </row>
        <row r="471">
          <cell r="A471" t="str">
            <v>1.2.1.5.1.3.5.3</v>
          </cell>
          <cell r="B471">
            <v>0</v>
          </cell>
          <cell r="C471">
            <v>0</v>
          </cell>
        </row>
        <row r="472">
          <cell r="A472" t="str">
            <v>1.2.1.5.1.3.6</v>
          </cell>
          <cell r="B472">
            <v>0</v>
          </cell>
          <cell r="C472">
            <v>0</v>
          </cell>
        </row>
        <row r="473">
          <cell r="A473" t="str">
            <v>1.2.1.5.1.3.6.1</v>
          </cell>
          <cell r="B473">
            <v>0</v>
          </cell>
          <cell r="C473">
            <v>0</v>
          </cell>
        </row>
        <row r="474">
          <cell r="A474" t="str">
            <v>1.2.1.5.1.3.6.2</v>
          </cell>
          <cell r="B474">
            <v>0</v>
          </cell>
          <cell r="C474">
            <v>0</v>
          </cell>
        </row>
        <row r="475">
          <cell r="A475" t="str">
            <v>1.2.1.5.1.3.6.3</v>
          </cell>
          <cell r="B475">
            <v>0</v>
          </cell>
          <cell r="C475">
            <v>0</v>
          </cell>
        </row>
        <row r="476">
          <cell r="A476" t="str">
            <v>1.2.1.5.1.3.6.4</v>
          </cell>
          <cell r="B476">
            <v>0</v>
          </cell>
          <cell r="C476">
            <v>0</v>
          </cell>
        </row>
        <row r="477">
          <cell r="A477" t="str">
            <v>1.2.1.5.2</v>
          </cell>
          <cell r="B477">
            <v>0</v>
          </cell>
          <cell r="C477">
            <v>0</v>
          </cell>
        </row>
        <row r="478">
          <cell r="A478" t="str">
            <v>1.2.1.5.2.1</v>
          </cell>
          <cell r="B478">
            <v>0</v>
          </cell>
          <cell r="C478">
            <v>0</v>
          </cell>
        </row>
        <row r="479">
          <cell r="A479" t="str">
            <v>1.2.1.5.2.2</v>
          </cell>
          <cell r="B479">
            <v>0</v>
          </cell>
          <cell r="C479">
            <v>0</v>
          </cell>
        </row>
        <row r="480">
          <cell r="A480" t="str">
            <v>1.2.1.5.2.3</v>
          </cell>
          <cell r="B480">
            <v>0</v>
          </cell>
          <cell r="C480">
            <v>0</v>
          </cell>
        </row>
        <row r="481">
          <cell r="A481" t="str">
            <v>1.2.1.6</v>
          </cell>
          <cell r="B481">
            <v>0</v>
          </cell>
          <cell r="C481">
            <v>0</v>
          </cell>
        </row>
        <row r="482">
          <cell r="A482" t="str">
            <v>1.2.2</v>
          </cell>
          <cell r="B482">
            <v>92967</v>
          </cell>
          <cell r="C482">
            <v>0</v>
          </cell>
        </row>
        <row r="483">
          <cell r="A483" t="str">
            <v>1.2.2.1</v>
          </cell>
          <cell r="B483">
            <v>1742</v>
          </cell>
          <cell r="C483">
            <v>0</v>
          </cell>
        </row>
        <row r="484">
          <cell r="A484" t="str">
            <v>1.2.2.1.1</v>
          </cell>
          <cell r="B484">
            <v>1742</v>
          </cell>
        </row>
        <row r="485">
          <cell r="A485" t="str">
            <v>1.2.2.2</v>
          </cell>
          <cell r="B485">
            <v>21643</v>
          </cell>
          <cell r="C485">
            <v>0</v>
          </cell>
        </row>
        <row r="486">
          <cell r="A486" t="str">
            <v>1.2.2.2.1</v>
          </cell>
          <cell r="B486">
            <v>0</v>
          </cell>
          <cell r="C486">
            <v>0</v>
          </cell>
        </row>
        <row r="487">
          <cell r="A487" t="str">
            <v>1.2.2.2.2</v>
          </cell>
          <cell r="B487">
            <v>16000</v>
          </cell>
        </row>
        <row r="488">
          <cell r="A488" t="str">
            <v>1.2.2.2.3</v>
          </cell>
          <cell r="B488">
            <v>1783</v>
          </cell>
        </row>
        <row r="489">
          <cell r="A489" t="str">
            <v>1.2.2.2.4</v>
          </cell>
          <cell r="B489">
            <v>360</v>
          </cell>
        </row>
        <row r="490">
          <cell r="A490" t="str">
            <v>1.2.2.2.5</v>
          </cell>
          <cell r="B490">
            <v>0</v>
          </cell>
          <cell r="C490">
            <v>0</v>
          </cell>
        </row>
        <row r="491">
          <cell r="A491" t="str">
            <v>1.2.2.2.6</v>
          </cell>
          <cell r="B491">
            <v>0</v>
          </cell>
          <cell r="C491">
            <v>0</v>
          </cell>
        </row>
        <row r="492">
          <cell r="A492" t="str">
            <v>1.2.2.2.7</v>
          </cell>
          <cell r="B492">
            <v>0</v>
          </cell>
          <cell r="C492">
            <v>0</v>
          </cell>
        </row>
        <row r="493">
          <cell r="A493" t="str">
            <v>1.2.2.2.8</v>
          </cell>
          <cell r="B493">
            <v>0</v>
          </cell>
          <cell r="C493">
            <v>0</v>
          </cell>
        </row>
        <row r="494">
          <cell r="A494" t="str">
            <v>1.2.2.2.9</v>
          </cell>
          <cell r="B494">
            <v>3500</v>
          </cell>
        </row>
        <row r="495">
          <cell r="A495" t="str">
            <v>1.2.2.2.10</v>
          </cell>
          <cell r="B495">
            <v>0</v>
          </cell>
          <cell r="C495">
            <v>0</v>
          </cell>
        </row>
        <row r="496">
          <cell r="A496" t="str">
            <v>1.2.2.2.10.1</v>
          </cell>
          <cell r="B496">
            <v>0</v>
          </cell>
          <cell r="C496">
            <v>0</v>
          </cell>
        </row>
        <row r="497">
          <cell r="A497" t="str">
            <v>1.2.2.2.10.2</v>
          </cell>
          <cell r="B497">
            <v>0</v>
          </cell>
          <cell r="C497">
            <v>0</v>
          </cell>
        </row>
        <row r="498">
          <cell r="A498" t="str">
            <v>1.2.2.3</v>
          </cell>
          <cell r="B498">
            <v>19324</v>
          </cell>
          <cell r="C498">
            <v>0</v>
          </cell>
        </row>
        <row r="499">
          <cell r="A499" t="str">
            <v>1.2.2.3.1</v>
          </cell>
          <cell r="B499">
            <v>8482</v>
          </cell>
          <cell r="C499">
            <v>1</v>
          </cell>
        </row>
        <row r="500">
          <cell r="A500" t="str">
            <v>1.2.2.3.2</v>
          </cell>
          <cell r="B500">
            <v>8520</v>
          </cell>
          <cell r="C500">
            <v>0</v>
          </cell>
        </row>
        <row r="501">
          <cell r="A501" t="str">
            <v>1.2.2.3.2.1</v>
          </cell>
          <cell r="B501">
            <v>0</v>
          </cell>
          <cell r="C501">
            <v>0</v>
          </cell>
        </row>
        <row r="502">
          <cell r="A502" t="str">
            <v>1.2.2.3.2.2</v>
          </cell>
          <cell r="B502">
            <v>0</v>
          </cell>
          <cell r="C502">
            <v>0</v>
          </cell>
        </row>
        <row r="503">
          <cell r="A503" t="str">
            <v>1.2.2.3.2.3</v>
          </cell>
          <cell r="B503">
            <v>1520</v>
          </cell>
          <cell r="C503">
            <v>1</v>
          </cell>
        </row>
        <row r="504">
          <cell r="A504" t="str">
            <v>1.2.2.3.2.4</v>
          </cell>
          <cell r="B504">
            <v>7000</v>
          </cell>
        </row>
        <row r="505">
          <cell r="A505" t="str">
            <v>1.2.2.3.3</v>
          </cell>
          <cell r="B505">
            <v>2322</v>
          </cell>
          <cell r="C505">
            <v>0</v>
          </cell>
        </row>
        <row r="506">
          <cell r="A506" t="str">
            <v>1.2.2.3.3.1</v>
          </cell>
          <cell r="B506">
            <v>1562</v>
          </cell>
        </row>
        <row r="507">
          <cell r="A507" t="str">
            <v>1.2.2.3.3.2</v>
          </cell>
          <cell r="B507">
            <v>0</v>
          </cell>
          <cell r="C507">
            <v>0</v>
          </cell>
        </row>
        <row r="508">
          <cell r="A508" t="str">
            <v>1.2.2.3.3.3</v>
          </cell>
          <cell r="B508">
            <v>760</v>
          </cell>
        </row>
        <row r="509">
          <cell r="A509" t="str">
            <v>1.2.2.3.3.4</v>
          </cell>
          <cell r="B509">
            <v>0</v>
          </cell>
          <cell r="C509">
            <v>0</v>
          </cell>
        </row>
        <row r="510">
          <cell r="A510" t="str">
            <v>1.2.2.3.3.5</v>
          </cell>
          <cell r="B510">
            <v>0</v>
          </cell>
          <cell r="C510">
            <v>0</v>
          </cell>
        </row>
        <row r="511">
          <cell r="A511" t="str">
            <v>1.2.2.4</v>
          </cell>
          <cell r="B511">
            <v>23957</v>
          </cell>
          <cell r="C511">
            <v>0</v>
          </cell>
        </row>
        <row r="512">
          <cell r="A512" t="str">
            <v>1.2.2.4.1</v>
          </cell>
          <cell r="B512">
            <v>3280</v>
          </cell>
        </row>
        <row r="513">
          <cell r="A513" t="str">
            <v>1.2.2.4.2</v>
          </cell>
          <cell r="B513">
            <v>0</v>
          </cell>
          <cell r="C513">
            <v>0</v>
          </cell>
        </row>
        <row r="514">
          <cell r="A514" t="str">
            <v>1.2.2.4.3</v>
          </cell>
          <cell r="B514">
            <v>0</v>
          </cell>
          <cell r="C514">
            <v>0</v>
          </cell>
        </row>
        <row r="515">
          <cell r="A515" t="str">
            <v>1.2.2.4.4</v>
          </cell>
          <cell r="B515">
            <v>7141</v>
          </cell>
          <cell r="C515">
            <v>1</v>
          </cell>
        </row>
        <row r="516">
          <cell r="A516" t="str">
            <v>1.2.2.4.5</v>
          </cell>
          <cell r="B516">
            <v>9196</v>
          </cell>
          <cell r="C516">
            <v>1</v>
          </cell>
        </row>
        <row r="517">
          <cell r="A517" t="str">
            <v>1.2.2.4.6</v>
          </cell>
          <cell r="B517">
            <v>4340</v>
          </cell>
          <cell r="C517">
            <v>1</v>
          </cell>
        </row>
        <row r="518">
          <cell r="A518" t="str">
            <v>1.2.2.4.7</v>
          </cell>
          <cell r="B518">
            <v>0</v>
          </cell>
          <cell r="C518">
            <v>0</v>
          </cell>
        </row>
        <row r="519">
          <cell r="A519" t="str">
            <v>1.2.2.4.8</v>
          </cell>
          <cell r="B519">
            <v>0</v>
          </cell>
          <cell r="C519">
            <v>0</v>
          </cell>
        </row>
        <row r="520">
          <cell r="A520" t="str">
            <v>1.2.2.4.9</v>
          </cell>
          <cell r="B520">
            <v>0</v>
          </cell>
          <cell r="C520">
            <v>0</v>
          </cell>
        </row>
        <row r="521">
          <cell r="A521" t="str">
            <v>1.2.2.5</v>
          </cell>
          <cell r="B521">
            <v>16131</v>
          </cell>
          <cell r="C521">
            <v>0</v>
          </cell>
        </row>
        <row r="522">
          <cell r="A522" t="str">
            <v>1.2.2.5.1</v>
          </cell>
          <cell r="B522">
            <v>4331</v>
          </cell>
        </row>
        <row r="523">
          <cell r="A523" t="str">
            <v>1.2.2.5.2</v>
          </cell>
          <cell r="B523">
            <v>0</v>
          </cell>
          <cell r="C523">
            <v>0</v>
          </cell>
        </row>
        <row r="524">
          <cell r="A524" t="str">
            <v>1.2.2.5.3</v>
          </cell>
          <cell r="B524">
            <v>11800</v>
          </cell>
        </row>
        <row r="525">
          <cell r="A525" t="str">
            <v>1.2.2.5.4</v>
          </cell>
          <cell r="B525">
            <v>0</v>
          </cell>
          <cell r="C525">
            <v>0</v>
          </cell>
        </row>
        <row r="526">
          <cell r="A526" t="str">
            <v>1.2.2.5.5</v>
          </cell>
          <cell r="B526">
            <v>0</v>
          </cell>
          <cell r="C526">
            <v>0</v>
          </cell>
        </row>
        <row r="527">
          <cell r="A527" t="str">
            <v>1.2.2.6</v>
          </cell>
          <cell r="B527">
            <v>7170</v>
          </cell>
          <cell r="C527">
            <v>0</v>
          </cell>
        </row>
        <row r="528">
          <cell r="A528" t="str">
            <v>1.2.2.6.1</v>
          </cell>
          <cell r="B528">
            <v>0</v>
          </cell>
          <cell r="C528">
            <v>0</v>
          </cell>
        </row>
        <row r="529">
          <cell r="A529" t="str">
            <v>1.2.2.6.2</v>
          </cell>
          <cell r="B529">
            <v>2170</v>
          </cell>
        </row>
        <row r="530">
          <cell r="A530" t="str">
            <v>1.2.2.6.3</v>
          </cell>
          <cell r="B530">
            <v>5000</v>
          </cell>
          <cell r="C530">
            <v>0</v>
          </cell>
        </row>
        <row r="531">
          <cell r="A531" t="str">
            <v>1.2.2.6.3.1</v>
          </cell>
          <cell r="B531">
            <v>5000</v>
          </cell>
        </row>
        <row r="532">
          <cell r="A532" t="str">
            <v>1.2.2.6.3.2</v>
          </cell>
          <cell r="B532">
            <v>0</v>
          </cell>
          <cell r="C532">
            <v>0</v>
          </cell>
        </row>
        <row r="533">
          <cell r="A533" t="str">
            <v>1.2.2.7</v>
          </cell>
          <cell r="B533">
            <v>3000</v>
          </cell>
          <cell r="C533">
            <v>0</v>
          </cell>
        </row>
        <row r="534">
          <cell r="A534" t="str">
            <v>1.2.2.7.1</v>
          </cell>
          <cell r="B534">
            <v>3000</v>
          </cell>
        </row>
        <row r="535">
          <cell r="A535" t="str">
            <v>1.2.2.7.2</v>
          </cell>
          <cell r="B535">
            <v>0</v>
          </cell>
          <cell r="C535">
            <v>0</v>
          </cell>
        </row>
        <row r="536">
          <cell r="A536" t="str">
            <v>1.2.2.8</v>
          </cell>
          <cell r="B536">
            <v>0</v>
          </cell>
          <cell r="C536">
            <v>0</v>
          </cell>
        </row>
        <row r="537">
          <cell r="A537" t="str">
            <v>1.2.2.8.1</v>
          </cell>
          <cell r="B537">
            <v>0</v>
          </cell>
          <cell r="C537">
            <v>0</v>
          </cell>
        </row>
        <row r="538">
          <cell r="A538" t="str">
            <v>1.2.2.8.2</v>
          </cell>
          <cell r="B538">
            <v>0</v>
          </cell>
          <cell r="C538">
            <v>0</v>
          </cell>
        </row>
        <row r="539">
          <cell r="A539" t="str">
            <v>1.2.2.8.3</v>
          </cell>
          <cell r="B539">
            <v>0</v>
          </cell>
          <cell r="C539">
            <v>0</v>
          </cell>
        </row>
        <row r="540">
          <cell r="A540" t="str">
            <v>1.2.2.8.4</v>
          </cell>
          <cell r="B540">
            <v>0</v>
          </cell>
          <cell r="C540">
            <v>0</v>
          </cell>
        </row>
        <row r="541">
          <cell r="A541" t="str">
            <v>1.2.2.9</v>
          </cell>
          <cell r="B541">
            <v>0</v>
          </cell>
          <cell r="C541">
            <v>0</v>
          </cell>
        </row>
        <row r="542">
          <cell r="A542" t="str">
            <v>1.2.2.10</v>
          </cell>
          <cell r="B542">
            <v>0</v>
          </cell>
          <cell r="C542">
            <v>0</v>
          </cell>
        </row>
        <row r="543">
          <cell r="A543" t="str">
            <v>1.2.2.10.1</v>
          </cell>
          <cell r="B543">
            <v>0</v>
          </cell>
          <cell r="C543">
            <v>0</v>
          </cell>
        </row>
        <row r="544">
          <cell r="A544" t="str">
            <v>1.2.2.10.2</v>
          </cell>
          <cell r="B544">
            <v>0</v>
          </cell>
          <cell r="C544">
            <v>0</v>
          </cell>
        </row>
        <row r="545">
          <cell r="A545" t="str">
            <v>1.2.2.11</v>
          </cell>
          <cell r="B545">
            <v>0</v>
          </cell>
          <cell r="C545">
            <v>0</v>
          </cell>
        </row>
        <row r="546">
          <cell r="A546" t="str">
            <v>1.3</v>
          </cell>
          <cell r="B546">
            <v>1384304.93</v>
          </cell>
          <cell r="C546">
            <v>0</v>
          </cell>
        </row>
        <row r="547">
          <cell r="A547" t="str">
            <v>1.3.1</v>
          </cell>
          <cell r="B547">
            <v>0</v>
          </cell>
          <cell r="C547">
            <v>0</v>
          </cell>
        </row>
        <row r="548">
          <cell r="A548" t="str">
            <v>1.3.1.1</v>
          </cell>
          <cell r="B548">
            <v>0</v>
          </cell>
          <cell r="C548">
            <v>0</v>
          </cell>
        </row>
        <row r="549">
          <cell r="A549" t="str">
            <v>1.3.1.1.1</v>
          </cell>
          <cell r="B549">
            <v>0</v>
          </cell>
          <cell r="C549">
            <v>0</v>
          </cell>
        </row>
        <row r="550">
          <cell r="A550" t="str">
            <v>1.3.1.1.2</v>
          </cell>
          <cell r="B550">
            <v>0</v>
          </cell>
          <cell r="C550">
            <v>0</v>
          </cell>
        </row>
        <row r="551">
          <cell r="A551" t="str">
            <v>1.3.1.1.3</v>
          </cell>
          <cell r="B551">
            <v>0</v>
          </cell>
          <cell r="C551">
            <v>0</v>
          </cell>
        </row>
        <row r="552">
          <cell r="A552" t="str">
            <v>1.3.1.1.4</v>
          </cell>
          <cell r="B552">
            <v>0</v>
          </cell>
          <cell r="C552">
            <v>0</v>
          </cell>
        </row>
        <row r="553">
          <cell r="A553" t="str">
            <v>1.3.1.1.5</v>
          </cell>
          <cell r="B553">
            <v>0</v>
          </cell>
          <cell r="C553">
            <v>0</v>
          </cell>
        </row>
        <row r="554">
          <cell r="A554" t="str">
            <v>1.3.1.1.6</v>
          </cell>
          <cell r="B554">
            <v>0</v>
          </cell>
          <cell r="C554">
            <v>0</v>
          </cell>
        </row>
        <row r="555">
          <cell r="A555" t="str">
            <v>1.3.1.1.7</v>
          </cell>
          <cell r="B555">
            <v>0</v>
          </cell>
          <cell r="C555">
            <v>0</v>
          </cell>
        </row>
        <row r="556">
          <cell r="A556" t="str">
            <v>1.3.1.1.8</v>
          </cell>
          <cell r="B556">
            <v>0</v>
          </cell>
          <cell r="C556">
            <v>0</v>
          </cell>
        </row>
        <row r="557">
          <cell r="A557" t="str">
            <v>1.3.1.2</v>
          </cell>
          <cell r="B557">
            <v>0</v>
          </cell>
          <cell r="C557">
            <v>0</v>
          </cell>
        </row>
        <row r="558">
          <cell r="A558" t="str">
            <v>1.3.1.2.1</v>
          </cell>
          <cell r="B558">
            <v>0</v>
          </cell>
          <cell r="C558">
            <v>0</v>
          </cell>
        </row>
        <row r="559">
          <cell r="A559" t="str">
            <v>1.3.1.2.2</v>
          </cell>
          <cell r="B559">
            <v>0</v>
          </cell>
          <cell r="C559">
            <v>0</v>
          </cell>
        </row>
        <row r="560">
          <cell r="A560" t="str">
            <v>1.3.1.2.3</v>
          </cell>
          <cell r="B560">
            <v>0</v>
          </cell>
          <cell r="C560">
            <v>0</v>
          </cell>
        </row>
        <row r="561">
          <cell r="A561" t="str">
            <v>1.3.1.3</v>
          </cell>
          <cell r="B561">
            <v>0</v>
          </cell>
          <cell r="C561">
            <v>0</v>
          </cell>
        </row>
        <row r="562">
          <cell r="A562" t="str">
            <v>1.3.1.3.1</v>
          </cell>
          <cell r="B562">
            <v>0</v>
          </cell>
          <cell r="C562">
            <v>0</v>
          </cell>
        </row>
        <row r="563">
          <cell r="A563" t="str">
            <v>1.3.1.3.2</v>
          </cell>
          <cell r="B563">
            <v>0</v>
          </cell>
          <cell r="C563">
            <v>0</v>
          </cell>
        </row>
        <row r="564">
          <cell r="A564" t="str">
            <v>1.3.1.4</v>
          </cell>
          <cell r="B564">
            <v>0</v>
          </cell>
          <cell r="C564">
            <v>0</v>
          </cell>
        </row>
        <row r="565">
          <cell r="A565" t="str">
            <v>1.3.1.4.1</v>
          </cell>
          <cell r="B565">
            <v>0</v>
          </cell>
          <cell r="C565">
            <v>0</v>
          </cell>
        </row>
        <row r="566">
          <cell r="A566" t="str">
            <v>1.3.1.4.2</v>
          </cell>
          <cell r="B566">
            <v>0</v>
          </cell>
          <cell r="C566">
            <v>0</v>
          </cell>
        </row>
        <row r="567">
          <cell r="A567" t="str">
            <v>1.3.1.5</v>
          </cell>
          <cell r="B567">
            <v>0</v>
          </cell>
          <cell r="C567">
            <v>0</v>
          </cell>
        </row>
        <row r="568">
          <cell r="A568" t="str">
            <v>1.3.1.5.1</v>
          </cell>
          <cell r="B568">
            <v>0</v>
          </cell>
          <cell r="C568">
            <v>0</v>
          </cell>
        </row>
        <row r="569">
          <cell r="A569" t="str">
            <v>1.3.1.6</v>
          </cell>
          <cell r="B569">
            <v>0</v>
          </cell>
          <cell r="C569">
            <v>0</v>
          </cell>
        </row>
        <row r="570">
          <cell r="A570" t="str">
            <v>1.3.1.6.1</v>
          </cell>
          <cell r="B570">
            <v>0</v>
          </cell>
          <cell r="C570">
            <v>0</v>
          </cell>
        </row>
        <row r="571">
          <cell r="A571" t="str">
            <v>1.3.1.6.2</v>
          </cell>
          <cell r="B571">
            <v>0</v>
          </cell>
          <cell r="C571">
            <v>0</v>
          </cell>
        </row>
        <row r="572">
          <cell r="A572" t="str">
            <v>1.3.1.7</v>
          </cell>
          <cell r="B572">
            <v>0</v>
          </cell>
          <cell r="C572">
            <v>0</v>
          </cell>
        </row>
        <row r="573">
          <cell r="A573" t="str">
            <v>1.3.1.7.1</v>
          </cell>
          <cell r="B573">
            <v>0</v>
          </cell>
          <cell r="C573">
            <v>0</v>
          </cell>
        </row>
        <row r="574">
          <cell r="A574" t="str">
            <v>1.3.1.7.2</v>
          </cell>
          <cell r="B574">
            <v>0</v>
          </cell>
          <cell r="C574">
            <v>0</v>
          </cell>
        </row>
        <row r="575">
          <cell r="A575" t="str">
            <v>1.3.1.8</v>
          </cell>
          <cell r="B575">
            <v>0</v>
          </cell>
          <cell r="C575">
            <v>0</v>
          </cell>
        </row>
        <row r="576">
          <cell r="A576" t="str">
            <v>1.3.1.8.1</v>
          </cell>
          <cell r="B576">
            <v>0</v>
          </cell>
          <cell r="C576">
            <v>0</v>
          </cell>
        </row>
        <row r="577">
          <cell r="A577" t="str">
            <v>1.3.1.8.2</v>
          </cell>
          <cell r="B577">
            <v>0</v>
          </cell>
          <cell r="C577">
            <v>0</v>
          </cell>
        </row>
        <row r="578">
          <cell r="A578" t="str">
            <v>1.3.1.8.3</v>
          </cell>
          <cell r="B578">
            <v>0</v>
          </cell>
          <cell r="C578">
            <v>0</v>
          </cell>
        </row>
        <row r="579">
          <cell r="A579" t="str">
            <v>1.3.1.8.4</v>
          </cell>
          <cell r="B579">
            <v>0</v>
          </cell>
          <cell r="C579">
            <v>0</v>
          </cell>
        </row>
        <row r="580">
          <cell r="A580" t="str">
            <v>1.3.1.9</v>
          </cell>
          <cell r="B580">
            <v>0</v>
          </cell>
          <cell r="C580">
            <v>0</v>
          </cell>
        </row>
        <row r="581">
          <cell r="A581" t="str">
            <v>1.3.1.9.1</v>
          </cell>
          <cell r="B581">
            <v>0</v>
          </cell>
          <cell r="C581">
            <v>0</v>
          </cell>
        </row>
        <row r="582">
          <cell r="A582" t="str">
            <v>1.3.1.9.2</v>
          </cell>
          <cell r="B582">
            <v>0</v>
          </cell>
          <cell r="C582">
            <v>0</v>
          </cell>
        </row>
        <row r="583">
          <cell r="A583" t="str">
            <v>1.3.1.9.3</v>
          </cell>
          <cell r="B583">
            <v>0</v>
          </cell>
          <cell r="C583">
            <v>0</v>
          </cell>
        </row>
        <row r="584">
          <cell r="A584" t="str">
            <v>1.3.1.9.4</v>
          </cell>
          <cell r="B584">
            <v>0</v>
          </cell>
          <cell r="C584">
            <v>0</v>
          </cell>
        </row>
        <row r="585">
          <cell r="A585" t="str">
            <v>1.3.1.9.5</v>
          </cell>
          <cell r="B585">
            <v>0</v>
          </cell>
          <cell r="C585">
            <v>0</v>
          </cell>
        </row>
        <row r="586">
          <cell r="A586" t="str">
            <v>1.3.1.9.6</v>
          </cell>
          <cell r="B586">
            <v>0</v>
          </cell>
          <cell r="C586">
            <v>0</v>
          </cell>
        </row>
        <row r="587">
          <cell r="A587" t="str">
            <v>1.3.2</v>
          </cell>
          <cell r="B587">
            <v>234061.02</v>
          </cell>
          <cell r="C587">
            <v>0</v>
          </cell>
        </row>
        <row r="588">
          <cell r="A588" t="str">
            <v>1.3.2.1</v>
          </cell>
          <cell r="B588">
            <v>0</v>
          </cell>
          <cell r="C588">
            <v>0</v>
          </cell>
        </row>
        <row r="589">
          <cell r="A589" t="str">
            <v>1.3.2.2</v>
          </cell>
          <cell r="B589">
            <v>174251.21</v>
          </cell>
          <cell r="C589">
            <v>0</v>
          </cell>
        </row>
        <row r="590">
          <cell r="A590" t="str">
            <v>1.3.2.2.1</v>
          </cell>
          <cell r="B590">
            <v>0</v>
          </cell>
          <cell r="C590">
            <v>0</v>
          </cell>
        </row>
        <row r="591">
          <cell r="A591" t="str">
            <v>1.3.2.2.2</v>
          </cell>
          <cell r="B591">
            <v>19495.31</v>
          </cell>
          <cell r="C591">
            <v>0.936</v>
          </cell>
        </row>
        <row r="592">
          <cell r="A592" t="str">
            <v>1.3.2.2.3</v>
          </cell>
          <cell r="B592">
            <v>6400</v>
          </cell>
          <cell r="C592">
            <v>0.256</v>
          </cell>
        </row>
        <row r="593">
          <cell r="A593" t="str">
            <v>1.3.2.2.4</v>
          </cell>
          <cell r="B593">
            <v>0</v>
          </cell>
          <cell r="C593">
            <v>0</v>
          </cell>
        </row>
        <row r="594">
          <cell r="A594" t="str">
            <v>1.3.2.2.5</v>
          </cell>
          <cell r="B594">
            <v>12820.5</v>
          </cell>
          <cell r="C594">
            <v>0.09562</v>
          </cell>
        </row>
        <row r="595">
          <cell r="A595" t="str">
            <v>1.3.2.2.6</v>
          </cell>
          <cell r="B595">
            <v>28099.74</v>
          </cell>
          <cell r="C595">
            <v>0.26341</v>
          </cell>
        </row>
        <row r="596">
          <cell r="A596" t="str">
            <v>1.3.2.2.7</v>
          </cell>
          <cell r="B596">
            <v>54487.99</v>
          </cell>
          <cell r="C596">
            <v>0.945</v>
          </cell>
        </row>
        <row r="597">
          <cell r="A597" t="str">
            <v>1.3.2.2.8</v>
          </cell>
          <cell r="B597">
            <v>19968</v>
          </cell>
          <cell r="C597">
            <v>0.386</v>
          </cell>
        </row>
        <row r="598">
          <cell r="A598" t="str">
            <v>1.3.2.2.9</v>
          </cell>
          <cell r="B598">
            <v>3340</v>
          </cell>
          <cell r="C598">
            <v>0.0909</v>
          </cell>
        </row>
        <row r="599">
          <cell r="A599" t="str">
            <v>1.3.2.2.10</v>
          </cell>
          <cell r="B599">
            <v>0</v>
          </cell>
          <cell r="C599">
            <v>0</v>
          </cell>
        </row>
        <row r="600">
          <cell r="A600" t="str">
            <v>1.3.2.2.11</v>
          </cell>
          <cell r="B600">
            <v>3112.18</v>
          </cell>
          <cell r="C600">
            <v>0.141</v>
          </cell>
        </row>
        <row r="601">
          <cell r="A601" t="str">
            <v>1.3.2.2.12</v>
          </cell>
          <cell r="B601">
            <v>0</v>
          </cell>
          <cell r="C601">
            <v>0</v>
          </cell>
        </row>
        <row r="602">
          <cell r="A602" t="str">
            <v>1.3.2.2.13</v>
          </cell>
          <cell r="B602">
            <v>10549.45</v>
          </cell>
          <cell r="C602">
            <v>0.148</v>
          </cell>
        </row>
        <row r="603">
          <cell r="A603" t="str">
            <v>1.3.2.2.14</v>
          </cell>
          <cell r="B603">
            <v>5978.04</v>
          </cell>
          <cell r="C603">
            <v>0.94</v>
          </cell>
        </row>
        <row r="604">
          <cell r="A604" t="str">
            <v>1.3.2.2.15</v>
          </cell>
          <cell r="B604">
            <v>0</v>
          </cell>
          <cell r="C604">
            <v>0</v>
          </cell>
        </row>
        <row r="605">
          <cell r="A605" t="str">
            <v>1.3.2.2.16</v>
          </cell>
          <cell r="B605">
            <v>0</v>
          </cell>
          <cell r="C605">
            <v>0</v>
          </cell>
        </row>
        <row r="606">
          <cell r="A606" t="str">
            <v>1.3.2.2.17</v>
          </cell>
          <cell r="B606">
            <v>10000</v>
          </cell>
          <cell r="C606">
            <v>1</v>
          </cell>
        </row>
        <row r="607">
          <cell r="A607" t="str">
            <v>1.3.2.3</v>
          </cell>
          <cell r="B607">
            <v>59809.81</v>
          </cell>
          <cell r="C607">
            <v>0</v>
          </cell>
        </row>
        <row r="608">
          <cell r="A608" t="str">
            <v>1.3.2.3.1</v>
          </cell>
          <cell r="B608">
            <v>-65829.77</v>
          </cell>
          <cell r="C608">
            <v>0</v>
          </cell>
        </row>
        <row r="609">
          <cell r="A609" t="str">
            <v>1.3.2.3.2</v>
          </cell>
          <cell r="B609">
            <v>1604.7</v>
          </cell>
          <cell r="C609">
            <v>0</v>
          </cell>
        </row>
        <row r="610">
          <cell r="A610" t="str">
            <v>1.3.2.3.3</v>
          </cell>
          <cell r="B610">
            <v>0</v>
          </cell>
          <cell r="C610">
            <v>0</v>
          </cell>
        </row>
        <row r="611">
          <cell r="A611" t="str">
            <v>1.3.2.3.4</v>
          </cell>
          <cell r="B611">
            <v>0</v>
          </cell>
          <cell r="C611">
            <v>0</v>
          </cell>
        </row>
        <row r="612">
          <cell r="A612" t="str">
            <v>1.3.2.3.5</v>
          </cell>
          <cell r="B612">
            <v>0</v>
          </cell>
          <cell r="C612">
            <v>0</v>
          </cell>
        </row>
        <row r="613">
          <cell r="A613" t="str">
            <v>1.3.2.3.6</v>
          </cell>
          <cell r="B613">
            <v>3256</v>
          </cell>
          <cell r="C613">
            <v>0.02428</v>
          </cell>
        </row>
        <row r="614">
          <cell r="A614" t="str">
            <v>1.3.2.3.7</v>
          </cell>
          <cell r="B614">
            <v>6685.01</v>
          </cell>
          <cell r="C614">
            <v>0.04988</v>
          </cell>
        </row>
        <row r="615">
          <cell r="A615" t="str">
            <v>1.3.2.3.8</v>
          </cell>
          <cell r="B615">
            <v>4066.3</v>
          </cell>
          <cell r="C615">
            <v>0.1866</v>
          </cell>
        </row>
        <row r="616">
          <cell r="A616" t="str">
            <v>1.3.2.3.9</v>
          </cell>
          <cell r="B616">
            <v>20904</v>
          </cell>
          <cell r="C616">
            <v>0.965</v>
          </cell>
        </row>
        <row r="617">
          <cell r="A617" t="str">
            <v>1.3.2.3.10</v>
          </cell>
          <cell r="B617">
            <v>0</v>
          </cell>
          <cell r="C617">
            <v>0</v>
          </cell>
        </row>
        <row r="618">
          <cell r="A618" t="str">
            <v>1.3.2.3.11</v>
          </cell>
          <cell r="B618">
            <v>0</v>
          </cell>
          <cell r="C618">
            <v>0</v>
          </cell>
        </row>
        <row r="619">
          <cell r="A619" t="str">
            <v>1.3.2.3.12</v>
          </cell>
          <cell r="B619">
            <v>10449</v>
          </cell>
          <cell r="C619">
            <v>0</v>
          </cell>
        </row>
        <row r="620">
          <cell r="A620" t="str">
            <v>1.3.2.3.13</v>
          </cell>
          <cell r="B620">
            <v>6479.53</v>
          </cell>
          <cell r="C620">
            <v>0.164</v>
          </cell>
        </row>
        <row r="621">
          <cell r="A621" t="str">
            <v>1.3.2.3.14</v>
          </cell>
          <cell r="B621">
            <v>1365.27</v>
          </cell>
          <cell r="C621">
            <v>0.266</v>
          </cell>
        </row>
        <row r="622">
          <cell r="A622" t="str">
            <v>1.3.2.3.15</v>
          </cell>
          <cell r="B622">
            <v>0</v>
          </cell>
          <cell r="C622">
            <v>0</v>
          </cell>
        </row>
        <row r="623">
          <cell r="A623" t="str">
            <v>1.3.2.3.16</v>
          </cell>
          <cell r="B623">
            <v>5000</v>
          </cell>
          <cell r="C623">
            <v>0.33</v>
          </cell>
        </row>
        <row r="624">
          <cell r="A624" t="str">
            <v>1.3.2.3.17</v>
          </cell>
          <cell r="B624">
            <v>0</v>
          </cell>
          <cell r="C624">
            <v>0</v>
          </cell>
        </row>
        <row r="625">
          <cell r="A625" t="str">
            <v>1.3.2.4</v>
          </cell>
          <cell r="B625">
            <v>0</v>
          </cell>
          <cell r="C625">
            <v>0</v>
          </cell>
        </row>
        <row r="626">
          <cell r="A626" t="str">
            <v>1.3.2.4.1</v>
          </cell>
          <cell r="B626">
            <v>0</v>
          </cell>
          <cell r="C626">
            <v>0</v>
          </cell>
        </row>
        <row r="627">
          <cell r="A627" t="str">
            <v>1.3.2.4.1.1</v>
          </cell>
          <cell r="B627">
            <v>0</v>
          </cell>
          <cell r="C627">
            <v>0</v>
          </cell>
        </row>
        <row r="628">
          <cell r="A628" t="str">
            <v>1.3.2.4.1.2</v>
          </cell>
          <cell r="B628">
            <v>0</v>
          </cell>
          <cell r="C628">
            <v>0</v>
          </cell>
        </row>
        <row r="629">
          <cell r="A629" t="str">
            <v>1.3.2.4.1.3</v>
          </cell>
          <cell r="B629">
            <v>0</v>
          </cell>
          <cell r="C629">
            <v>0</v>
          </cell>
        </row>
        <row r="630">
          <cell r="A630" t="str">
            <v>1.3.2.4.1.4</v>
          </cell>
          <cell r="B630">
            <v>0</v>
          </cell>
          <cell r="C630">
            <v>0</v>
          </cell>
        </row>
        <row r="631">
          <cell r="A631" t="str">
            <v>1.3.2.4.2</v>
          </cell>
          <cell r="B631">
            <v>0</v>
          </cell>
          <cell r="C631">
            <v>0</v>
          </cell>
        </row>
        <row r="632">
          <cell r="A632" t="str">
            <v>1.3.2.4.3</v>
          </cell>
          <cell r="B632">
            <v>0</v>
          </cell>
          <cell r="C632">
            <v>0</v>
          </cell>
        </row>
        <row r="633">
          <cell r="A633" t="str">
            <v>1.3.2.4.4</v>
          </cell>
          <cell r="B633">
            <v>0</v>
          </cell>
          <cell r="C633">
            <v>0</v>
          </cell>
        </row>
        <row r="634">
          <cell r="A634" t="str">
            <v>1.3.2.4.5</v>
          </cell>
          <cell r="B634">
            <v>0</v>
          </cell>
          <cell r="C634">
            <v>0</v>
          </cell>
        </row>
        <row r="635">
          <cell r="A635" t="str">
            <v>1.3.2.4.6</v>
          </cell>
          <cell r="B635">
            <v>0</v>
          </cell>
          <cell r="C635">
            <v>0</v>
          </cell>
        </row>
        <row r="636">
          <cell r="A636" t="str">
            <v>1.3.3</v>
          </cell>
          <cell r="B636">
            <v>312994.49</v>
          </cell>
          <cell r="C636">
            <v>0</v>
          </cell>
        </row>
        <row r="637">
          <cell r="A637" t="str">
            <v>1.3.3.1</v>
          </cell>
          <cell r="B637">
            <v>0</v>
          </cell>
          <cell r="C637">
            <v>0</v>
          </cell>
        </row>
        <row r="638">
          <cell r="A638" t="str">
            <v>1.3.3.2</v>
          </cell>
          <cell r="B638">
            <v>0</v>
          </cell>
          <cell r="C638">
            <v>0</v>
          </cell>
        </row>
        <row r="639">
          <cell r="A639" t="str">
            <v>1.3.3.3</v>
          </cell>
          <cell r="B639">
            <v>72577.5</v>
          </cell>
          <cell r="C639">
            <v>1</v>
          </cell>
        </row>
        <row r="640">
          <cell r="A640" t="str">
            <v>1.3.3.4</v>
          </cell>
          <cell r="B640">
            <v>0</v>
          </cell>
          <cell r="C640">
            <v>0</v>
          </cell>
        </row>
        <row r="641">
          <cell r="A641" t="str">
            <v>1.3.3.4.1</v>
          </cell>
          <cell r="B641">
            <v>0</v>
          </cell>
          <cell r="C641">
            <v>0</v>
          </cell>
        </row>
        <row r="642">
          <cell r="A642" t="str">
            <v>1.3.3.4.2</v>
          </cell>
          <cell r="B642">
            <v>0</v>
          </cell>
          <cell r="C642">
            <v>0</v>
          </cell>
        </row>
        <row r="643">
          <cell r="A643" t="str">
            <v>1.3.3.4.2.1</v>
          </cell>
          <cell r="B643">
            <v>0</v>
          </cell>
          <cell r="C643">
            <v>0</v>
          </cell>
        </row>
        <row r="644">
          <cell r="A644" t="str">
            <v>1.3.3.4.2.2</v>
          </cell>
          <cell r="B644">
            <v>0</v>
          </cell>
          <cell r="C644">
            <v>0</v>
          </cell>
        </row>
        <row r="645">
          <cell r="A645" t="str">
            <v>1.3.3.4.2.3</v>
          </cell>
          <cell r="B645">
            <v>0</v>
          </cell>
          <cell r="C645">
            <v>0</v>
          </cell>
        </row>
        <row r="646">
          <cell r="A646" t="str">
            <v>1.3.3.4.2.4</v>
          </cell>
          <cell r="B646">
            <v>0</v>
          </cell>
          <cell r="C646">
            <v>0</v>
          </cell>
        </row>
        <row r="647">
          <cell r="A647" t="str">
            <v>1.3.3.4.3</v>
          </cell>
          <cell r="B647">
            <v>0</v>
          </cell>
          <cell r="C647">
            <v>0</v>
          </cell>
        </row>
        <row r="648">
          <cell r="A648" t="str">
            <v>1.3.3.4.3.1</v>
          </cell>
          <cell r="B648">
            <v>-720</v>
          </cell>
          <cell r="C648">
            <v>0</v>
          </cell>
        </row>
        <row r="649">
          <cell r="A649" t="str">
            <v>1.3.3.4.3.2</v>
          </cell>
          <cell r="B649">
            <v>0</v>
          </cell>
          <cell r="C649">
            <v>0</v>
          </cell>
        </row>
        <row r="650">
          <cell r="A650" t="str">
            <v>1.3.3.4.3.3</v>
          </cell>
          <cell r="B650">
            <v>0</v>
          </cell>
          <cell r="C650">
            <v>0</v>
          </cell>
        </row>
        <row r="651">
          <cell r="A651" t="str">
            <v>1.3.3.5</v>
          </cell>
          <cell r="B651">
            <v>144884.64</v>
          </cell>
          <cell r="C651">
            <v>0</v>
          </cell>
        </row>
        <row r="652">
          <cell r="A652" t="str">
            <v>1.3.3.5.1</v>
          </cell>
          <cell r="B652">
            <v>120950</v>
          </cell>
          <cell r="C652">
            <v>0.95108</v>
          </cell>
        </row>
        <row r="653">
          <cell r="A653" t="str">
            <v>1.3.3.5.2</v>
          </cell>
          <cell r="B653">
            <v>13934.64</v>
          </cell>
          <cell r="C653">
            <v>0.33356</v>
          </cell>
        </row>
        <row r="654">
          <cell r="A654" t="str">
            <v>1.3.3.5.3</v>
          </cell>
          <cell r="B654">
            <v>10000</v>
          </cell>
          <cell r="C654">
            <v>0.53729</v>
          </cell>
        </row>
        <row r="655">
          <cell r="A655" t="str">
            <v>1.3.3.6</v>
          </cell>
          <cell r="B655">
            <v>0</v>
          </cell>
          <cell r="C655">
            <v>0</v>
          </cell>
        </row>
        <row r="656">
          <cell r="A656" t="str">
            <v>1.3.3.6.1</v>
          </cell>
          <cell r="B656">
            <v>0</v>
          </cell>
          <cell r="C656">
            <v>0</v>
          </cell>
        </row>
        <row r="657">
          <cell r="A657" t="str">
            <v>1.3.3.6.2</v>
          </cell>
          <cell r="B657">
            <v>0</v>
          </cell>
          <cell r="C657">
            <v>0</v>
          </cell>
        </row>
        <row r="658">
          <cell r="A658" t="str">
            <v>1.3.3.7</v>
          </cell>
          <cell r="B658">
            <v>1153.45</v>
          </cell>
          <cell r="C658">
            <v>0</v>
          </cell>
        </row>
        <row r="659">
          <cell r="A659" t="str">
            <v>1.3.3.7.1</v>
          </cell>
          <cell r="B659">
            <v>1153.45</v>
          </cell>
          <cell r="C659">
            <v>0.05</v>
          </cell>
        </row>
        <row r="660">
          <cell r="A660" t="str">
            <v>1.3.3.7.2</v>
          </cell>
          <cell r="B660">
            <v>0</v>
          </cell>
          <cell r="C660">
            <v>0</v>
          </cell>
        </row>
        <row r="661">
          <cell r="A661" t="str">
            <v>1.3.3.7.3</v>
          </cell>
          <cell r="B661">
            <v>0</v>
          </cell>
          <cell r="C661">
            <v>0</v>
          </cell>
        </row>
        <row r="662">
          <cell r="A662" t="str">
            <v>1.3.3.8</v>
          </cell>
          <cell r="B662">
            <v>30516.4</v>
          </cell>
          <cell r="C662">
            <v>0</v>
          </cell>
        </row>
        <row r="663">
          <cell r="A663" t="str">
            <v>1.3.3.8.1</v>
          </cell>
          <cell r="B663">
            <v>1188.4</v>
          </cell>
          <cell r="C663">
            <v>0.05</v>
          </cell>
        </row>
        <row r="664">
          <cell r="A664" t="str">
            <v>1.3.3.8.2</v>
          </cell>
          <cell r="B664">
            <v>0</v>
          </cell>
          <cell r="C664">
            <v>0</v>
          </cell>
        </row>
        <row r="665">
          <cell r="A665" t="str">
            <v>1.3.3.8.3</v>
          </cell>
          <cell r="B665">
            <v>29328</v>
          </cell>
          <cell r="C665">
            <v>0.611</v>
          </cell>
        </row>
        <row r="666">
          <cell r="A666" t="str">
            <v>1.3.3.8.4</v>
          </cell>
          <cell r="B666">
            <v>0</v>
          </cell>
          <cell r="C666">
            <v>0</v>
          </cell>
        </row>
        <row r="667">
          <cell r="A667" t="str">
            <v>1.3.3.9</v>
          </cell>
          <cell r="B667">
            <v>38862.5</v>
          </cell>
          <cell r="C667">
            <v>0</v>
          </cell>
        </row>
        <row r="668">
          <cell r="A668" t="str">
            <v>1.3.3.9.1</v>
          </cell>
          <cell r="B668">
            <v>0</v>
          </cell>
          <cell r="C668">
            <v>0</v>
          </cell>
        </row>
        <row r="669">
          <cell r="A669" t="str">
            <v>1.3.3.9.2</v>
          </cell>
          <cell r="B669">
            <v>33120</v>
          </cell>
          <cell r="C669">
            <v>0.91</v>
          </cell>
        </row>
        <row r="670">
          <cell r="A670" t="str">
            <v>1.3.3.9.3</v>
          </cell>
          <cell r="B670">
            <v>5742.5</v>
          </cell>
          <cell r="C670">
            <v>0.326</v>
          </cell>
        </row>
        <row r="671">
          <cell r="A671" t="str">
            <v>1.3.3.10</v>
          </cell>
          <cell r="B671">
            <v>25000</v>
          </cell>
          <cell r="C671">
            <v>0</v>
          </cell>
        </row>
        <row r="672">
          <cell r="A672" t="str">
            <v>1.3.3.10.1</v>
          </cell>
          <cell r="B672">
            <v>5000</v>
          </cell>
          <cell r="C672">
            <v>0.03729</v>
          </cell>
        </row>
        <row r="673">
          <cell r="A673" t="str">
            <v>1.3.3.10.2</v>
          </cell>
          <cell r="B673">
            <v>20000</v>
          </cell>
          <cell r="C673">
            <v>0.57459</v>
          </cell>
        </row>
        <row r="674">
          <cell r="A674" t="str">
            <v>1.3.4</v>
          </cell>
          <cell r="B674">
            <v>626692.01</v>
          </cell>
          <cell r="C674">
            <v>0</v>
          </cell>
        </row>
        <row r="675">
          <cell r="A675" t="str">
            <v>1.3.4.1</v>
          </cell>
          <cell r="B675">
            <v>0</v>
          </cell>
          <cell r="C675">
            <v>0</v>
          </cell>
        </row>
        <row r="676">
          <cell r="A676" t="str">
            <v>1.3.4.2</v>
          </cell>
          <cell r="B676">
            <v>474262.16</v>
          </cell>
          <cell r="C676">
            <v>0</v>
          </cell>
        </row>
        <row r="677">
          <cell r="A677" t="str">
            <v>1.3.4.2.1</v>
          </cell>
          <cell r="B677">
            <v>141372</v>
          </cell>
          <cell r="C677">
            <v>0.612</v>
          </cell>
        </row>
        <row r="678">
          <cell r="A678" t="str">
            <v>1.3.4.2.2</v>
          </cell>
          <cell r="B678">
            <v>37920.96</v>
          </cell>
          <cell r="C678">
            <v>0.442</v>
          </cell>
        </row>
        <row r="679">
          <cell r="A679" t="str">
            <v>1.3.4.2.3</v>
          </cell>
          <cell r="B679">
            <v>18295.2</v>
          </cell>
          <cell r="C679">
            <v>0.41</v>
          </cell>
        </row>
        <row r="680">
          <cell r="A680" t="str">
            <v>1.3.4.2.4</v>
          </cell>
          <cell r="B680">
            <v>52668</v>
          </cell>
          <cell r="C680">
            <v>0.467</v>
          </cell>
        </row>
        <row r="681">
          <cell r="A681" t="str">
            <v>1.3.4.2.5</v>
          </cell>
          <cell r="B681">
            <v>38253.6</v>
          </cell>
          <cell r="C681">
            <v>0.443</v>
          </cell>
        </row>
        <row r="682">
          <cell r="A682" t="str">
            <v>1.3.4.2.6</v>
          </cell>
          <cell r="B682">
            <v>47678.4</v>
          </cell>
          <cell r="C682">
            <v>0.458</v>
          </cell>
        </row>
        <row r="683">
          <cell r="A683" t="str">
            <v>1.3.4.2.7</v>
          </cell>
          <cell r="B683">
            <v>33264</v>
          </cell>
          <cell r="C683">
            <v>0.435</v>
          </cell>
        </row>
        <row r="684">
          <cell r="A684" t="str">
            <v>1.3.4.2.8</v>
          </cell>
          <cell r="B684">
            <v>21650</v>
          </cell>
          <cell r="C684">
            <v>1.025</v>
          </cell>
        </row>
        <row r="685">
          <cell r="A685" t="str">
            <v>1.3.4.2.9</v>
          </cell>
          <cell r="B685">
            <v>36036</v>
          </cell>
          <cell r="C685">
            <v>0.439</v>
          </cell>
        </row>
        <row r="686">
          <cell r="A686" t="str">
            <v>1.3.4.2.10</v>
          </cell>
          <cell r="B686">
            <v>47124</v>
          </cell>
          <cell r="C686">
            <v>0.457</v>
          </cell>
        </row>
        <row r="687">
          <cell r="A687" t="str">
            <v>1.3.4.3</v>
          </cell>
          <cell r="B687">
            <v>2523.85</v>
          </cell>
          <cell r="C687">
            <v>0</v>
          </cell>
        </row>
        <row r="688">
          <cell r="A688" t="str">
            <v>1.3.4.3.1</v>
          </cell>
          <cell r="B688">
            <v>0</v>
          </cell>
          <cell r="C688">
            <v>0</v>
          </cell>
        </row>
        <row r="689">
          <cell r="A689" t="str">
            <v>1.3.4.3.2</v>
          </cell>
          <cell r="B689">
            <v>2523.85</v>
          </cell>
          <cell r="C689">
            <v>0.025</v>
          </cell>
        </row>
        <row r="690">
          <cell r="A690" t="str">
            <v>1.3.4.3.3</v>
          </cell>
          <cell r="B690">
            <v>0</v>
          </cell>
          <cell r="C690">
            <v>0</v>
          </cell>
        </row>
        <row r="691">
          <cell r="A691" t="str">
            <v>1.3.4.4</v>
          </cell>
          <cell r="B691">
            <v>0</v>
          </cell>
          <cell r="C691">
            <v>0</v>
          </cell>
        </row>
        <row r="692">
          <cell r="A692" t="str">
            <v>1.3.4.4.1</v>
          </cell>
          <cell r="B692">
            <v>0</v>
          </cell>
          <cell r="C692">
            <v>0</v>
          </cell>
        </row>
        <row r="693">
          <cell r="A693" t="str">
            <v>1.3.4.4.2</v>
          </cell>
          <cell r="B693">
            <v>0</v>
          </cell>
          <cell r="C693">
            <v>0</v>
          </cell>
        </row>
        <row r="694">
          <cell r="A694" t="str">
            <v>1.3.4.4.3</v>
          </cell>
          <cell r="B694">
            <v>0</v>
          </cell>
          <cell r="C694">
            <v>0</v>
          </cell>
        </row>
        <row r="695">
          <cell r="A695" t="str">
            <v>1.3.4.5</v>
          </cell>
          <cell r="B695">
            <v>66906</v>
          </cell>
          <cell r="C695">
            <v>0</v>
          </cell>
        </row>
        <row r="696">
          <cell r="A696" t="str">
            <v>1.3.4.5.1</v>
          </cell>
          <cell r="B696">
            <v>0</v>
          </cell>
          <cell r="C696">
            <v>0</v>
          </cell>
        </row>
        <row r="697">
          <cell r="A697" t="str">
            <v>1.3.4.5.2</v>
          </cell>
          <cell r="B697">
            <v>0</v>
          </cell>
          <cell r="C697">
            <v>0</v>
          </cell>
        </row>
        <row r="698">
          <cell r="A698" t="str">
            <v>1.3.4.5.3</v>
          </cell>
          <cell r="B698">
            <v>15750</v>
          </cell>
          <cell r="C698">
            <v>0.046</v>
          </cell>
        </row>
        <row r="699">
          <cell r="A699" t="str">
            <v>1.3.4.5.4</v>
          </cell>
          <cell r="B699">
            <v>51156</v>
          </cell>
          <cell r="C699">
            <v>0.147</v>
          </cell>
        </row>
        <row r="700">
          <cell r="A700" t="str">
            <v>1.3.4.6</v>
          </cell>
          <cell r="B700">
            <v>63000</v>
          </cell>
          <cell r="C700">
            <v>0</v>
          </cell>
        </row>
        <row r="701">
          <cell r="A701" t="str">
            <v>1.3.4.6.1</v>
          </cell>
          <cell r="B701">
            <v>63000</v>
          </cell>
          <cell r="C701">
            <v>1</v>
          </cell>
        </row>
        <row r="702">
          <cell r="A702" t="str">
            <v>1.3.4.6.2</v>
          </cell>
          <cell r="B702">
            <v>0</v>
          </cell>
          <cell r="C702">
            <v>0</v>
          </cell>
        </row>
        <row r="703">
          <cell r="A703" t="str">
            <v>1.3.4.6.3</v>
          </cell>
          <cell r="B703">
            <v>0</v>
          </cell>
          <cell r="C703">
            <v>0</v>
          </cell>
        </row>
        <row r="704">
          <cell r="A704" t="str">
            <v>1.3.4.7</v>
          </cell>
          <cell r="B704">
            <v>20000</v>
          </cell>
          <cell r="C704">
            <v>0</v>
          </cell>
        </row>
        <row r="705">
          <cell r="A705" t="str">
            <v>1.3.4.7.1</v>
          </cell>
          <cell r="B705">
            <v>0</v>
          </cell>
          <cell r="C705">
            <v>0</v>
          </cell>
        </row>
        <row r="706">
          <cell r="A706" t="str">
            <v>1.3.4.7.2</v>
          </cell>
          <cell r="B706">
            <v>20000</v>
          </cell>
          <cell r="C706">
            <v>1</v>
          </cell>
        </row>
        <row r="707">
          <cell r="A707" t="str">
            <v>1.3.5</v>
          </cell>
          <cell r="B707">
            <v>210557.41</v>
          </cell>
          <cell r="C707">
            <v>0</v>
          </cell>
        </row>
        <row r="708">
          <cell r="A708" t="str">
            <v>1.3.5.1</v>
          </cell>
          <cell r="B708">
            <v>146180.41</v>
          </cell>
          <cell r="C708">
            <v>0</v>
          </cell>
        </row>
        <row r="709">
          <cell r="A709" t="str">
            <v>1.3.5.1.1</v>
          </cell>
          <cell r="B709">
            <v>0</v>
          </cell>
          <cell r="C709">
            <v>0</v>
          </cell>
        </row>
        <row r="710">
          <cell r="A710" t="str">
            <v>1.3.5.1.2</v>
          </cell>
          <cell r="B710">
            <v>53000</v>
          </cell>
          <cell r="C710">
            <v>0</v>
          </cell>
        </row>
        <row r="711">
          <cell r="A711" t="str">
            <v>1.3.5.1.2.1</v>
          </cell>
          <cell r="B711">
            <v>0</v>
          </cell>
          <cell r="C711">
            <v>0</v>
          </cell>
        </row>
        <row r="712">
          <cell r="A712" t="str">
            <v>1.3.5.1.2.1.1</v>
          </cell>
          <cell r="B712">
            <v>0</v>
          </cell>
          <cell r="C712">
            <v>0</v>
          </cell>
        </row>
        <row r="713">
          <cell r="A713" t="str">
            <v>1.3.5.1.2.1.2</v>
          </cell>
          <cell r="B713">
            <v>0</v>
          </cell>
          <cell r="C713">
            <v>0</v>
          </cell>
        </row>
        <row r="714">
          <cell r="A714" t="str">
            <v>1.3.5.1.2.1.3</v>
          </cell>
          <cell r="B714">
            <v>0</v>
          </cell>
          <cell r="C714">
            <v>0</v>
          </cell>
        </row>
        <row r="715">
          <cell r="A715" t="str">
            <v>1.3.5.1.2.1.4</v>
          </cell>
          <cell r="B715">
            <v>0</v>
          </cell>
          <cell r="C715">
            <v>0</v>
          </cell>
        </row>
        <row r="716">
          <cell r="A716" t="str">
            <v>1.3.5.1.2.1.5</v>
          </cell>
          <cell r="B716">
            <v>0</v>
          </cell>
          <cell r="C716">
            <v>0</v>
          </cell>
        </row>
        <row r="717">
          <cell r="A717" t="str">
            <v>1.3.5.1.2.1.6</v>
          </cell>
          <cell r="B717">
            <v>0</v>
          </cell>
          <cell r="C717">
            <v>0</v>
          </cell>
        </row>
        <row r="718">
          <cell r="A718" t="str">
            <v>1.3.5.1.2.1.7</v>
          </cell>
          <cell r="B718">
            <v>0</v>
          </cell>
          <cell r="C718">
            <v>0</v>
          </cell>
        </row>
        <row r="719">
          <cell r="A719" t="str">
            <v>1.3.5.1.2.1.8</v>
          </cell>
          <cell r="B719">
            <v>0</v>
          </cell>
          <cell r="C719">
            <v>0</v>
          </cell>
        </row>
        <row r="720">
          <cell r="A720" t="str">
            <v>1.3.5.1.2.2</v>
          </cell>
          <cell r="B720">
            <v>0</v>
          </cell>
          <cell r="C720">
            <v>0</v>
          </cell>
        </row>
        <row r="721">
          <cell r="A721" t="str">
            <v>1.3.5.1.2.2.1</v>
          </cell>
          <cell r="B721">
            <v>0</v>
          </cell>
          <cell r="C721">
            <v>0</v>
          </cell>
        </row>
        <row r="722">
          <cell r="A722" t="str">
            <v>1.3.5.1.2.2.2</v>
          </cell>
          <cell r="B722">
            <v>0</v>
          </cell>
          <cell r="C722">
            <v>0</v>
          </cell>
        </row>
        <row r="723">
          <cell r="A723" t="str">
            <v>1.3.5.1.2.2.3</v>
          </cell>
          <cell r="B723">
            <v>0</v>
          </cell>
          <cell r="C723">
            <v>0</v>
          </cell>
        </row>
        <row r="724">
          <cell r="A724" t="str">
            <v>1.3.5.1.2.2.4</v>
          </cell>
          <cell r="B724">
            <v>0</v>
          </cell>
          <cell r="C724">
            <v>0</v>
          </cell>
        </row>
        <row r="725">
          <cell r="A725" t="str">
            <v>1.3.5.1.2.2.5</v>
          </cell>
          <cell r="B725">
            <v>0</v>
          </cell>
          <cell r="C725">
            <v>0</v>
          </cell>
        </row>
        <row r="726">
          <cell r="A726" t="str">
            <v>1.3.5.1.2.2.6</v>
          </cell>
          <cell r="B726">
            <v>0</v>
          </cell>
          <cell r="C726">
            <v>0</v>
          </cell>
        </row>
        <row r="727">
          <cell r="A727" t="str">
            <v>1.3.5.1.2.2.7</v>
          </cell>
          <cell r="B727">
            <v>0</v>
          </cell>
          <cell r="C727">
            <v>0</v>
          </cell>
        </row>
        <row r="728">
          <cell r="A728" t="str">
            <v>1.3.5.1.2.3</v>
          </cell>
          <cell r="B728">
            <v>53000</v>
          </cell>
          <cell r="C728">
            <v>0</v>
          </cell>
        </row>
        <row r="729">
          <cell r="A729" t="str">
            <v>1.3.5.1.2.3.1</v>
          </cell>
          <cell r="B729">
            <v>53000</v>
          </cell>
          <cell r="C729">
            <v>0</v>
          </cell>
        </row>
        <row r="730">
          <cell r="A730" t="str">
            <v>1.3.5.1.2.3.2</v>
          </cell>
          <cell r="B730">
            <v>0</v>
          </cell>
          <cell r="C730">
            <v>0</v>
          </cell>
        </row>
        <row r="731">
          <cell r="A731" t="str">
            <v>1.3.5.1.2.3.3</v>
          </cell>
          <cell r="B731">
            <v>0</v>
          </cell>
          <cell r="C731">
            <v>0</v>
          </cell>
        </row>
        <row r="732">
          <cell r="A732" t="str">
            <v>1.3.5.1.2.3.4</v>
          </cell>
          <cell r="B732">
            <v>0</v>
          </cell>
          <cell r="C732">
            <v>0</v>
          </cell>
        </row>
        <row r="733">
          <cell r="A733" t="str">
            <v>1.3.5.1.2.3.5</v>
          </cell>
          <cell r="B733">
            <v>0</v>
          </cell>
          <cell r="C733">
            <v>0</v>
          </cell>
        </row>
        <row r="734">
          <cell r="A734" t="str">
            <v>1.3.5.1.2.4</v>
          </cell>
          <cell r="B734">
            <v>0</v>
          </cell>
          <cell r="C734">
            <v>0</v>
          </cell>
        </row>
        <row r="735">
          <cell r="A735" t="str">
            <v>1.3.5.1.2.4.1</v>
          </cell>
          <cell r="B735">
            <v>0</v>
          </cell>
          <cell r="C735">
            <v>0</v>
          </cell>
        </row>
        <row r="736">
          <cell r="A736" t="str">
            <v>1.3.5.1.2.4.2</v>
          </cell>
          <cell r="B736">
            <v>0</v>
          </cell>
          <cell r="C736">
            <v>0</v>
          </cell>
        </row>
        <row r="737">
          <cell r="A737" t="str">
            <v>1.3.5.1.2.4.3</v>
          </cell>
          <cell r="B737">
            <v>0</v>
          </cell>
          <cell r="C737">
            <v>0</v>
          </cell>
        </row>
        <row r="738">
          <cell r="A738" t="str">
            <v>1.3.5.1.2.4.4</v>
          </cell>
          <cell r="B738">
            <v>0</v>
          </cell>
          <cell r="C738">
            <v>0</v>
          </cell>
        </row>
        <row r="739">
          <cell r="A739" t="str">
            <v>1.3.5.1.2.4.5</v>
          </cell>
          <cell r="B739">
            <v>0</v>
          </cell>
          <cell r="C739">
            <v>0</v>
          </cell>
        </row>
        <row r="740">
          <cell r="A740" t="str">
            <v>1.3.5.1.2.4.6</v>
          </cell>
          <cell r="B740">
            <v>0</v>
          </cell>
          <cell r="C740">
            <v>0</v>
          </cell>
        </row>
        <row r="741">
          <cell r="A741" t="str">
            <v>1.3.5.1.2.4.7</v>
          </cell>
          <cell r="B741">
            <v>0</v>
          </cell>
          <cell r="C741">
            <v>0</v>
          </cell>
        </row>
        <row r="742">
          <cell r="A742" t="str">
            <v>1.3.5.1.2.4.8</v>
          </cell>
          <cell r="B742">
            <v>0</v>
          </cell>
          <cell r="C742">
            <v>0</v>
          </cell>
        </row>
        <row r="743">
          <cell r="A743" t="str">
            <v>1.3.5.1.2.5</v>
          </cell>
          <cell r="B743">
            <v>0</v>
          </cell>
          <cell r="C743">
            <v>0</v>
          </cell>
        </row>
        <row r="744">
          <cell r="A744" t="str">
            <v>1.3.5.1.2.5.1</v>
          </cell>
          <cell r="B744">
            <v>0</v>
          </cell>
          <cell r="C744">
            <v>0</v>
          </cell>
        </row>
        <row r="745">
          <cell r="A745" t="str">
            <v>1.3.5.1.2.5.2</v>
          </cell>
          <cell r="B745">
            <v>0</v>
          </cell>
          <cell r="C745">
            <v>0</v>
          </cell>
        </row>
        <row r="746">
          <cell r="A746" t="str">
            <v>1.3.5.1.2.5.3</v>
          </cell>
          <cell r="B746">
            <v>0</v>
          </cell>
          <cell r="C746">
            <v>0</v>
          </cell>
        </row>
        <row r="747">
          <cell r="A747" t="str">
            <v>1.3.5.1.2.5.4</v>
          </cell>
          <cell r="B747">
            <v>0</v>
          </cell>
          <cell r="C747">
            <v>0</v>
          </cell>
        </row>
        <row r="748">
          <cell r="A748" t="str">
            <v>1.3.5.1.2.5.5</v>
          </cell>
          <cell r="B748">
            <v>0</v>
          </cell>
          <cell r="C748">
            <v>0</v>
          </cell>
        </row>
        <row r="749">
          <cell r="A749" t="str">
            <v>1.3.5.1.2.5.6</v>
          </cell>
          <cell r="B749">
            <v>0</v>
          </cell>
          <cell r="C749">
            <v>0</v>
          </cell>
        </row>
        <row r="750">
          <cell r="A750" t="str">
            <v>1.3.5.1.2.5.7</v>
          </cell>
          <cell r="B750">
            <v>0</v>
          </cell>
          <cell r="C750">
            <v>0</v>
          </cell>
        </row>
        <row r="751">
          <cell r="A751" t="str">
            <v>1.3.5.1.2.5.8</v>
          </cell>
          <cell r="B751">
            <v>0</v>
          </cell>
          <cell r="C751">
            <v>0</v>
          </cell>
        </row>
        <row r="752">
          <cell r="A752" t="str">
            <v>1.3.5.1.2.5.9</v>
          </cell>
          <cell r="B752">
            <v>0</v>
          </cell>
          <cell r="C752">
            <v>0</v>
          </cell>
        </row>
        <row r="753">
          <cell r="A753" t="str">
            <v>1.3.5.1.2.5.10</v>
          </cell>
          <cell r="B753">
            <v>0</v>
          </cell>
          <cell r="C753">
            <v>0</v>
          </cell>
        </row>
        <row r="754">
          <cell r="A754" t="str">
            <v>1.3.5.1.2.5.11</v>
          </cell>
          <cell r="B754">
            <v>0</v>
          </cell>
          <cell r="C754">
            <v>0</v>
          </cell>
        </row>
        <row r="755">
          <cell r="A755" t="str">
            <v>1.3.5.1.2.5.12</v>
          </cell>
          <cell r="B755">
            <v>0</v>
          </cell>
          <cell r="C755">
            <v>0</v>
          </cell>
        </row>
        <row r="756">
          <cell r="A756" t="str">
            <v>1.3.5.1.2.5.13</v>
          </cell>
          <cell r="B756">
            <v>0</v>
          </cell>
          <cell r="C756">
            <v>0</v>
          </cell>
        </row>
        <row r="757">
          <cell r="A757" t="str">
            <v>1.3.5.1.2.5.14</v>
          </cell>
          <cell r="B757">
            <v>0</v>
          </cell>
          <cell r="C757">
            <v>0</v>
          </cell>
        </row>
        <row r="758">
          <cell r="A758" t="str">
            <v>1.3.5.1.2.5.15</v>
          </cell>
          <cell r="B758">
            <v>0</v>
          </cell>
          <cell r="C758">
            <v>0</v>
          </cell>
        </row>
        <row r="759">
          <cell r="A759" t="str">
            <v>1.3.5.1.2.5.16</v>
          </cell>
          <cell r="B759">
            <v>0</v>
          </cell>
          <cell r="C759">
            <v>0</v>
          </cell>
        </row>
        <row r="760">
          <cell r="A760" t="str">
            <v>1.3.5.1.2.5.17</v>
          </cell>
          <cell r="B760">
            <v>0</v>
          </cell>
          <cell r="C760">
            <v>0</v>
          </cell>
        </row>
        <row r="761">
          <cell r="A761" t="str">
            <v>1.3.5.1.2.6</v>
          </cell>
          <cell r="B761">
            <v>0</v>
          </cell>
          <cell r="C761">
            <v>0</v>
          </cell>
        </row>
        <row r="762">
          <cell r="A762" t="str">
            <v>1.3.5.1.3</v>
          </cell>
          <cell r="B762">
            <v>55523.2</v>
          </cell>
          <cell r="C762">
            <v>0</v>
          </cell>
        </row>
        <row r="763">
          <cell r="A763" t="str">
            <v>1.3.5.1.3.1</v>
          </cell>
          <cell r="B763">
            <v>0</v>
          </cell>
          <cell r="C763">
            <v>0</v>
          </cell>
        </row>
        <row r="764">
          <cell r="A764" t="str">
            <v>1.3.5.1.3.2</v>
          </cell>
          <cell r="B764">
            <v>0</v>
          </cell>
          <cell r="C764">
            <v>0</v>
          </cell>
        </row>
        <row r="765">
          <cell r="A765" t="str">
            <v>1.3.5.1.3.3</v>
          </cell>
          <cell r="B765">
            <v>4000</v>
          </cell>
          <cell r="C765">
            <v>0.134</v>
          </cell>
        </row>
        <row r="766">
          <cell r="A766" t="str">
            <v>1.3.5.1.3.4</v>
          </cell>
          <cell r="B766">
            <v>1260</v>
          </cell>
          <cell r="C766">
            <v>1</v>
          </cell>
        </row>
        <row r="767">
          <cell r="A767" t="str">
            <v>1.3.5.1.3.5</v>
          </cell>
          <cell r="B767">
            <v>2110</v>
          </cell>
          <cell r="C767">
            <v>0.539</v>
          </cell>
        </row>
        <row r="768">
          <cell r="A768" t="str">
            <v>1.3.5.1.3.6</v>
          </cell>
          <cell r="B768">
            <v>48153.2</v>
          </cell>
          <cell r="C768">
            <v>1.255</v>
          </cell>
        </row>
        <row r="769">
          <cell r="A769" t="str">
            <v>1.3.5.1.4</v>
          </cell>
          <cell r="B769">
            <v>33952.21</v>
          </cell>
          <cell r="C769">
            <v>0</v>
          </cell>
        </row>
        <row r="770">
          <cell r="A770" t="str">
            <v>1.3.5.1.4.1</v>
          </cell>
          <cell r="B770">
            <v>0</v>
          </cell>
          <cell r="C770">
            <v>0</v>
          </cell>
        </row>
        <row r="771">
          <cell r="A771" t="str">
            <v>1.3.5.1.4.2</v>
          </cell>
          <cell r="B771">
            <v>6967.01</v>
          </cell>
          <cell r="C771">
            <v>0.5762</v>
          </cell>
        </row>
        <row r="772">
          <cell r="A772" t="str">
            <v>1.3.5.1.4.3</v>
          </cell>
          <cell r="B772">
            <v>0</v>
          </cell>
          <cell r="C772">
            <v>0</v>
          </cell>
        </row>
        <row r="773">
          <cell r="A773" t="str">
            <v>1.3.5.1.4.4</v>
          </cell>
          <cell r="B773">
            <v>26985.2</v>
          </cell>
          <cell r="C773">
            <v>1.904</v>
          </cell>
        </row>
        <row r="774">
          <cell r="A774" t="str">
            <v>1.3.5.1.5</v>
          </cell>
          <cell r="B774">
            <v>3705</v>
          </cell>
          <cell r="C774">
            <v>0</v>
          </cell>
        </row>
        <row r="775">
          <cell r="A775" t="str">
            <v>1.3.5.1.5.1</v>
          </cell>
          <cell r="B775">
            <v>0</v>
          </cell>
          <cell r="C775">
            <v>0</v>
          </cell>
        </row>
        <row r="776">
          <cell r="A776" t="str">
            <v>1.3.5.1.5.1.1</v>
          </cell>
          <cell r="B776">
            <v>0</v>
          </cell>
          <cell r="C776">
            <v>0</v>
          </cell>
        </row>
        <row r="777">
          <cell r="A777" t="str">
            <v>1.3.5.1.5.1.2</v>
          </cell>
          <cell r="B777">
            <v>0</v>
          </cell>
          <cell r="C777">
            <v>0</v>
          </cell>
        </row>
        <row r="778">
          <cell r="A778" t="str">
            <v>1.3.5.1.5.1.3</v>
          </cell>
          <cell r="B778">
            <v>0</v>
          </cell>
          <cell r="C778">
            <v>0</v>
          </cell>
        </row>
        <row r="779">
          <cell r="A779" t="str">
            <v>1.3.5.1.5.1.4</v>
          </cell>
          <cell r="B779">
            <v>0</v>
          </cell>
          <cell r="C779">
            <v>0</v>
          </cell>
        </row>
        <row r="780">
          <cell r="A780" t="str">
            <v>1.3.5.1.5.1.5</v>
          </cell>
          <cell r="B780">
            <v>0</v>
          </cell>
          <cell r="C780">
            <v>0</v>
          </cell>
        </row>
        <row r="781">
          <cell r="A781" t="str">
            <v>1.3.5.1.5.1.6</v>
          </cell>
          <cell r="B781">
            <v>0</v>
          </cell>
          <cell r="C781">
            <v>0</v>
          </cell>
        </row>
        <row r="782">
          <cell r="A782" t="str">
            <v>1.3.5.1.5.1.7</v>
          </cell>
          <cell r="B782">
            <v>0</v>
          </cell>
          <cell r="C782">
            <v>0</v>
          </cell>
        </row>
        <row r="783">
          <cell r="A783" t="str">
            <v>1.3.5.1.5.2</v>
          </cell>
          <cell r="B783">
            <v>0</v>
          </cell>
          <cell r="C783">
            <v>0</v>
          </cell>
        </row>
        <row r="784">
          <cell r="A784" t="str">
            <v>1.3.5.1.5.2.1</v>
          </cell>
          <cell r="B784">
            <v>0</v>
          </cell>
          <cell r="C784">
            <v>0</v>
          </cell>
        </row>
        <row r="785">
          <cell r="A785" t="str">
            <v>1.3.5.1.5.2.2</v>
          </cell>
          <cell r="B785">
            <v>0</v>
          </cell>
          <cell r="C785">
            <v>0</v>
          </cell>
        </row>
        <row r="786">
          <cell r="A786" t="str">
            <v>1.3.5.1.5.2.3</v>
          </cell>
          <cell r="B786">
            <v>0</v>
          </cell>
          <cell r="C786">
            <v>0</v>
          </cell>
        </row>
        <row r="787">
          <cell r="A787" t="str">
            <v>1.3.5.1.5.3</v>
          </cell>
          <cell r="B787">
            <v>0</v>
          </cell>
          <cell r="C787">
            <v>0</v>
          </cell>
        </row>
        <row r="788">
          <cell r="A788" t="str">
            <v>1.3.5.1.5.3.1</v>
          </cell>
          <cell r="B788">
            <v>0</v>
          </cell>
          <cell r="C788">
            <v>0</v>
          </cell>
        </row>
        <row r="789">
          <cell r="A789" t="str">
            <v>1.3.5.1.5.3.2</v>
          </cell>
          <cell r="B789">
            <v>0</v>
          </cell>
          <cell r="C789">
            <v>0</v>
          </cell>
        </row>
        <row r="790">
          <cell r="A790" t="str">
            <v>1.3.5.1.5.4</v>
          </cell>
          <cell r="B790">
            <v>3705</v>
          </cell>
          <cell r="C790">
            <v>0</v>
          </cell>
        </row>
        <row r="791">
          <cell r="A791" t="str">
            <v>1.3.5.1.5.5</v>
          </cell>
          <cell r="B791">
            <v>0</v>
          </cell>
          <cell r="C791">
            <v>0</v>
          </cell>
        </row>
        <row r="792">
          <cell r="A792" t="str">
            <v>1.3.5.1.6</v>
          </cell>
          <cell r="B792">
            <v>0</v>
          </cell>
          <cell r="C792">
            <v>0</v>
          </cell>
        </row>
        <row r="793">
          <cell r="A793" t="str">
            <v>1.3.5.2</v>
          </cell>
          <cell r="B793">
            <v>1040</v>
          </cell>
          <cell r="C793">
            <v>0</v>
          </cell>
        </row>
        <row r="794">
          <cell r="A794" t="str">
            <v>1.3.5.2.1</v>
          </cell>
          <cell r="B794">
            <v>0</v>
          </cell>
          <cell r="C794">
            <v>0</v>
          </cell>
        </row>
        <row r="795">
          <cell r="A795" t="str">
            <v>1.3.5.2.2</v>
          </cell>
          <cell r="B795">
            <v>0</v>
          </cell>
          <cell r="C795">
            <v>0</v>
          </cell>
        </row>
        <row r="796">
          <cell r="A796" t="str">
            <v>1.3.5.2.2.1</v>
          </cell>
          <cell r="B796">
            <v>0</v>
          </cell>
          <cell r="C796">
            <v>0</v>
          </cell>
        </row>
        <row r="797">
          <cell r="A797" t="str">
            <v>1.3.5.2.2.1.1</v>
          </cell>
          <cell r="B797">
            <v>0</v>
          </cell>
          <cell r="C797">
            <v>0</v>
          </cell>
        </row>
        <row r="798">
          <cell r="A798" t="str">
            <v>1.3.5.2.2.1.2</v>
          </cell>
          <cell r="B798">
            <v>0</v>
          </cell>
          <cell r="C798">
            <v>0</v>
          </cell>
        </row>
        <row r="799">
          <cell r="A799" t="str">
            <v>1.3.5.2.2.1.3</v>
          </cell>
          <cell r="B799">
            <v>0</v>
          </cell>
          <cell r="C799">
            <v>0</v>
          </cell>
        </row>
        <row r="800">
          <cell r="A800" t="str">
            <v>1.3.5.2.2.1.4</v>
          </cell>
          <cell r="B800">
            <v>0</v>
          </cell>
          <cell r="C800">
            <v>0</v>
          </cell>
        </row>
        <row r="801">
          <cell r="A801" t="str">
            <v>1.3.5.2.2.1.5</v>
          </cell>
          <cell r="B801">
            <v>0</v>
          </cell>
          <cell r="C801">
            <v>0</v>
          </cell>
        </row>
        <row r="802">
          <cell r="A802" t="str">
            <v>1.3.5.2.2.2</v>
          </cell>
          <cell r="B802">
            <v>0</v>
          </cell>
          <cell r="C802">
            <v>0</v>
          </cell>
        </row>
        <row r="803">
          <cell r="A803" t="str">
            <v>1.3.5.2.2.2.1</v>
          </cell>
          <cell r="B803">
            <v>0</v>
          </cell>
          <cell r="C803">
            <v>0</v>
          </cell>
        </row>
        <row r="804">
          <cell r="A804" t="str">
            <v>1.3.5.2.2.2.2</v>
          </cell>
          <cell r="B804">
            <v>0</v>
          </cell>
          <cell r="C804">
            <v>0</v>
          </cell>
        </row>
        <row r="805">
          <cell r="A805" t="str">
            <v>1.3.5.2.2.3</v>
          </cell>
          <cell r="B805">
            <v>0</v>
          </cell>
          <cell r="C805">
            <v>0</v>
          </cell>
        </row>
        <row r="806">
          <cell r="A806" t="str">
            <v>1.3.5.2.2.4</v>
          </cell>
          <cell r="B806">
            <v>0</v>
          </cell>
          <cell r="C806">
            <v>0</v>
          </cell>
        </row>
        <row r="807">
          <cell r="A807" t="str">
            <v>1.3.5.2.3</v>
          </cell>
          <cell r="B807">
            <v>0</v>
          </cell>
          <cell r="C807">
            <v>0</v>
          </cell>
        </row>
        <row r="808">
          <cell r="A808" t="str">
            <v>1.3.5.2.3.1</v>
          </cell>
          <cell r="B808">
            <v>0</v>
          </cell>
          <cell r="C808">
            <v>0</v>
          </cell>
        </row>
        <row r="809">
          <cell r="A809" t="str">
            <v>1.3.5.2.3.1.1</v>
          </cell>
          <cell r="B809">
            <v>0</v>
          </cell>
          <cell r="C809">
            <v>0</v>
          </cell>
        </row>
        <row r="810">
          <cell r="A810" t="str">
            <v>1.3.5.2.3.1.2</v>
          </cell>
          <cell r="B810">
            <v>0</v>
          </cell>
          <cell r="C810">
            <v>0</v>
          </cell>
        </row>
        <row r="811">
          <cell r="A811" t="str">
            <v>1.3.5.2.3.1.3</v>
          </cell>
          <cell r="B811">
            <v>0</v>
          </cell>
          <cell r="C811">
            <v>0</v>
          </cell>
        </row>
        <row r="812">
          <cell r="A812" t="str">
            <v>1.3.5.2.3.1.4</v>
          </cell>
          <cell r="B812">
            <v>0</v>
          </cell>
          <cell r="C812">
            <v>0</v>
          </cell>
        </row>
        <row r="813">
          <cell r="A813" t="str">
            <v>1.3.5.2.3.1.5</v>
          </cell>
          <cell r="B813">
            <v>0</v>
          </cell>
          <cell r="C813">
            <v>0</v>
          </cell>
        </row>
        <row r="814">
          <cell r="A814" t="str">
            <v>1.3.5.2.3.1.6</v>
          </cell>
          <cell r="B814">
            <v>0</v>
          </cell>
          <cell r="C814">
            <v>0</v>
          </cell>
        </row>
        <row r="815">
          <cell r="A815" t="str">
            <v>1.3.5.2.3.2</v>
          </cell>
          <cell r="B815">
            <v>0</v>
          </cell>
          <cell r="C815">
            <v>0</v>
          </cell>
        </row>
        <row r="816">
          <cell r="A816" t="str">
            <v>1.3.5.2.3.2.1</v>
          </cell>
          <cell r="B816">
            <v>0</v>
          </cell>
          <cell r="C816">
            <v>0</v>
          </cell>
        </row>
        <row r="817">
          <cell r="A817" t="str">
            <v>1.3.5.2.3.2.2</v>
          </cell>
          <cell r="B817">
            <v>0</v>
          </cell>
          <cell r="C817">
            <v>0</v>
          </cell>
        </row>
        <row r="818">
          <cell r="A818" t="str">
            <v>1.3.5.2.3.2.3</v>
          </cell>
          <cell r="B818">
            <v>0</v>
          </cell>
          <cell r="C818">
            <v>0</v>
          </cell>
        </row>
        <row r="819">
          <cell r="A819" t="str">
            <v>1.3.5.2.3.3</v>
          </cell>
          <cell r="B819">
            <v>0</v>
          </cell>
          <cell r="C819">
            <v>0</v>
          </cell>
        </row>
        <row r="820">
          <cell r="A820" t="str">
            <v>1.3.5.2.3.3.1</v>
          </cell>
          <cell r="B820">
            <v>0</v>
          </cell>
          <cell r="C820">
            <v>0</v>
          </cell>
        </row>
        <row r="821">
          <cell r="A821" t="str">
            <v>1.3.5.2.3.3.2</v>
          </cell>
          <cell r="B821">
            <v>0</v>
          </cell>
          <cell r="C821">
            <v>0</v>
          </cell>
        </row>
        <row r="822">
          <cell r="A822" t="str">
            <v>1.3.5.2.3.3.3</v>
          </cell>
          <cell r="B822">
            <v>0</v>
          </cell>
          <cell r="C822">
            <v>0</v>
          </cell>
        </row>
        <row r="823">
          <cell r="A823" t="str">
            <v>1.3.5.2.3.4</v>
          </cell>
          <cell r="B823">
            <v>0</v>
          </cell>
          <cell r="C823">
            <v>0</v>
          </cell>
        </row>
        <row r="824">
          <cell r="A824" t="str">
            <v>1.3.5.2.3.4.1</v>
          </cell>
          <cell r="B824">
            <v>0</v>
          </cell>
          <cell r="C824">
            <v>0</v>
          </cell>
        </row>
        <row r="825">
          <cell r="A825" t="str">
            <v>1.3.5.2.3.4.2</v>
          </cell>
          <cell r="B825">
            <v>0</v>
          </cell>
          <cell r="C825">
            <v>0</v>
          </cell>
        </row>
        <row r="826">
          <cell r="A826" t="str">
            <v>1.3.5.2.3.4.3</v>
          </cell>
          <cell r="B826">
            <v>0</v>
          </cell>
          <cell r="C826">
            <v>0</v>
          </cell>
        </row>
        <row r="827">
          <cell r="A827" t="str">
            <v>1.3.5.2.3.4.4</v>
          </cell>
          <cell r="B827">
            <v>0</v>
          </cell>
          <cell r="C827">
            <v>0</v>
          </cell>
        </row>
        <row r="828">
          <cell r="A828" t="str">
            <v>1.3.5.2.3.4.5</v>
          </cell>
          <cell r="B828">
            <v>0</v>
          </cell>
          <cell r="C828">
            <v>0</v>
          </cell>
        </row>
        <row r="829">
          <cell r="A829" t="str">
            <v>1.3.5.2.3.4.6</v>
          </cell>
          <cell r="B829">
            <v>0</v>
          </cell>
          <cell r="C829">
            <v>0</v>
          </cell>
        </row>
        <row r="830">
          <cell r="A830" t="str">
            <v>1.3.5.2.3.4.7</v>
          </cell>
          <cell r="B830">
            <v>0</v>
          </cell>
          <cell r="C830">
            <v>0</v>
          </cell>
        </row>
        <row r="831">
          <cell r="A831" t="str">
            <v>1.3.5.2.3.4.8</v>
          </cell>
          <cell r="B831">
            <v>0</v>
          </cell>
          <cell r="C831">
            <v>0</v>
          </cell>
        </row>
        <row r="832">
          <cell r="A832" t="str">
            <v>1.3.5.2.3.4.9</v>
          </cell>
          <cell r="B832">
            <v>0</v>
          </cell>
          <cell r="C832">
            <v>0</v>
          </cell>
        </row>
        <row r="833">
          <cell r="A833" t="str">
            <v>1.3.5.2.3.5</v>
          </cell>
          <cell r="B833">
            <v>0</v>
          </cell>
          <cell r="C833">
            <v>0</v>
          </cell>
        </row>
        <row r="834">
          <cell r="A834" t="str">
            <v>1.3.5.2.4</v>
          </cell>
          <cell r="B834">
            <v>1040</v>
          </cell>
          <cell r="C834">
            <v>0</v>
          </cell>
        </row>
        <row r="835">
          <cell r="A835" t="str">
            <v>1.3.5.2.4.1</v>
          </cell>
          <cell r="B835">
            <v>0</v>
          </cell>
          <cell r="C835">
            <v>0</v>
          </cell>
        </row>
        <row r="836">
          <cell r="A836" t="str">
            <v>1.3.5.2.4.1.1</v>
          </cell>
          <cell r="B836">
            <v>0</v>
          </cell>
          <cell r="C836">
            <v>0</v>
          </cell>
        </row>
        <row r="837">
          <cell r="A837" t="str">
            <v>1.3.5.2.4.1.2</v>
          </cell>
          <cell r="B837">
            <v>0</v>
          </cell>
          <cell r="C837">
            <v>0</v>
          </cell>
        </row>
        <row r="838">
          <cell r="A838" t="str">
            <v>1.3.5.2.4.1.3</v>
          </cell>
          <cell r="B838">
            <v>0</v>
          </cell>
          <cell r="C838">
            <v>0</v>
          </cell>
        </row>
        <row r="839">
          <cell r="A839" t="str">
            <v>1.3.5.2.4.1.4</v>
          </cell>
          <cell r="B839">
            <v>0</v>
          </cell>
          <cell r="C839">
            <v>0</v>
          </cell>
        </row>
        <row r="840">
          <cell r="A840" t="str">
            <v>1.3.5.2.4.1.5</v>
          </cell>
          <cell r="B840">
            <v>0</v>
          </cell>
          <cell r="C840">
            <v>0</v>
          </cell>
        </row>
        <row r="841">
          <cell r="A841" t="str">
            <v>1.3.5.2.4.1.6</v>
          </cell>
          <cell r="B841">
            <v>0</v>
          </cell>
          <cell r="C841">
            <v>0</v>
          </cell>
        </row>
        <row r="842">
          <cell r="A842" t="str">
            <v>1.3.5.2.4.1.7</v>
          </cell>
          <cell r="B842">
            <v>0</v>
          </cell>
          <cell r="C842">
            <v>0</v>
          </cell>
        </row>
        <row r="843">
          <cell r="A843" t="str">
            <v>1.3.5.2.4.2</v>
          </cell>
          <cell r="B843">
            <v>0</v>
          </cell>
          <cell r="C843">
            <v>0</v>
          </cell>
        </row>
        <row r="844">
          <cell r="A844" t="str">
            <v>1.3.5.2.4.2.1</v>
          </cell>
          <cell r="B844">
            <v>0</v>
          </cell>
          <cell r="C844">
            <v>0</v>
          </cell>
        </row>
        <row r="845">
          <cell r="A845" t="str">
            <v>1.3.5.2.4.3</v>
          </cell>
          <cell r="B845">
            <v>0</v>
          </cell>
          <cell r="C845">
            <v>0</v>
          </cell>
        </row>
        <row r="846">
          <cell r="A846" t="str">
            <v>1.3.5.2.4.3.1</v>
          </cell>
          <cell r="B846">
            <v>0</v>
          </cell>
          <cell r="C846">
            <v>0</v>
          </cell>
        </row>
        <row r="847">
          <cell r="A847" t="str">
            <v>1.3.5.2.4.4</v>
          </cell>
          <cell r="B847">
            <v>1040</v>
          </cell>
          <cell r="C847">
            <v>0</v>
          </cell>
        </row>
        <row r="848">
          <cell r="A848" t="str">
            <v>1.3.5.2.4.5</v>
          </cell>
          <cell r="B848">
            <v>0</v>
          </cell>
          <cell r="C848">
            <v>0</v>
          </cell>
        </row>
        <row r="849">
          <cell r="A849" t="str">
            <v>1.3.5.2.5</v>
          </cell>
          <cell r="B849">
            <v>0</v>
          </cell>
          <cell r="C849">
            <v>0</v>
          </cell>
        </row>
        <row r="850">
          <cell r="A850" t="str">
            <v>1.3.5.3</v>
          </cell>
          <cell r="B850">
            <v>63000</v>
          </cell>
          <cell r="C850">
            <v>0</v>
          </cell>
        </row>
        <row r="851">
          <cell r="A851" t="str">
            <v>1.3.5.3.1</v>
          </cell>
          <cell r="B851">
            <v>0</v>
          </cell>
          <cell r="C851">
            <v>0</v>
          </cell>
        </row>
        <row r="852">
          <cell r="A852" t="str">
            <v>1.3.5.3.2</v>
          </cell>
          <cell r="B852">
            <v>63000</v>
          </cell>
          <cell r="C852">
            <v>0</v>
          </cell>
        </row>
        <row r="853">
          <cell r="A853" t="str">
            <v>1.3.5.3.2.1</v>
          </cell>
          <cell r="B853">
            <v>63000</v>
          </cell>
          <cell r="C853">
            <v>0</v>
          </cell>
        </row>
        <row r="854">
          <cell r="A854" t="str">
            <v>1.3.5.3.2.1.1</v>
          </cell>
          <cell r="B854">
            <v>0</v>
          </cell>
          <cell r="C854">
            <v>0</v>
          </cell>
        </row>
        <row r="855">
          <cell r="A855" t="str">
            <v>1.3.5.3.2.1.2</v>
          </cell>
          <cell r="B855">
            <v>0</v>
          </cell>
          <cell r="C855">
            <v>0</v>
          </cell>
        </row>
        <row r="856">
          <cell r="A856" t="str">
            <v>1.3.5.3.2.1.3</v>
          </cell>
          <cell r="B856">
            <v>0</v>
          </cell>
          <cell r="C856">
            <v>0</v>
          </cell>
        </row>
        <row r="857">
          <cell r="A857" t="str">
            <v>1.3.5.3.2.1.4</v>
          </cell>
          <cell r="B857">
            <v>0</v>
          </cell>
          <cell r="C857">
            <v>0</v>
          </cell>
        </row>
        <row r="858">
          <cell r="A858" t="str">
            <v>1.3.5.3.2.1.5</v>
          </cell>
          <cell r="B858">
            <v>0</v>
          </cell>
          <cell r="C858">
            <v>0</v>
          </cell>
        </row>
        <row r="859">
          <cell r="A859" t="str">
            <v>1.3.5.3.2.1.6</v>
          </cell>
          <cell r="B859">
            <v>0</v>
          </cell>
          <cell r="C859">
            <v>0</v>
          </cell>
        </row>
        <row r="860">
          <cell r="A860" t="str">
            <v>1.3.5.3.2.1.7</v>
          </cell>
          <cell r="B860">
            <v>63000</v>
          </cell>
          <cell r="C860">
            <v>0</v>
          </cell>
        </row>
        <row r="861">
          <cell r="A861" t="str">
            <v>1.3.5.3.2.2</v>
          </cell>
          <cell r="B861">
            <v>0</v>
          </cell>
          <cell r="C861">
            <v>0</v>
          </cell>
        </row>
        <row r="862">
          <cell r="A862" t="str">
            <v>1.3.5.3.2.2.1</v>
          </cell>
          <cell r="B862">
            <v>0</v>
          </cell>
          <cell r="C862">
            <v>0</v>
          </cell>
        </row>
        <row r="863">
          <cell r="A863" t="str">
            <v>1.3.5.3.2.2.2</v>
          </cell>
          <cell r="B863">
            <v>0</v>
          </cell>
          <cell r="C863">
            <v>0</v>
          </cell>
        </row>
        <row r="864">
          <cell r="A864" t="str">
            <v>1.3.5.3.2.2.3</v>
          </cell>
          <cell r="B864">
            <v>0</v>
          </cell>
          <cell r="C864">
            <v>0</v>
          </cell>
        </row>
        <row r="865">
          <cell r="A865" t="str">
            <v>1.3.5.3.2.2.4</v>
          </cell>
          <cell r="B865">
            <v>0</v>
          </cell>
          <cell r="C865">
            <v>0</v>
          </cell>
        </row>
        <row r="866">
          <cell r="A866" t="str">
            <v>1.3.5.3.2.2.5</v>
          </cell>
          <cell r="B866">
            <v>0</v>
          </cell>
          <cell r="C866">
            <v>0</v>
          </cell>
        </row>
        <row r="867">
          <cell r="A867" t="str">
            <v>1.3.5.3.2.2.6</v>
          </cell>
          <cell r="B867">
            <v>0</v>
          </cell>
          <cell r="C867">
            <v>0</v>
          </cell>
        </row>
        <row r="868">
          <cell r="A868" t="str">
            <v>1.3.5.3.2.3</v>
          </cell>
          <cell r="B868">
            <v>0</v>
          </cell>
          <cell r="C868">
            <v>0</v>
          </cell>
        </row>
        <row r="869">
          <cell r="A869" t="str">
            <v>1.3.5.3.2.3.1</v>
          </cell>
          <cell r="B869">
            <v>0</v>
          </cell>
          <cell r="C869">
            <v>0</v>
          </cell>
        </row>
        <row r="870">
          <cell r="A870" t="str">
            <v>1.3.5.3.2.3.2</v>
          </cell>
          <cell r="B870">
            <v>0</v>
          </cell>
          <cell r="C870">
            <v>0</v>
          </cell>
        </row>
        <row r="871">
          <cell r="A871" t="str">
            <v>1.3.5.3.2.3.3</v>
          </cell>
          <cell r="B871">
            <v>0</v>
          </cell>
          <cell r="C871">
            <v>0</v>
          </cell>
        </row>
        <row r="872">
          <cell r="A872" t="str">
            <v>1.3.5.3.2.3.4</v>
          </cell>
          <cell r="B872">
            <v>0</v>
          </cell>
          <cell r="C872">
            <v>0</v>
          </cell>
        </row>
        <row r="873">
          <cell r="A873" t="str">
            <v>1.3.5.3.2.3.5</v>
          </cell>
          <cell r="B873">
            <v>0</v>
          </cell>
          <cell r="C873">
            <v>0</v>
          </cell>
        </row>
        <row r="874">
          <cell r="A874" t="str">
            <v>1.3.5.3.2.3.6</v>
          </cell>
          <cell r="B874">
            <v>0</v>
          </cell>
          <cell r="C874">
            <v>0</v>
          </cell>
        </row>
        <row r="875">
          <cell r="A875" t="str">
            <v>1.3.5.3.2.3.7</v>
          </cell>
          <cell r="B875">
            <v>0</v>
          </cell>
          <cell r="C875">
            <v>0</v>
          </cell>
        </row>
        <row r="876">
          <cell r="A876" t="str">
            <v>1.3.5.3.2.3.8</v>
          </cell>
          <cell r="B876">
            <v>0</v>
          </cell>
          <cell r="C876">
            <v>0</v>
          </cell>
        </row>
        <row r="877">
          <cell r="A877" t="str">
            <v>1.3.5.3.2.3.9</v>
          </cell>
          <cell r="B877">
            <v>0</v>
          </cell>
          <cell r="C877">
            <v>0</v>
          </cell>
        </row>
        <row r="878">
          <cell r="A878" t="str">
            <v>1.3.5.3.2.3.10</v>
          </cell>
          <cell r="B878">
            <v>0</v>
          </cell>
          <cell r="C878">
            <v>0</v>
          </cell>
        </row>
        <row r="879">
          <cell r="A879" t="str">
            <v>1.3.5.3.2.3.11</v>
          </cell>
          <cell r="B879">
            <v>0</v>
          </cell>
          <cell r="C879">
            <v>0</v>
          </cell>
        </row>
        <row r="880">
          <cell r="A880" t="str">
            <v>1.3.5.3.2.4</v>
          </cell>
          <cell r="B880">
            <v>0</v>
          </cell>
          <cell r="C880">
            <v>0</v>
          </cell>
        </row>
        <row r="881">
          <cell r="A881" t="str">
            <v>1.3.5.3.3</v>
          </cell>
          <cell r="B881">
            <v>0</v>
          </cell>
          <cell r="C881">
            <v>0</v>
          </cell>
        </row>
        <row r="882">
          <cell r="A882" t="str">
            <v>1.3.5.3.3.1</v>
          </cell>
          <cell r="B882">
            <v>0</v>
          </cell>
          <cell r="C882">
            <v>0</v>
          </cell>
        </row>
        <row r="883">
          <cell r="A883" t="str">
            <v>1.3.5.3.3.1.1</v>
          </cell>
          <cell r="B883">
            <v>0</v>
          </cell>
          <cell r="C883">
            <v>0</v>
          </cell>
        </row>
        <row r="884">
          <cell r="A884" t="str">
            <v>1.3.5.3.3.1.2</v>
          </cell>
          <cell r="B884">
            <v>0</v>
          </cell>
          <cell r="C884">
            <v>0</v>
          </cell>
        </row>
        <row r="885">
          <cell r="A885" t="str">
            <v>1.3.5.3.3.1.3</v>
          </cell>
          <cell r="B885">
            <v>0</v>
          </cell>
          <cell r="C885">
            <v>0</v>
          </cell>
        </row>
        <row r="886">
          <cell r="A886" t="str">
            <v>1.3.5.3.3.1.4</v>
          </cell>
          <cell r="B886">
            <v>0</v>
          </cell>
          <cell r="C886">
            <v>0</v>
          </cell>
        </row>
        <row r="887">
          <cell r="A887" t="str">
            <v>1.3.5.3.3.1.5</v>
          </cell>
          <cell r="B887">
            <v>0</v>
          </cell>
          <cell r="C887">
            <v>0</v>
          </cell>
        </row>
        <row r="888">
          <cell r="A888" t="str">
            <v>1.3.5.3.3.1.6</v>
          </cell>
          <cell r="B888">
            <v>0</v>
          </cell>
          <cell r="C888">
            <v>0</v>
          </cell>
        </row>
        <row r="889">
          <cell r="A889" t="str">
            <v>1.3.5.3.3.1.7</v>
          </cell>
          <cell r="B889">
            <v>0</v>
          </cell>
          <cell r="C889">
            <v>0</v>
          </cell>
        </row>
        <row r="890">
          <cell r="A890" t="str">
            <v>1.3.5.3.3.2</v>
          </cell>
          <cell r="B890">
            <v>0</v>
          </cell>
          <cell r="C890">
            <v>0</v>
          </cell>
        </row>
        <row r="891">
          <cell r="A891" t="str">
            <v>1.3.5.3.3.2.1</v>
          </cell>
          <cell r="B891">
            <v>0</v>
          </cell>
          <cell r="C891">
            <v>0</v>
          </cell>
        </row>
        <row r="892">
          <cell r="A892" t="str">
            <v>1.3.5.3.3.3</v>
          </cell>
          <cell r="B892">
            <v>0</v>
          </cell>
          <cell r="C892">
            <v>0</v>
          </cell>
        </row>
        <row r="893">
          <cell r="A893" t="str">
            <v>1.3.5.3.3.4</v>
          </cell>
          <cell r="B893">
            <v>0</v>
          </cell>
          <cell r="C893">
            <v>0</v>
          </cell>
        </row>
        <row r="894">
          <cell r="A894" t="str">
            <v>1.3.5.3.3.5</v>
          </cell>
          <cell r="B894">
            <v>0</v>
          </cell>
          <cell r="C894">
            <v>0</v>
          </cell>
        </row>
        <row r="895">
          <cell r="A895" t="str">
            <v>1.3.5.3.4</v>
          </cell>
          <cell r="B895">
            <v>0</v>
          </cell>
          <cell r="C895">
            <v>0</v>
          </cell>
        </row>
        <row r="896">
          <cell r="A896" t="str">
            <v>1.3.5.3.5</v>
          </cell>
          <cell r="B896">
            <v>0</v>
          </cell>
          <cell r="C896">
            <v>0</v>
          </cell>
        </row>
        <row r="897">
          <cell r="A897" t="str">
            <v>1.3.5.4</v>
          </cell>
          <cell r="B897">
            <v>337</v>
          </cell>
          <cell r="C897">
            <v>0</v>
          </cell>
        </row>
        <row r="898">
          <cell r="A898" t="str">
            <v>1.3.5.4.1</v>
          </cell>
          <cell r="B898">
            <v>0</v>
          </cell>
          <cell r="C898">
            <v>0</v>
          </cell>
        </row>
        <row r="899">
          <cell r="A899" t="str">
            <v>1.3.5.4.1.1</v>
          </cell>
          <cell r="B899">
            <v>0</v>
          </cell>
          <cell r="C899">
            <v>0</v>
          </cell>
        </row>
        <row r="900">
          <cell r="A900" t="str">
            <v>1.3.5.4.1.2</v>
          </cell>
          <cell r="B900">
            <v>0</v>
          </cell>
          <cell r="C900">
            <v>0</v>
          </cell>
        </row>
        <row r="901">
          <cell r="A901" t="str">
            <v>1.3.5.4.2</v>
          </cell>
          <cell r="B901">
            <v>337</v>
          </cell>
          <cell r="C901">
            <v>0</v>
          </cell>
        </row>
        <row r="902">
          <cell r="A902" t="str">
            <v>1.3.5.4.2.1</v>
          </cell>
          <cell r="B902">
            <v>337</v>
          </cell>
          <cell r="C902">
            <v>0.07</v>
          </cell>
        </row>
        <row r="903">
          <cell r="A903" t="str">
            <v>1.3.5.4.2.2</v>
          </cell>
          <cell r="B903">
            <v>0</v>
          </cell>
          <cell r="C903">
            <v>0</v>
          </cell>
        </row>
        <row r="904">
          <cell r="A904" t="str">
            <v>1.3.5.4.3</v>
          </cell>
          <cell r="B904">
            <v>0</v>
          </cell>
          <cell r="C904">
            <v>0</v>
          </cell>
        </row>
        <row r="905">
          <cell r="A905" t="str">
            <v>1.3.5.4.3.1</v>
          </cell>
          <cell r="B905">
            <v>0</v>
          </cell>
          <cell r="C905">
            <v>0</v>
          </cell>
        </row>
        <row r="906">
          <cell r="A906" t="str">
            <v>1.3.5.4.4</v>
          </cell>
          <cell r="B906">
            <v>0</v>
          </cell>
          <cell r="C906">
            <v>0</v>
          </cell>
        </row>
        <row r="907">
          <cell r="A907" t="str">
            <v>1.4</v>
          </cell>
          <cell r="B907">
            <v>886580.38</v>
          </cell>
          <cell r="C907">
            <v>0</v>
          </cell>
        </row>
        <row r="908">
          <cell r="A908" t="str">
            <v>1.4.1</v>
          </cell>
          <cell r="B908">
            <v>721787</v>
          </cell>
          <cell r="C908">
            <v>0</v>
          </cell>
        </row>
        <row r="909">
          <cell r="A909" t="str">
            <v>1.4.1.1</v>
          </cell>
          <cell r="B909">
            <v>110000</v>
          </cell>
          <cell r="C909">
            <v>0.42</v>
          </cell>
        </row>
        <row r="910">
          <cell r="A910" t="str">
            <v>1.4.1.2</v>
          </cell>
          <cell r="B910">
            <v>196904.3</v>
          </cell>
          <cell r="C910">
            <v>0.26</v>
          </cell>
        </row>
        <row r="911">
          <cell r="A911" t="str">
            <v>1.4.1.2.1</v>
          </cell>
          <cell r="B911">
            <v>23674.3</v>
          </cell>
          <cell r="C911">
            <v>0</v>
          </cell>
        </row>
        <row r="912">
          <cell r="A912" t="str">
            <v>1.4.1.2.1.1</v>
          </cell>
          <cell r="B912">
            <v>0</v>
          </cell>
          <cell r="C912">
            <v>0</v>
          </cell>
        </row>
        <row r="913">
          <cell r="A913" t="str">
            <v>1.4.1.2.1.1.1</v>
          </cell>
          <cell r="B913">
            <v>0</v>
          </cell>
          <cell r="C913">
            <v>0</v>
          </cell>
        </row>
        <row r="914">
          <cell r="A914" t="str">
            <v>1.4.1.2.1.1.1.1</v>
          </cell>
          <cell r="B914">
            <v>0</v>
          </cell>
          <cell r="C914">
            <v>0</v>
          </cell>
        </row>
        <row r="915">
          <cell r="A915" t="str">
            <v>1.4.1.2.1.1.1.2</v>
          </cell>
          <cell r="B915">
            <v>0</v>
          </cell>
          <cell r="C915">
            <v>0</v>
          </cell>
        </row>
        <row r="916">
          <cell r="A916" t="str">
            <v>1.4.1.2.1.1.2</v>
          </cell>
          <cell r="B916">
            <v>0</v>
          </cell>
          <cell r="C916">
            <v>0</v>
          </cell>
        </row>
        <row r="917">
          <cell r="A917" t="str">
            <v>1.4.1.2.1.1.2.1</v>
          </cell>
          <cell r="B917">
            <v>0</v>
          </cell>
          <cell r="C917">
            <v>0</v>
          </cell>
        </row>
        <row r="918">
          <cell r="A918" t="str">
            <v>1.4.1.2.1.1.2.2</v>
          </cell>
          <cell r="B918">
            <v>0</v>
          </cell>
          <cell r="C918">
            <v>0</v>
          </cell>
        </row>
        <row r="919">
          <cell r="A919" t="str">
            <v>1.4.1.2.1.1.2.3</v>
          </cell>
          <cell r="B919">
            <v>0</v>
          </cell>
          <cell r="C919">
            <v>0</v>
          </cell>
        </row>
        <row r="920">
          <cell r="A920" t="str">
            <v>1.4.1.2.1.1.2.4</v>
          </cell>
          <cell r="B920">
            <v>0</v>
          </cell>
          <cell r="C920">
            <v>0</v>
          </cell>
        </row>
        <row r="921">
          <cell r="A921" t="str">
            <v>1.4.1.2.1.1.3</v>
          </cell>
          <cell r="B921">
            <v>0</v>
          </cell>
          <cell r="C921">
            <v>0</v>
          </cell>
        </row>
        <row r="922">
          <cell r="A922" t="str">
            <v>1.4.1.2.1.1.4</v>
          </cell>
          <cell r="B922">
            <v>0</v>
          </cell>
          <cell r="C922">
            <v>0</v>
          </cell>
        </row>
        <row r="923">
          <cell r="A923" t="str">
            <v>1.4.1.2.1.1.5</v>
          </cell>
          <cell r="B923">
            <v>0</v>
          </cell>
          <cell r="C923">
            <v>0</v>
          </cell>
        </row>
        <row r="924">
          <cell r="A924" t="str">
            <v>1.4.1.2.1.1.6</v>
          </cell>
          <cell r="B924">
            <v>0</v>
          </cell>
          <cell r="C924">
            <v>0</v>
          </cell>
        </row>
        <row r="925">
          <cell r="A925" t="str">
            <v>1.4.1.2.1.2</v>
          </cell>
          <cell r="B925">
            <v>0</v>
          </cell>
          <cell r="C925">
            <v>0</v>
          </cell>
        </row>
        <row r="926">
          <cell r="A926" t="str">
            <v>1.4.1.2.1.2.1</v>
          </cell>
          <cell r="B926">
            <v>0</v>
          </cell>
          <cell r="C926">
            <v>0</v>
          </cell>
        </row>
        <row r="927">
          <cell r="A927" t="str">
            <v>1.4.1.2.1.2.1.1</v>
          </cell>
          <cell r="B927">
            <v>0</v>
          </cell>
          <cell r="C927">
            <v>0</v>
          </cell>
        </row>
        <row r="928">
          <cell r="A928" t="str">
            <v>1.4.1.2.1.2.1.2</v>
          </cell>
          <cell r="B928">
            <v>0</v>
          </cell>
          <cell r="C928">
            <v>0</v>
          </cell>
        </row>
        <row r="929">
          <cell r="A929" t="str">
            <v>1.4.1.2.1.2.1.3</v>
          </cell>
          <cell r="B929">
            <v>0</v>
          </cell>
          <cell r="C929">
            <v>0</v>
          </cell>
        </row>
        <row r="930">
          <cell r="A930" t="str">
            <v>1.4.1.2.1.2.1.4</v>
          </cell>
          <cell r="B930">
            <v>0</v>
          </cell>
          <cell r="C930">
            <v>0</v>
          </cell>
        </row>
        <row r="931">
          <cell r="A931" t="str">
            <v>1.4.1.2.1.2.2</v>
          </cell>
          <cell r="B931">
            <v>0</v>
          </cell>
          <cell r="C931">
            <v>0</v>
          </cell>
        </row>
        <row r="932">
          <cell r="A932" t="str">
            <v>1.4.1.2.1.2.2.1</v>
          </cell>
          <cell r="B932">
            <v>0</v>
          </cell>
          <cell r="C932">
            <v>0</v>
          </cell>
        </row>
        <row r="933">
          <cell r="A933" t="str">
            <v>1.4.1.2.1.2.2.2</v>
          </cell>
          <cell r="B933">
            <v>0</v>
          </cell>
          <cell r="C933">
            <v>0</v>
          </cell>
        </row>
        <row r="934">
          <cell r="A934" t="str">
            <v>1.4.1.2.1.2.2.3</v>
          </cell>
          <cell r="B934">
            <v>0</v>
          </cell>
          <cell r="C934">
            <v>0</v>
          </cell>
        </row>
        <row r="935">
          <cell r="A935" t="str">
            <v>1.4.1.2.1.2.3</v>
          </cell>
          <cell r="B935">
            <v>0</v>
          </cell>
          <cell r="C935">
            <v>0</v>
          </cell>
        </row>
        <row r="936">
          <cell r="A936" t="str">
            <v>1.4.1.2.1.2.4</v>
          </cell>
          <cell r="B936">
            <v>0</v>
          </cell>
          <cell r="C936">
            <v>0</v>
          </cell>
        </row>
        <row r="937">
          <cell r="A937" t="str">
            <v>1.4.1.2.1.2.5</v>
          </cell>
          <cell r="B937">
            <v>0</v>
          </cell>
          <cell r="C937">
            <v>0</v>
          </cell>
        </row>
        <row r="938">
          <cell r="A938" t="str">
            <v>1.4.1.2.1.2.6</v>
          </cell>
          <cell r="B938">
            <v>0</v>
          </cell>
          <cell r="C938">
            <v>0</v>
          </cell>
        </row>
        <row r="939">
          <cell r="A939" t="str">
            <v>1.4.1.2.1.2.7</v>
          </cell>
          <cell r="B939">
            <v>0</v>
          </cell>
          <cell r="C939">
            <v>0</v>
          </cell>
        </row>
        <row r="940">
          <cell r="A940" t="str">
            <v>1.4.1.2.1.3</v>
          </cell>
          <cell r="B940">
            <v>0</v>
          </cell>
          <cell r="C940">
            <v>0</v>
          </cell>
        </row>
        <row r="941">
          <cell r="A941" t="str">
            <v>1.4.1.2.1.3.1</v>
          </cell>
          <cell r="B941">
            <v>0</v>
          </cell>
          <cell r="C941">
            <v>0</v>
          </cell>
        </row>
        <row r="942">
          <cell r="A942" t="str">
            <v>1.4.1.2.1.3.1.1</v>
          </cell>
          <cell r="B942">
            <v>0</v>
          </cell>
          <cell r="C942">
            <v>0</v>
          </cell>
        </row>
        <row r="943">
          <cell r="A943" t="str">
            <v>1.4.1.2.1.3.1.2</v>
          </cell>
          <cell r="B943">
            <v>0</v>
          </cell>
          <cell r="C943">
            <v>0</v>
          </cell>
        </row>
        <row r="944">
          <cell r="A944" t="str">
            <v>1.4.1.2.1.3.1.3</v>
          </cell>
          <cell r="B944">
            <v>0</v>
          </cell>
          <cell r="C944">
            <v>0</v>
          </cell>
        </row>
        <row r="945">
          <cell r="A945" t="str">
            <v>1.4.1.2.1.3.1.4</v>
          </cell>
          <cell r="B945">
            <v>0</v>
          </cell>
          <cell r="C945">
            <v>0</v>
          </cell>
        </row>
        <row r="946">
          <cell r="A946" t="str">
            <v>1.4.1.2.1.3.2</v>
          </cell>
          <cell r="B946">
            <v>0</v>
          </cell>
          <cell r="C946">
            <v>0</v>
          </cell>
        </row>
        <row r="947">
          <cell r="A947" t="str">
            <v>1.4.1.2.1.3.2.1</v>
          </cell>
          <cell r="B947">
            <v>0</v>
          </cell>
          <cell r="C947">
            <v>0</v>
          </cell>
        </row>
        <row r="948">
          <cell r="A948" t="str">
            <v>1.4.1.2.1.3.2.2</v>
          </cell>
          <cell r="B948">
            <v>0</v>
          </cell>
          <cell r="C948">
            <v>0</v>
          </cell>
        </row>
        <row r="949">
          <cell r="A949" t="str">
            <v>1.4.1.2.1.3.2.3</v>
          </cell>
          <cell r="B949">
            <v>0</v>
          </cell>
          <cell r="C949">
            <v>0</v>
          </cell>
        </row>
        <row r="950">
          <cell r="A950" t="str">
            <v>1.4.1.2.1.3.3</v>
          </cell>
          <cell r="B950">
            <v>0</v>
          </cell>
          <cell r="C950">
            <v>0</v>
          </cell>
        </row>
        <row r="951">
          <cell r="A951" t="str">
            <v>1.4.1.2.1.3.4</v>
          </cell>
          <cell r="B951">
            <v>0</v>
          </cell>
          <cell r="C951">
            <v>0</v>
          </cell>
        </row>
        <row r="952">
          <cell r="A952" t="str">
            <v>1.4.1.2.1.3.5</v>
          </cell>
          <cell r="B952">
            <v>0</v>
          </cell>
          <cell r="C952">
            <v>0</v>
          </cell>
        </row>
        <row r="953">
          <cell r="A953" t="str">
            <v>1.4.1.2.1.3.6</v>
          </cell>
          <cell r="B953">
            <v>0</v>
          </cell>
          <cell r="C953">
            <v>0</v>
          </cell>
        </row>
        <row r="954">
          <cell r="A954" t="str">
            <v>1.4.1.2.1.3.7</v>
          </cell>
          <cell r="B954">
            <v>0</v>
          </cell>
          <cell r="C954">
            <v>0</v>
          </cell>
        </row>
        <row r="955">
          <cell r="A955" t="str">
            <v>1.4.1.2.1.4</v>
          </cell>
          <cell r="B955">
            <v>0</v>
          </cell>
          <cell r="C955">
            <v>0</v>
          </cell>
        </row>
        <row r="956">
          <cell r="A956" t="str">
            <v>1.4.1.2.1.4.1</v>
          </cell>
          <cell r="B956">
            <v>0</v>
          </cell>
          <cell r="C956">
            <v>0</v>
          </cell>
        </row>
        <row r="957">
          <cell r="A957" t="str">
            <v>1.4.1.2.1.4.1.1</v>
          </cell>
          <cell r="B957">
            <v>0</v>
          </cell>
          <cell r="C957">
            <v>0</v>
          </cell>
        </row>
        <row r="958">
          <cell r="A958" t="str">
            <v>1.4.1.2.1.4.1.2</v>
          </cell>
          <cell r="B958">
            <v>0</v>
          </cell>
          <cell r="C958">
            <v>0</v>
          </cell>
        </row>
        <row r="959">
          <cell r="A959" t="str">
            <v>1.4.1.2.1.4.1.3</v>
          </cell>
          <cell r="B959">
            <v>0</v>
          </cell>
          <cell r="C959">
            <v>0</v>
          </cell>
        </row>
        <row r="960">
          <cell r="A960" t="str">
            <v>1.4.1.2.1.4.1.4</v>
          </cell>
          <cell r="B960">
            <v>0</v>
          </cell>
          <cell r="C960">
            <v>0</v>
          </cell>
        </row>
        <row r="961">
          <cell r="A961" t="str">
            <v>1.4.1.2.1.4.2</v>
          </cell>
          <cell r="B961">
            <v>0</v>
          </cell>
          <cell r="C961">
            <v>0</v>
          </cell>
        </row>
        <row r="962">
          <cell r="A962" t="str">
            <v>1.4.1.2.1.4.2.1</v>
          </cell>
          <cell r="B962">
            <v>0</v>
          </cell>
          <cell r="C962">
            <v>0</v>
          </cell>
        </row>
        <row r="963">
          <cell r="A963" t="str">
            <v>1.4.1.2.1.4.2.2</v>
          </cell>
          <cell r="B963">
            <v>0</v>
          </cell>
          <cell r="C963">
            <v>0</v>
          </cell>
        </row>
        <row r="964">
          <cell r="A964" t="str">
            <v>1.4.1.2.1.4.2.3</v>
          </cell>
          <cell r="B964">
            <v>0</v>
          </cell>
          <cell r="C964">
            <v>0</v>
          </cell>
        </row>
        <row r="965">
          <cell r="A965" t="str">
            <v>1.4.1.2.1.4.3</v>
          </cell>
          <cell r="B965">
            <v>0</v>
          </cell>
          <cell r="C965">
            <v>0</v>
          </cell>
        </row>
        <row r="966">
          <cell r="A966" t="str">
            <v>1.4.1.2.1.4.4</v>
          </cell>
          <cell r="B966">
            <v>0</v>
          </cell>
          <cell r="C966">
            <v>0</v>
          </cell>
        </row>
        <row r="967">
          <cell r="A967" t="str">
            <v>1.4.1.2.1.4.5</v>
          </cell>
          <cell r="B967">
            <v>0</v>
          </cell>
          <cell r="C967">
            <v>0</v>
          </cell>
        </row>
        <row r="968">
          <cell r="A968" t="str">
            <v>1.4.1.2.1.4.6</v>
          </cell>
          <cell r="B968">
            <v>0</v>
          </cell>
          <cell r="C968">
            <v>0</v>
          </cell>
        </row>
        <row r="969">
          <cell r="A969" t="str">
            <v>1.4.1.2.1.5</v>
          </cell>
          <cell r="B969">
            <v>0</v>
          </cell>
          <cell r="C969">
            <v>0</v>
          </cell>
        </row>
        <row r="970">
          <cell r="A970" t="str">
            <v>1.4.1.2.1.5.1</v>
          </cell>
          <cell r="B970">
            <v>0</v>
          </cell>
          <cell r="C970">
            <v>0</v>
          </cell>
        </row>
        <row r="971">
          <cell r="A971" t="str">
            <v>1.4.1.2.1.5.1.1</v>
          </cell>
          <cell r="B971">
            <v>0</v>
          </cell>
          <cell r="C971">
            <v>0</v>
          </cell>
        </row>
        <row r="972">
          <cell r="A972" t="str">
            <v>1.4.1.2.1.5.1.2</v>
          </cell>
          <cell r="B972">
            <v>0</v>
          </cell>
          <cell r="C972">
            <v>0</v>
          </cell>
        </row>
        <row r="973">
          <cell r="A973" t="str">
            <v>1.4.1.2.1.5.1.3</v>
          </cell>
          <cell r="B973">
            <v>0</v>
          </cell>
          <cell r="C973">
            <v>0</v>
          </cell>
        </row>
        <row r="974">
          <cell r="A974" t="str">
            <v>1.4.1.2.1.5.1.4</v>
          </cell>
          <cell r="B974">
            <v>0</v>
          </cell>
          <cell r="C974">
            <v>0</v>
          </cell>
        </row>
        <row r="975">
          <cell r="A975" t="str">
            <v>1.4.1.2.1.5.2</v>
          </cell>
          <cell r="B975">
            <v>0</v>
          </cell>
          <cell r="C975">
            <v>0</v>
          </cell>
        </row>
        <row r="976">
          <cell r="A976" t="str">
            <v>1.4.1.2.1.5.2.1</v>
          </cell>
          <cell r="B976">
            <v>0</v>
          </cell>
          <cell r="C976">
            <v>0</v>
          </cell>
        </row>
        <row r="977">
          <cell r="A977" t="str">
            <v>1.4.1.2.1.5.2.2</v>
          </cell>
          <cell r="B977">
            <v>0</v>
          </cell>
          <cell r="C977">
            <v>0</v>
          </cell>
        </row>
        <row r="978">
          <cell r="A978" t="str">
            <v>1.4.1.2.1.5.2.3</v>
          </cell>
          <cell r="B978">
            <v>0</v>
          </cell>
          <cell r="C978">
            <v>0</v>
          </cell>
        </row>
        <row r="979">
          <cell r="A979" t="str">
            <v>1.4.1.2.1.5.3</v>
          </cell>
          <cell r="B979">
            <v>0</v>
          </cell>
          <cell r="C979">
            <v>0</v>
          </cell>
        </row>
        <row r="980">
          <cell r="A980" t="str">
            <v>1.4.1.2.1.5.4</v>
          </cell>
          <cell r="B980">
            <v>0</v>
          </cell>
          <cell r="C980">
            <v>0</v>
          </cell>
        </row>
        <row r="981">
          <cell r="A981" t="str">
            <v>1.4.1.2.1.5.5</v>
          </cell>
          <cell r="B981">
            <v>0</v>
          </cell>
          <cell r="C981">
            <v>0</v>
          </cell>
        </row>
        <row r="982">
          <cell r="A982" t="str">
            <v>1.4.1.2.1.5.6</v>
          </cell>
          <cell r="B982">
            <v>0</v>
          </cell>
          <cell r="C982">
            <v>0</v>
          </cell>
        </row>
        <row r="983">
          <cell r="A983" t="str">
            <v>1.4.1.2.1.5.7</v>
          </cell>
          <cell r="B983">
            <v>0</v>
          </cell>
          <cell r="C983">
            <v>0</v>
          </cell>
        </row>
        <row r="984">
          <cell r="A984" t="str">
            <v>1.4.1.2.1.6</v>
          </cell>
          <cell r="B984">
            <v>0</v>
          </cell>
          <cell r="C984">
            <v>0</v>
          </cell>
        </row>
        <row r="985">
          <cell r="A985" t="str">
            <v>1.4.1.2.1.6.1</v>
          </cell>
          <cell r="B985">
            <v>0</v>
          </cell>
          <cell r="C985">
            <v>0</v>
          </cell>
        </row>
        <row r="986">
          <cell r="A986" t="str">
            <v>1.4.1.2.1.6.1.1</v>
          </cell>
          <cell r="B986">
            <v>0</v>
          </cell>
          <cell r="C986">
            <v>0</v>
          </cell>
        </row>
        <row r="987">
          <cell r="A987" t="str">
            <v>1.4.1.2.1.6.1.2</v>
          </cell>
          <cell r="B987">
            <v>0</v>
          </cell>
          <cell r="C987">
            <v>0</v>
          </cell>
        </row>
        <row r="988">
          <cell r="A988" t="str">
            <v>1.4.1.2.1.6.1.3</v>
          </cell>
          <cell r="B988">
            <v>0</v>
          </cell>
          <cell r="C988">
            <v>0</v>
          </cell>
        </row>
        <row r="989">
          <cell r="A989" t="str">
            <v>1.4.1.2.1.6.1.4</v>
          </cell>
          <cell r="B989">
            <v>0</v>
          </cell>
          <cell r="C989">
            <v>0</v>
          </cell>
        </row>
        <row r="990">
          <cell r="A990" t="str">
            <v>1.4.1.2.1.6.2</v>
          </cell>
          <cell r="B990">
            <v>0</v>
          </cell>
          <cell r="C990">
            <v>0</v>
          </cell>
        </row>
        <row r="991">
          <cell r="A991" t="str">
            <v>1.4.1.2.1.6.2.1</v>
          </cell>
          <cell r="B991">
            <v>0</v>
          </cell>
          <cell r="C991">
            <v>0</v>
          </cell>
        </row>
        <row r="992">
          <cell r="A992" t="str">
            <v>1.4.1.2.1.6.2.2</v>
          </cell>
          <cell r="B992">
            <v>0</v>
          </cell>
          <cell r="C992">
            <v>0</v>
          </cell>
        </row>
        <row r="993">
          <cell r="A993" t="str">
            <v>1.4.1.2.1.6.2.3</v>
          </cell>
          <cell r="B993">
            <v>0</v>
          </cell>
          <cell r="C993">
            <v>0</v>
          </cell>
        </row>
        <row r="994">
          <cell r="A994" t="str">
            <v>1.4.1.2.1.6.3</v>
          </cell>
          <cell r="B994">
            <v>0</v>
          </cell>
          <cell r="C994">
            <v>0</v>
          </cell>
        </row>
        <row r="995">
          <cell r="A995" t="str">
            <v>1.4.1.2.1.6.4</v>
          </cell>
          <cell r="B995">
            <v>0</v>
          </cell>
          <cell r="C995">
            <v>0</v>
          </cell>
        </row>
        <row r="996">
          <cell r="A996" t="str">
            <v>1.4.1.2.1.6.5</v>
          </cell>
          <cell r="B996">
            <v>0</v>
          </cell>
          <cell r="C996">
            <v>0</v>
          </cell>
        </row>
        <row r="997">
          <cell r="A997" t="str">
            <v>1.4.1.2.1.6.6</v>
          </cell>
          <cell r="B997">
            <v>0</v>
          </cell>
          <cell r="C997">
            <v>0</v>
          </cell>
        </row>
        <row r="998">
          <cell r="A998" t="str">
            <v>1.4.1.2.1.6.7</v>
          </cell>
          <cell r="B998">
            <v>0</v>
          </cell>
          <cell r="C998">
            <v>0</v>
          </cell>
        </row>
        <row r="999">
          <cell r="A999" t="str">
            <v>1.4.1.2.1.7</v>
          </cell>
          <cell r="B999">
            <v>0</v>
          </cell>
          <cell r="C999">
            <v>0</v>
          </cell>
        </row>
        <row r="1000">
          <cell r="A1000" t="str">
            <v>1.4.1.2.1.7.1</v>
          </cell>
          <cell r="B1000">
            <v>0</v>
          </cell>
          <cell r="C1000">
            <v>0</v>
          </cell>
        </row>
        <row r="1001">
          <cell r="A1001" t="str">
            <v>1.4.1.2.1.7.1.1</v>
          </cell>
          <cell r="B1001">
            <v>0</v>
          </cell>
          <cell r="C1001">
            <v>0</v>
          </cell>
        </row>
        <row r="1002">
          <cell r="A1002" t="str">
            <v>1.4.1.2.1.7.1.2</v>
          </cell>
          <cell r="B1002">
            <v>0</v>
          </cell>
          <cell r="C1002">
            <v>0</v>
          </cell>
        </row>
        <row r="1003">
          <cell r="A1003" t="str">
            <v>1.4.1.2.1.7.1.3</v>
          </cell>
          <cell r="B1003">
            <v>0</v>
          </cell>
          <cell r="C1003">
            <v>0</v>
          </cell>
        </row>
        <row r="1004">
          <cell r="A1004" t="str">
            <v>1.4.1.2.1.7.1.4</v>
          </cell>
          <cell r="B1004">
            <v>0</v>
          </cell>
          <cell r="C1004">
            <v>0</v>
          </cell>
        </row>
        <row r="1005">
          <cell r="A1005" t="str">
            <v>1.4.1.2.1.7.2</v>
          </cell>
          <cell r="B1005">
            <v>0</v>
          </cell>
          <cell r="C1005">
            <v>0</v>
          </cell>
        </row>
        <row r="1006">
          <cell r="A1006" t="str">
            <v>1.4.1.2.1.7.2.1</v>
          </cell>
          <cell r="B1006">
            <v>0</v>
          </cell>
          <cell r="C1006">
            <v>0</v>
          </cell>
        </row>
        <row r="1007">
          <cell r="A1007" t="str">
            <v>1.4.1.2.1.7.2.2</v>
          </cell>
          <cell r="B1007">
            <v>0</v>
          </cell>
          <cell r="C1007">
            <v>0</v>
          </cell>
        </row>
        <row r="1008">
          <cell r="A1008" t="str">
            <v>1.4.1.2.1.7.2.3</v>
          </cell>
          <cell r="B1008">
            <v>0</v>
          </cell>
          <cell r="C1008">
            <v>0</v>
          </cell>
        </row>
        <row r="1009">
          <cell r="A1009" t="str">
            <v>1.4.1.2.1.7.3</v>
          </cell>
          <cell r="B1009">
            <v>0</v>
          </cell>
          <cell r="C1009">
            <v>0</v>
          </cell>
        </row>
        <row r="1010">
          <cell r="A1010" t="str">
            <v>1.4.1.2.1.7.4</v>
          </cell>
          <cell r="B1010">
            <v>0</v>
          </cell>
          <cell r="C1010">
            <v>0</v>
          </cell>
        </row>
        <row r="1011">
          <cell r="A1011" t="str">
            <v>1.4.1.2.1.7.5</v>
          </cell>
          <cell r="B1011">
            <v>0</v>
          </cell>
          <cell r="C1011">
            <v>0</v>
          </cell>
        </row>
        <row r="1012">
          <cell r="A1012" t="str">
            <v>1.4.1.2.1.7.6</v>
          </cell>
          <cell r="B1012">
            <v>0</v>
          </cell>
          <cell r="C1012">
            <v>0</v>
          </cell>
        </row>
        <row r="1013">
          <cell r="A1013" t="str">
            <v>1.4.1.2.1.7.7</v>
          </cell>
          <cell r="B1013">
            <v>0</v>
          </cell>
          <cell r="C1013">
            <v>0</v>
          </cell>
        </row>
        <row r="1014">
          <cell r="A1014" t="str">
            <v>1.4.1.2.1.8</v>
          </cell>
          <cell r="B1014">
            <v>0</v>
          </cell>
          <cell r="C1014">
            <v>0</v>
          </cell>
        </row>
        <row r="1015">
          <cell r="A1015" t="str">
            <v>1.4.1.2.1.8.1</v>
          </cell>
          <cell r="B1015">
            <v>0</v>
          </cell>
          <cell r="C1015">
            <v>0</v>
          </cell>
        </row>
        <row r="1016">
          <cell r="A1016" t="str">
            <v>1.4.1.2.1.8.1.1</v>
          </cell>
          <cell r="B1016">
            <v>0</v>
          </cell>
          <cell r="C1016">
            <v>0</v>
          </cell>
        </row>
        <row r="1017">
          <cell r="A1017" t="str">
            <v>1.4.1.2.1.8.1.2</v>
          </cell>
          <cell r="B1017">
            <v>0</v>
          </cell>
          <cell r="C1017">
            <v>0</v>
          </cell>
        </row>
        <row r="1018">
          <cell r="A1018" t="str">
            <v>1.4.1.2.1.8.1.3</v>
          </cell>
          <cell r="B1018">
            <v>0</v>
          </cell>
          <cell r="C1018">
            <v>0</v>
          </cell>
        </row>
        <row r="1019">
          <cell r="A1019" t="str">
            <v>1.4.1.2.1.8.1.4</v>
          </cell>
          <cell r="B1019">
            <v>0</v>
          </cell>
          <cell r="C1019">
            <v>0</v>
          </cell>
        </row>
        <row r="1020">
          <cell r="A1020" t="str">
            <v>1.4.1.2.1.8.2</v>
          </cell>
          <cell r="B1020">
            <v>0</v>
          </cell>
          <cell r="C1020">
            <v>0</v>
          </cell>
        </row>
        <row r="1021">
          <cell r="A1021" t="str">
            <v>1.4.1.2.1.8.2.1</v>
          </cell>
          <cell r="B1021">
            <v>0</v>
          </cell>
          <cell r="C1021">
            <v>0</v>
          </cell>
        </row>
        <row r="1022">
          <cell r="A1022" t="str">
            <v>1.4.1.2.1.8.2.2</v>
          </cell>
          <cell r="B1022">
            <v>0</v>
          </cell>
          <cell r="C1022">
            <v>0</v>
          </cell>
        </row>
        <row r="1023">
          <cell r="A1023" t="str">
            <v>1.4.1.2.1.8.2.3</v>
          </cell>
          <cell r="B1023">
            <v>0</v>
          </cell>
          <cell r="C1023">
            <v>0</v>
          </cell>
        </row>
        <row r="1024">
          <cell r="A1024" t="str">
            <v>1.4.1.2.1.8.3</v>
          </cell>
          <cell r="B1024">
            <v>0</v>
          </cell>
          <cell r="C1024">
            <v>0</v>
          </cell>
        </row>
        <row r="1025">
          <cell r="A1025" t="str">
            <v>1.4.1.2.1.8.4</v>
          </cell>
          <cell r="B1025">
            <v>0</v>
          </cell>
          <cell r="C1025">
            <v>0</v>
          </cell>
        </row>
        <row r="1026">
          <cell r="A1026" t="str">
            <v>1.4.1.2.1.8.5</v>
          </cell>
          <cell r="B1026">
            <v>0</v>
          </cell>
          <cell r="C1026">
            <v>0</v>
          </cell>
        </row>
        <row r="1027">
          <cell r="A1027" t="str">
            <v>1.4.1.2.1.8.6</v>
          </cell>
          <cell r="B1027">
            <v>0</v>
          </cell>
          <cell r="C1027">
            <v>0</v>
          </cell>
        </row>
        <row r="1028">
          <cell r="A1028" t="str">
            <v>1.4.1.2.1.8.7</v>
          </cell>
          <cell r="B1028">
            <v>0</v>
          </cell>
          <cell r="C1028">
            <v>0</v>
          </cell>
        </row>
        <row r="1029">
          <cell r="A1029" t="str">
            <v>1.4.1.2.1.9</v>
          </cell>
          <cell r="B1029">
            <v>0</v>
          </cell>
          <cell r="C1029">
            <v>0</v>
          </cell>
        </row>
        <row r="1030">
          <cell r="A1030" t="str">
            <v>1.4.1.2.1.9.1</v>
          </cell>
          <cell r="B1030">
            <v>0</v>
          </cell>
          <cell r="C1030">
            <v>0</v>
          </cell>
        </row>
        <row r="1031">
          <cell r="A1031" t="str">
            <v>1.4.1.2.1.9.1.1</v>
          </cell>
          <cell r="B1031">
            <v>0</v>
          </cell>
          <cell r="C1031">
            <v>0</v>
          </cell>
        </row>
        <row r="1032">
          <cell r="A1032" t="str">
            <v>1.4.1.2.1.9.1.2</v>
          </cell>
          <cell r="B1032">
            <v>0</v>
          </cell>
          <cell r="C1032">
            <v>0</v>
          </cell>
        </row>
        <row r="1033">
          <cell r="A1033" t="str">
            <v>1.4.1.2.1.9.1.3</v>
          </cell>
          <cell r="B1033">
            <v>0</v>
          </cell>
          <cell r="C1033">
            <v>0</v>
          </cell>
        </row>
        <row r="1034">
          <cell r="A1034" t="str">
            <v>1.4.1.2.1.9.1.4</v>
          </cell>
          <cell r="B1034">
            <v>0</v>
          </cell>
          <cell r="C1034">
            <v>0</v>
          </cell>
        </row>
        <row r="1035">
          <cell r="A1035" t="str">
            <v>1.4.1.2.1.9.2</v>
          </cell>
          <cell r="B1035">
            <v>0</v>
          </cell>
          <cell r="C1035">
            <v>0</v>
          </cell>
        </row>
        <row r="1036">
          <cell r="A1036" t="str">
            <v>1.4.1.2.1.9.2.1</v>
          </cell>
          <cell r="B1036">
            <v>0</v>
          </cell>
          <cell r="C1036">
            <v>0</v>
          </cell>
        </row>
        <row r="1037">
          <cell r="A1037" t="str">
            <v>1.4.1.2.1.9.2.2</v>
          </cell>
          <cell r="B1037">
            <v>0</v>
          </cell>
          <cell r="C1037">
            <v>0</v>
          </cell>
        </row>
        <row r="1038">
          <cell r="A1038" t="str">
            <v>1.4.1.2.1.9.2.3</v>
          </cell>
          <cell r="B1038">
            <v>0</v>
          </cell>
          <cell r="C1038">
            <v>0</v>
          </cell>
        </row>
        <row r="1039">
          <cell r="A1039" t="str">
            <v>1.4.1.2.1.9.3</v>
          </cell>
          <cell r="B1039">
            <v>0</v>
          </cell>
          <cell r="C1039">
            <v>0</v>
          </cell>
        </row>
        <row r="1040">
          <cell r="A1040" t="str">
            <v>1.4.1.2.1.9.4</v>
          </cell>
          <cell r="B1040">
            <v>0</v>
          </cell>
          <cell r="C1040">
            <v>0</v>
          </cell>
        </row>
        <row r="1041">
          <cell r="A1041" t="str">
            <v>1.4.1.2.1.9.5</v>
          </cell>
          <cell r="B1041">
            <v>0</v>
          </cell>
          <cell r="C1041">
            <v>0</v>
          </cell>
        </row>
        <row r="1042">
          <cell r="A1042" t="str">
            <v>1.4.1.2.1.9.6</v>
          </cell>
          <cell r="B1042">
            <v>0</v>
          </cell>
          <cell r="C1042">
            <v>0</v>
          </cell>
        </row>
        <row r="1043">
          <cell r="A1043" t="str">
            <v>1.4.1.2.1.9.7</v>
          </cell>
          <cell r="B1043">
            <v>0</v>
          </cell>
          <cell r="C1043">
            <v>0</v>
          </cell>
        </row>
        <row r="1044">
          <cell r="A1044" t="str">
            <v>1.4.1.2.1.10</v>
          </cell>
          <cell r="B1044">
            <v>0</v>
          </cell>
          <cell r="C1044">
            <v>0</v>
          </cell>
        </row>
        <row r="1045">
          <cell r="A1045" t="str">
            <v>1.4.1.2.1.10.1</v>
          </cell>
          <cell r="B1045">
            <v>0</v>
          </cell>
          <cell r="C1045">
            <v>0</v>
          </cell>
        </row>
        <row r="1046">
          <cell r="A1046" t="str">
            <v>1.4.1.2.1.10.1.1</v>
          </cell>
          <cell r="B1046">
            <v>0</v>
          </cell>
          <cell r="C1046">
            <v>0</v>
          </cell>
        </row>
        <row r="1047">
          <cell r="A1047" t="str">
            <v>1.4.1.2.1.10.1.2</v>
          </cell>
          <cell r="B1047">
            <v>0</v>
          </cell>
          <cell r="C1047">
            <v>0</v>
          </cell>
        </row>
        <row r="1048">
          <cell r="A1048" t="str">
            <v>1.4.1.2.1.10.1.3</v>
          </cell>
          <cell r="B1048">
            <v>0</v>
          </cell>
          <cell r="C1048">
            <v>0</v>
          </cell>
        </row>
        <row r="1049">
          <cell r="A1049" t="str">
            <v>1.4.1.2.1.10.1.4</v>
          </cell>
          <cell r="B1049">
            <v>0</v>
          </cell>
          <cell r="C1049">
            <v>0</v>
          </cell>
        </row>
        <row r="1050">
          <cell r="A1050" t="str">
            <v>1.4.1.2.1.10.2</v>
          </cell>
          <cell r="B1050">
            <v>0</v>
          </cell>
          <cell r="C1050">
            <v>0</v>
          </cell>
        </row>
        <row r="1051">
          <cell r="A1051" t="str">
            <v>1.4.1.2.1.10.2.1</v>
          </cell>
          <cell r="B1051">
            <v>0</v>
          </cell>
          <cell r="C1051">
            <v>0</v>
          </cell>
        </row>
        <row r="1052">
          <cell r="A1052" t="str">
            <v>1.4.1.2.1.10.2.2</v>
          </cell>
          <cell r="B1052">
            <v>0</v>
          </cell>
          <cell r="C1052">
            <v>0</v>
          </cell>
        </row>
        <row r="1053">
          <cell r="A1053" t="str">
            <v>1.4.1.2.1.10.2.3</v>
          </cell>
          <cell r="B1053">
            <v>0</v>
          </cell>
          <cell r="C1053">
            <v>0</v>
          </cell>
        </row>
        <row r="1054">
          <cell r="A1054" t="str">
            <v>1.4.1.2.1.10.3</v>
          </cell>
          <cell r="B1054">
            <v>0</v>
          </cell>
          <cell r="C1054">
            <v>0</v>
          </cell>
        </row>
        <row r="1055">
          <cell r="A1055" t="str">
            <v>1.4.1.2.1.10.4</v>
          </cell>
          <cell r="B1055">
            <v>0</v>
          </cell>
          <cell r="C1055">
            <v>0</v>
          </cell>
        </row>
        <row r="1056">
          <cell r="A1056" t="str">
            <v>1.4.1.2.1.10.5</v>
          </cell>
          <cell r="B1056">
            <v>0</v>
          </cell>
          <cell r="C1056">
            <v>0</v>
          </cell>
        </row>
        <row r="1057">
          <cell r="A1057" t="str">
            <v>1.4.1.2.1.10.6</v>
          </cell>
          <cell r="B1057">
            <v>0</v>
          </cell>
          <cell r="C1057">
            <v>0</v>
          </cell>
        </row>
        <row r="1058">
          <cell r="A1058" t="str">
            <v>1.4.1.2.1.11</v>
          </cell>
          <cell r="B1058">
            <v>0</v>
          </cell>
          <cell r="C1058">
            <v>0</v>
          </cell>
        </row>
        <row r="1059">
          <cell r="A1059" t="str">
            <v>1.4.1.2.1.11.1</v>
          </cell>
          <cell r="B1059">
            <v>0</v>
          </cell>
          <cell r="C1059">
            <v>0</v>
          </cell>
        </row>
        <row r="1060">
          <cell r="A1060" t="str">
            <v>1.4.1.2.1.11.1.1</v>
          </cell>
          <cell r="B1060">
            <v>0</v>
          </cell>
          <cell r="C1060">
            <v>0</v>
          </cell>
        </row>
        <row r="1061">
          <cell r="A1061" t="str">
            <v>1.4.1.2.1.11.1.2</v>
          </cell>
          <cell r="B1061">
            <v>0</v>
          </cell>
          <cell r="C1061">
            <v>0</v>
          </cell>
        </row>
        <row r="1062">
          <cell r="A1062" t="str">
            <v>1.4.1.2.1.11.2</v>
          </cell>
          <cell r="B1062">
            <v>0</v>
          </cell>
          <cell r="C1062">
            <v>0</v>
          </cell>
        </row>
        <row r="1063">
          <cell r="A1063" t="str">
            <v>1.4.1.2.1.11.3</v>
          </cell>
          <cell r="B1063">
            <v>0</v>
          </cell>
          <cell r="C1063">
            <v>0</v>
          </cell>
        </row>
        <row r="1064">
          <cell r="A1064" t="str">
            <v>1.4.1.2.1.11.4</v>
          </cell>
          <cell r="B1064">
            <v>0</v>
          </cell>
          <cell r="C1064">
            <v>0</v>
          </cell>
        </row>
        <row r="1065">
          <cell r="A1065" t="str">
            <v>1.4.1.2.1.11.5</v>
          </cell>
          <cell r="B1065">
            <v>0</v>
          </cell>
          <cell r="C1065">
            <v>0</v>
          </cell>
        </row>
        <row r="1066">
          <cell r="A1066" t="str">
            <v>1.4.1.2.1.12</v>
          </cell>
          <cell r="B1066">
            <v>0</v>
          </cell>
          <cell r="C1066">
            <v>0</v>
          </cell>
        </row>
        <row r="1067">
          <cell r="A1067" t="str">
            <v>1.4.1.2.1.12.1</v>
          </cell>
          <cell r="B1067">
            <v>0</v>
          </cell>
          <cell r="C1067">
            <v>0</v>
          </cell>
        </row>
        <row r="1068">
          <cell r="A1068" t="str">
            <v>1.4.1.2.1.12.1.1</v>
          </cell>
          <cell r="B1068">
            <v>0</v>
          </cell>
          <cell r="C1068">
            <v>0</v>
          </cell>
        </row>
        <row r="1069">
          <cell r="A1069" t="str">
            <v>1.4.1.2.1.12.1.2</v>
          </cell>
          <cell r="B1069">
            <v>0</v>
          </cell>
          <cell r="C1069">
            <v>0</v>
          </cell>
        </row>
        <row r="1070">
          <cell r="A1070" t="str">
            <v>1.4.1.2.1.12.2</v>
          </cell>
          <cell r="B1070">
            <v>0</v>
          </cell>
          <cell r="C1070">
            <v>0</v>
          </cell>
        </row>
        <row r="1071">
          <cell r="A1071" t="str">
            <v>1.4.1.2.1.12.3</v>
          </cell>
          <cell r="B1071">
            <v>0</v>
          </cell>
          <cell r="C1071">
            <v>0</v>
          </cell>
        </row>
        <row r="1072">
          <cell r="A1072" t="str">
            <v>1.4.1.2.1.12.4</v>
          </cell>
          <cell r="B1072">
            <v>0</v>
          </cell>
          <cell r="C1072">
            <v>0</v>
          </cell>
        </row>
        <row r="1073">
          <cell r="A1073" t="str">
            <v>1.4.1.2.1.13</v>
          </cell>
          <cell r="B1073">
            <v>23674.3</v>
          </cell>
          <cell r="C1073">
            <v>0</v>
          </cell>
        </row>
        <row r="1074">
          <cell r="A1074" t="str">
            <v>1.4.1.2.1.14</v>
          </cell>
          <cell r="B1074">
            <v>0</v>
          </cell>
          <cell r="C1074">
            <v>0</v>
          </cell>
        </row>
        <row r="1075">
          <cell r="A1075" t="str">
            <v>1.4.1.2.1.15</v>
          </cell>
          <cell r="B1075">
            <v>0</v>
          </cell>
          <cell r="C1075">
            <v>0</v>
          </cell>
        </row>
        <row r="1076">
          <cell r="A1076" t="str">
            <v>1.4.1.2.2</v>
          </cell>
          <cell r="B1076">
            <v>0</v>
          </cell>
          <cell r="C1076">
            <v>0</v>
          </cell>
        </row>
        <row r="1077">
          <cell r="A1077" t="str">
            <v>1.4.1.2.2.1</v>
          </cell>
          <cell r="B1077">
            <v>0</v>
          </cell>
          <cell r="C1077">
            <v>0</v>
          </cell>
        </row>
        <row r="1078">
          <cell r="A1078" t="str">
            <v>1.4.1.2.2.2</v>
          </cell>
          <cell r="B1078">
            <v>0</v>
          </cell>
          <cell r="C1078">
            <v>0</v>
          </cell>
        </row>
        <row r="1079">
          <cell r="A1079" t="str">
            <v>1.4.1.2.2.2.1</v>
          </cell>
          <cell r="B1079">
            <v>0</v>
          </cell>
          <cell r="C1079">
            <v>0</v>
          </cell>
        </row>
        <row r="1080">
          <cell r="A1080" t="str">
            <v>1.4.1.2.2.2.2</v>
          </cell>
          <cell r="B1080">
            <v>0</v>
          </cell>
          <cell r="C1080">
            <v>0</v>
          </cell>
        </row>
        <row r="1081">
          <cell r="A1081" t="str">
            <v>1.4.1.2.2.3</v>
          </cell>
          <cell r="B1081">
            <v>0</v>
          </cell>
          <cell r="C1081">
            <v>0</v>
          </cell>
        </row>
        <row r="1082">
          <cell r="A1082" t="str">
            <v>1.4.1.2.2.3.1</v>
          </cell>
          <cell r="B1082">
            <v>0</v>
          </cell>
          <cell r="C1082">
            <v>0</v>
          </cell>
        </row>
        <row r="1083">
          <cell r="A1083" t="str">
            <v>1.4.1.2.2.3.2</v>
          </cell>
          <cell r="B1083">
            <v>0</v>
          </cell>
          <cell r="C1083">
            <v>0</v>
          </cell>
        </row>
        <row r="1084">
          <cell r="A1084" t="str">
            <v>1.4.1.2.2.4</v>
          </cell>
          <cell r="B1084">
            <v>0</v>
          </cell>
          <cell r="C1084">
            <v>0</v>
          </cell>
        </row>
        <row r="1085">
          <cell r="A1085" t="str">
            <v>1.4.1.2.2.4.1</v>
          </cell>
          <cell r="B1085">
            <v>0</v>
          </cell>
          <cell r="C1085">
            <v>0</v>
          </cell>
        </row>
        <row r="1086">
          <cell r="A1086" t="str">
            <v>1.4.1.2.2.4.2</v>
          </cell>
          <cell r="B1086">
            <v>0</v>
          </cell>
          <cell r="C1086">
            <v>0</v>
          </cell>
        </row>
        <row r="1087">
          <cell r="A1087" t="str">
            <v>1.4.1.2.2.4.3</v>
          </cell>
          <cell r="B1087">
            <v>0</v>
          </cell>
          <cell r="C1087">
            <v>0</v>
          </cell>
        </row>
        <row r="1088">
          <cell r="A1088" t="str">
            <v>1.4.1.2.2.4.4</v>
          </cell>
          <cell r="B1088">
            <v>0</v>
          </cell>
          <cell r="C1088">
            <v>0</v>
          </cell>
        </row>
        <row r="1089">
          <cell r="A1089" t="str">
            <v>1.4.1.2.2.5</v>
          </cell>
          <cell r="B1089">
            <v>0</v>
          </cell>
          <cell r="C1089">
            <v>0</v>
          </cell>
        </row>
        <row r="1090">
          <cell r="A1090" t="str">
            <v>1.4.1.2.3</v>
          </cell>
          <cell r="B1090">
            <v>0</v>
          </cell>
          <cell r="C1090">
            <v>0</v>
          </cell>
        </row>
        <row r="1091">
          <cell r="A1091" t="str">
            <v>1.4.1.2.3.1</v>
          </cell>
          <cell r="B1091">
            <v>0</v>
          </cell>
          <cell r="C1091">
            <v>0</v>
          </cell>
        </row>
        <row r="1092">
          <cell r="A1092" t="str">
            <v>1.4.1.2.3.2</v>
          </cell>
          <cell r="B1092">
            <v>0</v>
          </cell>
          <cell r="C1092">
            <v>0</v>
          </cell>
        </row>
        <row r="1093">
          <cell r="A1093" t="str">
            <v>1.4.1.2.4</v>
          </cell>
          <cell r="B1093">
            <v>0</v>
          </cell>
          <cell r="C1093">
            <v>0</v>
          </cell>
        </row>
        <row r="1094">
          <cell r="A1094" t="str">
            <v>1.4.1.2.4.1</v>
          </cell>
          <cell r="B1094">
            <v>0</v>
          </cell>
          <cell r="C1094">
            <v>0</v>
          </cell>
        </row>
        <row r="1095">
          <cell r="A1095" t="str">
            <v>1.4.1.3</v>
          </cell>
          <cell r="B1095">
            <v>207877.06</v>
          </cell>
          <cell r="C1095">
            <v>1</v>
          </cell>
        </row>
        <row r="1096">
          <cell r="A1096" t="str">
            <v>1.4.1.3.1</v>
          </cell>
          <cell r="B1096">
            <v>6074.06</v>
          </cell>
          <cell r="C1096">
            <v>0</v>
          </cell>
        </row>
        <row r="1097">
          <cell r="A1097" t="str">
            <v>1.4.1.3.1.1</v>
          </cell>
          <cell r="B1097">
            <v>0</v>
          </cell>
          <cell r="C1097">
            <v>0</v>
          </cell>
        </row>
        <row r="1098">
          <cell r="A1098" t="str">
            <v>1.4.1.3.1.1.1</v>
          </cell>
          <cell r="B1098">
            <v>0</v>
          </cell>
          <cell r="C1098">
            <v>0</v>
          </cell>
        </row>
        <row r="1099">
          <cell r="A1099" t="str">
            <v>1.4.1.3.1.1.1.1</v>
          </cell>
          <cell r="B1099">
            <v>0</v>
          </cell>
          <cell r="C1099">
            <v>0</v>
          </cell>
        </row>
        <row r="1100">
          <cell r="A1100" t="str">
            <v>1.4.1.3.1.1.1.2</v>
          </cell>
          <cell r="B1100">
            <v>0</v>
          </cell>
          <cell r="C1100">
            <v>0</v>
          </cell>
        </row>
        <row r="1101">
          <cell r="A1101" t="str">
            <v>1.4.1.3.1.1.1.3</v>
          </cell>
          <cell r="B1101">
            <v>0</v>
          </cell>
          <cell r="C1101">
            <v>0</v>
          </cell>
        </row>
        <row r="1102">
          <cell r="A1102" t="str">
            <v>1.4.1.3.1.1.1.4</v>
          </cell>
          <cell r="B1102">
            <v>0</v>
          </cell>
          <cell r="C1102">
            <v>0</v>
          </cell>
        </row>
        <row r="1103">
          <cell r="A1103" t="str">
            <v>1.4.1.3.1.1.2</v>
          </cell>
          <cell r="B1103">
            <v>0</v>
          </cell>
          <cell r="C1103">
            <v>0</v>
          </cell>
        </row>
        <row r="1104">
          <cell r="A1104" t="str">
            <v>1.4.1.3.1.1.2.1</v>
          </cell>
          <cell r="B1104">
            <v>0</v>
          </cell>
          <cell r="C1104">
            <v>0</v>
          </cell>
        </row>
        <row r="1105">
          <cell r="A1105" t="str">
            <v>1.4.1.3.1.1.2.2</v>
          </cell>
          <cell r="B1105">
            <v>0</v>
          </cell>
          <cell r="C1105">
            <v>0</v>
          </cell>
        </row>
        <row r="1106">
          <cell r="A1106" t="str">
            <v>1.4.1.3.1.1.2.3</v>
          </cell>
          <cell r="B1106">
            <v>0</v>
          </cell>
          <cell r="C1106">
            <v>0</v>
          </cell>
        </row>
        <row r="1107">
          <cell r="A1107" t="str">
            <v>1.4.1.3.1.1.3</v>
          </cell>
          <cell r="B1107">
            <v>0</v>
          </cell>
          <cell r="C1107">
            <v>0</v>
          </cell>
        </row>
        <row r="1108">
          <cell r="A1108" t="str">
            <v>1.4.1.3.1.1.4</v>
          </cell>
          <cell r="B1108">
            <v>0</v>
          </cell>
          <cell r="C1108">
            <v>0</v>
          </cell>
        </row>
        <row r="1109">
          <cell r="A1109" t="str">
            <v>1.4.1.3.1.1.5</v>
          </cell>
          <cell r="B1109">
            <v>0</v>
          </cell>
          <cell r="C1109">
            <v>0</v>
          </cell>
        </row>
        <row r="1110">
          <cell r="A1110" t="str">
            <v>1.4.1.3.1.1.6</v>
          </cell>
          <cell r="B1110">
            <v>0</v>
          </cell>
          <cell r="C1110">
            <v>0</v>
          </cell>
        </row>
        <row r="1111">
          <cell r="A1111" t="str">
            <v>1.4.1.3.1.1.7</v>
          </cell>
          <cell r="B1111">
            <v>0</v>
          </cell>
          <cell r="C1111">
            <v>0</v>
          </cell>
        </row>
        <row r="1112">
          <cell r="A1112" t="str">
            <v>1.4.1.3.1.2</v>
          </cell>
          <cell r="B1112">
            <v>0</v>
          </cell>
          <cell r="C1112">
            <v>0</v>
          </cell>
        </row>
        <row r="1113">
          <cell r="A1113" t="str">
            <v>1.4.1.3.1.2.1</v>
          </cell>
          <cell r="B1113">
            <v>0</v>
          </cell>
          <cell r="C1113">
            <v>0</v>
          </cell>
        </row>
        <row r="1114">
          <cell r="A1114" t="str">
            <v>1.4.1.3.1.2.1.1</v>
          </cell>
          <cell r="B1114">
            <v>0</v>
          </cell>
          <cell r="C1114">
            <v>0</v>
          </cell>
        </row>
        <row r="1115">
          <cell r="A1115" t="str">
            <v>1.4.1.3.1.2.1.2</v>
          </cell>
          <cell r="B1115">
            <v>0</v>
          </cell>
          <cell r="C1115">
            <v>0</v>
          </cell>
        </row>
        <row r="1116">
          <cell r="A1116" t="str">
            <v>1.4.1.3.1.2.1.3</v>
          </cell>
          <cell r="B1116">
            <v>0</v>
          </cell>
          <cell r="C1116">
            <v>0</v>
          </cell>
        </row>
        <row r="1117">
          <cell r="A1117" t="str">
            <v>1.4.1.3.1.2.1.4</v>
          </cell>
          <cell r="B1117">
            <v>0</v>
          </cell>
          <cell r="C1117">
            <v>0</v>
          </cell>
        </row>
        <row r="1118">
          <cell r="A1118" t="str">
            <v>1.4.1.3.1.2.2</v>
          </cell>
          <cell r="B1118">
            <v>0</v>
          </cell>
          <cell r="C1118">
            <v>0</v>
          </cell>
        </row>
        <row r="1119">
          <cell r="A1119" t="str">
            <v>1.4.1.3.1.2.2.1</v>
          </cell>
          <cell r="B1119">
            <v>0</v>
          </cell>
          <cell r="C1119">
            <v>0</v>
          </cell>
        </row>
        <row r="1120">
          <cell r="A1120" t="str">
            <v>1.4.1.3.1.2.2.2</v>
          </cell>
          <cell r="B1120">
            <v>0</v>
          </cell>
          <cell r="C1120">
            <v>0</v>
          </cell>
        </row>
        <row r="1121">
          <cell r="A1121" t="str">
            <v>1.4.1.3.1.2.2.3</v>
          </cell>
          <cell r="B1121">
            <v>0</v>
          </cell>
          <cell r="C1121">
            <v>0</v>
          </cell>
        </row>
        <row r="1122">
          <cell r="A1122" t="str">
            <v>1.4.1.3.1.2.3</v>
          </cell>
          <cell r="B1122">
            <v>0</v>
          </cell>
          <cell r="C1122">
            <v>0</v>
          </cell>
        </row>
        <row r="1123">
          <cell r="A1123" t="str">
            <v>1.4.1.3.1.2.4</v>
          </cell>
          <cell r="B1123">
            <v>0</v>
          </cell>
          <cell r="C1123">
            <v>0</v>
          </cell>
        </row>
        <row r="1124">
          <cell r="A1124" t="str">
            <v>1.4.1.3.1.2.5</v>
          </cell>
          <cell r="B1124">
            <v>0</v>
          </cell>
          <cell r="C1124">
            <v>0</v>
          </cell>
        </row>
        <row r="1125">
          <cell r="A1125" t="str">
            <v>1.4.1.3.1.2.6</v>
          </cell>
          <cell r="B1125">
            <v>0</v>
          </cell>
          <cell r="C1125">
            <v>0</v>
          </cell>
        </row>
        <row r="1126">
          <cell r="A1126" t="str">
            <v>1.4.1.3.1.3</v>
          </cell>
          <cell r="B1126">
            <v>0</v>
          </cell>
          <cell r="C1126">
            <v>0</v>
          </cell>
        </row>
        <row r="1127">
          <cell r="A1127" t="str">
            <v>1.4.1.3.1.3.1</v>
          </cell>
          <cell r="B1127">
            <v>0</v>
          </cell>
          <cell r="C1127">
            <v>0</v>
          </cell>
        </row>
        <row r="1128">
          <cell r="A1128" t="str">
            <v>1.4.1.3.1.3.1.1</v>
          </cell>
          <cell r="B1128">
            <v>0</v>
          </cell>
          <cell r="C1128">
            <v>0</v>
          </cell>
        </row>
        <row r="1129">
          <cell r="A1129" t="str">
            <v>1.4.1.3.1.3.1.2</v>
          </cell>
          <cell r="B1129">
            <v>0</v>
          </cell>
          <cell r="C1129">
            <v>0</v>
          </cell>
        </row>
        <row r="1130">
          <cell r="A1130" t="str">
            <v>1.4.1.3.1.3.1.3</v>
          </cell>
          <cell r="B1130">
            <v>0</v>
          </cell>
          <cell r="C1130">
            <v>0</v>
          </cell>
        </row>
        <row r="1131">
          <cell r="A1131" t="str">
            <v>1.4.1.3.1.3.1.4</v>
          </cell>
          <cell r="B1131">
            <v>0</v>
          </cell>
          <cell r="C1131">
            <v>0</v>
          </cell>
        </row>
        <row r="1132">
          <cell r="A1132" t="str">
            <v>1.4.1.3.1.3.2</v>
          </cell>
          <cell r="B1132">
            <v>0</v>
          </cell>
          <cell r="C1132">
            <v>0</v>
          </cell>
        </row>
        <row r="1133">
          <cell r="A1133" t="str">
            <v>1.4.1.3.1.3.2.1</v>
          </cell>
          <cell r="B1133">
            <v>0</v>
          </cell>
          <cell r="C1133">
            <v>0</v>
          </cell>
        </row>
        <row r="1134">
          <cell r="A1134" t="str">
            <v>1.4.1.3.1.3.2.2</v>
          </cell>
          <cell r="B1134">
            <v>0</v>
          </cell>
          <cell r="C1134">
            <v>0</v>
          </cell>
        </row>
        <row r="1135">
          <cell r="A1135" t="str">
            <v>1.4.1.3.1.3.2.3</v>
          </cell>
          <cell r="B1135">
            <v>0</v>
          </cell>
          <cell r="C1135">
            <v>0</v>
          </cell>
        </row>
        <row r="1136">
          <cell r="A1136" t="str">
            <v>1.4.1.3.1.3.3</v>
          </cell>
          <cell r="B1136">
            <v>0</v>
          </cell>
          <cell r="C1136">
            <v>0</v>
          </cell>
        </row>
        <row r="1137">
          <cell r="A1137" t="str">
            <v>1.4.1.3.1.3.4</v>
          </cell>
          <cell r="B1137">
            <v>0</v>
          </cell>
          <cell r="C1137">
            <v>0</v>
          </cell>
        </row>
        <row r="1138">
          <cell r="A1138" t="str">
            <v>1.4.1.3.1.3.5</v>
          </cell>
          <cell r="B1138">
            <v>0</v>
          </cell>
          <cell r="C1138">
            <v>0</v>
          </cell>
        </row>
        <row r="1139">
          <cell r="A1139" t="str">
            <v>1.4.1.3.1.3.6</v>
          </cell>
          <cell r="B1139">
            <v>0</v>
          </cell>
          <cell r="C1139">
            <v>0</v>
          </cell>
        </row>
        <row r="1140">
          <cell r="A1140" t="str">
            <v>1.4.1.3.1.3.7</v>
          </cell>
          <cell r="B1140">
            <v>0</v>
          </cell>
          <cell r="C1140">
            <v>0</v>
          </cell>
        </row>
        <row r="1141">
          <cell r="A1141" t="str">
            <v>1.4.1.3.1.4</v>
          </cell>
          <cell r="B1141">
            <v>0</v>
          </cell>
          <cell r="C1141">
            <v>0</v>
          </cell>
        </row>
        <row r="1142">
          <cell r="A1142" t="str">
            <v>1.4.1.3.1.4.1</v>
          </cell>
          <cell r="B1142">
            <v>0</v>
          </cell>
          <cell r="C1142">
            <v>0</v>
          </cell>
        </row>
        <row r="1143">
          <cell r="A1143" t="str">
            <v>1.4.1.3.1.4.1.1</v>
          </cell>
          <cell r="B1143">
            <v>0</v>
          </cell>
          <cell r="C1143">
            <v>0</v>
          </cell>
        </row>
        <row r="1144">
          <cell r="A1144" t="str">
            <v>1.4.1.3.1.4.1.2</v>
          </cell>
          <cell r="B1144">
            <v>0</v>
          </cell>
          <cell r="C1144">
            <v>0</v>
          </cell>
        </row>
        <row r="1145">
          <cell r="A1145" t="str">
            <v>1.4.1.3.1.4.1.3</v>
          </cell>
          <cell r="B1145">
            <v>0</v>
          </cell>
          <cell r="C1145">
            <v>0</v>
          </cell>
        </row>
        <row r="1146">
          <cell r="A1146" t="str">
            <v>1.4.1.3.1.4.1.4</v>
          </cell>
          <cell r="B1146">
            <v>0</v>
          </cell>
          <cell r="C1146">
            <v>0</v>
          </cell>
        </row>
        <row r="1147">
          <cell r="A1147" t="str">
            <v>1.4.1.3.1.4.2</v>
          </cell>
          <cell r="B1147">
            <v>0</v>
          </cell>
          <cell r="C1147">
            <v>0</v>
          </cell>
        </row>
        <row r="1148">
          <cell r="A1148" t="str">
            <v>1.4.1.3.1.4.2.1</v>
          </cell>
          <cell r="B1148">
            <v>0</v>
          </cell>
          <cell r="C1148">
            <v>0</v>
          </cell>
        </row>
        <row r="1149">
          <cell r="A1149" t="str">
            <v>1.4.1.3.1.4.2.2</v>
          </cell>
          <cell r="B1149">
            <v>0</v>
          </cell>
          <cell r="C1149">
            <v>0</v>
          </cell>
        </row>
        <row r="1150">
          <cell r="A1150" t="str">
            <v>1.4.1.3.1.4.2.3</v>
          </cell>
          <cell r="B1150">
            <v>0</v>
          </cell>
          <cell r="C1150">
            <v>0</v>
          </cell>
        </row>
        <row r="1151">
          <cell r="A1151" t="str">
            <v>1.4.1.3.1.4.3</v>
          </cell>
          <cell r="B1151">
            <v>0</v>
          </cell>
          <cell r="C1151">
            <v>0</v>
          </cell>
        </row>
        <row r="1152">
          <cell r="A1152" t="str">
            <v>1.4.1.3.1.4.4</v>
          </cell>
          <cell r="B1152">
            <v>0</v>
          </cell>
          <cell r="C1152">
            <v>0</v>
          </cell>
        </row>
        <row r="1153">
          <cell r="A1153" t="str">
            <v>1.4.1.3.1.4.5</v>
          </cell>
          <cell r="B1153">
            <v>0</v>
          </cell>
          <cell r="C1153">
            <v>0</v>
          </cell>
        </row>
        <row r="1154">
          <cell r="A1154" t="str">
            <v>1.4.1.3.1.4.6</v>
          </cell>
          <cell r="B1154">
            <v>0</v>
          </cell>
          <cell r="C1154">
            <v>0</v>
          </cell>
        </row>
        <row r="1155">
          <cell r="A1155" t="str">
            <v>1.4.1.3.1.4.7</v>
          </cell>
          <cell r="B1155">
            <v>0</v>
          </cell>
          <cell r="C1155">
            <v>0</v>
          </cell>
        </row>
        <row r="1156">
          <cell r="A1156" t="str">
            <v>1.4.1.3.1.5</v>
          </cell>
          <cell r="B1156">
            <v>0</v>
          </cell>
          <cell r="C1156">
            <v>0</v>
          </cell>
        </row>
        <row r="1157">
          <cell r="A1157" t="str">
            <v>1.4.1.3.1.5.1</v>
          </cell>
          <cell r="B1157">
            <v>0</v>
          </cell>
          <cell r="C1157">
            <v>0</v>
          </cell>
        </row>
        <row r="1158">
          <cell r="A1158" t="str">
            <v>1.4.1.3.1.5.1.1</v>
          </cell>
          <cell r="B1158">
            <v>0</v>
          </cell>
          <cell r="C1158">
            <v>0</v>
          </cell>
        </row>
        <row r="1159">
          <cell r="A1159" t="str">
            <v>1.4.1.3.1.5.1.2</v>
          </cell>
          <cell r="B1159">
            <v>0</v>
          </cell>
          <cell r="C1159">
            <v>0</v>
          </cell>
        </row>
        <row r="1160">
          <cell r="A1160" t="str">
            <v>1.4.1.3.1.5.1.3</v>
          </cell>
          <cell r="B1160">
            <v>0</v>
          </cell>
          <cell r="C1160">
            <v>0</v>
          </cell>
        </row>
        <row r="1161">
          <cell r="A1161" t="str">
            <v>1.4.1.3.1.5.1.4</v>
          </cell>
          <cell r="B1161">
            <v>0</v>
          </cell>
          <cell r="C1161">
            <v>0</v>
          </cell>
        </row>
        <row r="1162">
          <cell r="A1162" t="str">
            <v>1.4.1.3.1.5.2</v>
          </cell>
          <cell r="B1162">
            <v>0</v>
          </cell>
          <cell r="C1162">
            <v>0</v>
          </cell>
        </row>
        <row r="1163">
          <cell r="A1163" t="str">
            <v>1.4.1.3.1.5.2.1</v>
          </cell>
          <cell r="B1163">
            <v>0</v>
          </cell>
          <cell r="C1163">
            <v>0</v>
          </cell>
        </row>
        <row r="1164">
          <cell r="A1164" t="str">
            <v>1.4.1.3.1.5.2.2</v>
          </cell>
          <cell r="B1164">
            <v>0</v>
          </cell>
          <cell r="C1164">
            <v>0</v>
          </cell>
        </row>
        <row r="1165">
          <cell r="A1165" t="str">
            <v>1.4.1.3.1.5.2.3</v>
          </cell>
          <cell r="B1165">
            <v>0</v>
          </cell>
          <cell r="C1165">
            <v>0</v>
          </cell>
        </row>
        <row r="1166">
          <cell r="A1166" t="str">
            <v>1.4.1.3.1.5.3</v>
          </cell>
          <cell r="B1166">
            <v>0</v>
          </cell>
          <cell r="C1166">
            <v>0</v>
          </cell>
        </row>
        <row r="1167">
          <cell r="A1167" t="str">
            <v>1.4.1.3.1.5.4</v>
          </cell>
          <cell r="B1167">
            <v>0</v>
          </cell>
          <cell r="C1167">
            <v>0</v>
          </cell>
        </row>
        <row r="1168">
          <cell r="A1168" t="str">
            <v>1.4.1.3.1.5.5</v>
          </cell>
          <cell r="B1168">
            <v>0</v>
          </cell>
          <cell r="C1168">
            <v>0</v>
          </cell>
        </row>
        <row r="1169">
          <cell r="A1169" t="str">
            <v>1.4.1.3.1.5.6</v>
          </cell>
          <cell r="B1169">
            <v>0</v>
          </cell>
          <cell r="C1169">
            <v>0</v>
          </cell>
        </row>
        <row r="1170">
          <cell r="A1170" t="str">
            <v>1.4.1.3.1.5.7</v>
          </cell>
          <cell r="B1170">
            <v>0</v>
          </cell>
          <cell r="C1170">
            <v>0</v>
          </cell>
        </row>
        <row r="1171">
          <cell r="A1171" t="str">
            <v>1.4.1.3.1.6</v>
          </cell>
          <cell r="B1171">
            <v>0</v>
          </cell>
          <cell r="C1171">
            <v>0</v>
          </cell>
        </row>
        <row r="1172">
          <cell r="A1172" t="str">
            <v>1.4.1.3.1.6.1</v>
          </cell>
          <cell r="B1172">
            <v>0</v>
          </cell>
          <cell r="C1172">
            <v>0</v>
          </cell>
        </row>
        <row r="1173">
          <cell r="A1173" t="str">
            <v>1.4.1.3.1.6.1.1</v>
          </cell>
          <cell r="B1173">
            <v>0</v>
          </cell>
          <cell r="C1173">
            <v>0</v>
          </cell>
        </row>
        <row r="1174">
          <cell r="A1174" t="str">
            <v>1.4.1.3.1.6.1.2</v>
          </cell>
          <cell r="B1174">
            <v>0</v>
          </cell>
          <cell r="C1174">
            <v>0</v>
          </cell>
        </row>
        <row r="1175">
          <cell r="A1175" t="str">
            <v>1.4.1.3.1.6.2</v>
          </cell>
          <cell r="B1175">
            <v>0</v>
          </cell>
          <cell r="C1175">
            <v>0</v>
          </cell>
        </row>
        <row r="1176">
          <cell r="A1176" t="str">
            <v>1.4.1.3.1.6.3</v>
          </cell>
          <cell r="B1176">
            <v>0</v>
          </cell>
          <cell r="C1176">
            <v>0</v>
          </cell>
        </row>
        <row r="1177">
          <cell r="A1177" t="str">
            <v>1.4.1.3.1.6.4</v>
          </cell>
          <cell r="B1177">
            <v>0</v>
          </cell>
          <cell r="C1177">
            <v>0</v>
          </cell>
        </row>
        <row r="1178">
          <cell r="A1178" t="str">
            <v>1.4.1.3.1.7</v>
          </cell>
          <cell r="B1178">
            <v>6074.06</v>
          </cell>
          <cell r="C1178">
            <v>0</v>
          </cell>
        </row>
        <row r="1179">
          <cell r="A1179" t="str">
            <v>1.4.1.3.1.8</v>
          </cell>
          <cell r="B1179">
            <v>0</v>
          </cell>
          <cell r="C1179">
            <v>0</v>
          </cell>
        </row>
        <row r="1180">
          <cell r="A1180" t="str">
            <v>1.4.1.3.1.9</v>
          </cell>
          <cell r="B1180">
            <v>0</v>
          </cell>
          <cell r="C1180">
            <v>0</v>
          </cell>
        </row>
        <row r="1181">
          <cell r="A1181" t="str">
            <v>1.4.1.3.2</v>
          </cell>
          <cell r="B1181">
            <v>0</v>
          </cell>
          <cell r="C1181">
            <v>0</v>
          </cell>
        </row>
        <row r="1182">
          <cell r="A1182" t="str">
            <v>1.4.1.3.2.1</v>
          </cell>
          <cell r="B1182">
            <v>0</v>
          </cell>
          <cell r="C1182">
            <v>0</v>
          </cell>
        </row>
        <row r="1183">
          <cell r="A1183" t="str">
            <v>1.4.1.3.2.2</v>
          </cell>
          <cell r="B1183">
            <v>0</v>
          </cell>
          <cell r="C1183">
            <v>0</v>
          </cell>
        </row>
        <row r="1184">
          <cell r="A1184" t="str">
            <v>1.4.1.3.2.2.1</v>
          </cell>
          <cell r="B1184">
            <v>0</v>
          </cell>
          <cell r="C1184">
            <v>0</v>
          </cell>
        </row>
        <row r="1185">
          <cell r="A1185" t="str">
            <v>1.4.1.3.2.2.2</v>
          </cell>
          <cell r="B1185">
            <v>0</v>
          </cell>
          <cell r="C1185">
            <v>0</v>
          </cell>
        </row>
        <row r="1186">
          <cell r="A1186" t="str">
            <v>1.4.1.3.2.3</v>
          </cell>
          <cell r="B1186">
            <v>0</v>
          </cell>
          <cell r="C1186">
            <v>0</v>
          </cell>
        </row>
        <row r="1187">
          <cell r="A1187" t="str">
            <v>1.4.1.3.2.3.1</v>
          </cell>
          <cell r="B1187">
            <v>0</v>
          </cell>
          <cell r="C1187">
            <v>0</v>
          </cell>
        </row>
        <row r="1188">
          <cell r="A1188" t="str">
            <v>1.4.1.3.2.3.2</v>
          </cell>
          <cell r="B1188">
            <v>0</v>
          </cell>
          <cell r="C1188">
            <v>0</v>
          </cell>
        </row>
        <row r="1189">
          <cell r="A1189" t="str">
            <v>1.4.1.3.2.4</v>
          </cell>
          <cell r="B1189">
            <v>0</v>
          </cell>
          <cell r="C1189">
            <v>0</v>
          </cell>
        </row>
        <row r="1190">
          <cell r="A1190" t="str">
            <v>1.4.1.3.2.4.1</v>
          </cell>
          <cell r="B1190">
            <v>0</v>
          </cell>
          <cell r="C1190">
            <v>0</v>
          </cell>
        </row>
        <row r="1191">
          <cell r="A1191" t="str">
            <v>1.4.1.3.2.4.2</v>
          </cell>
          <cell r="B1191">
            <v>0</v>
          </cell>
          <cell r="C1191">
            <v>0</v>
          </cell>
        </row>
        <row r="1192">
          <cell r="A1192" t="str">
            <v>1.4.1.3.2.4.3</v>
          </cell>
          <cell r="B1192">
            <v>0</v>
          </cell>
          <cell r="C1192">
            <v>0</v>
          </cell>
        </row>
        <row r="1193">
          <cell r="A1193" t="str">
            <v>1.4.1.3.2.4.4</v>
          </cell>
          <cell r="B1193">
            <v>0</v>
          </cell>
          <cell r="C1193">
            <v>0</v>
          </cell>
        </row>
        <row r="1194">
          <cell r="A1194" t="str">
            <v>1.4.1.3.2.5</v>
          </cell>
          <cell r="B1194">
            <v>0</v>
          </cell>
          <cell r="C1194">
            <v>0</v>
          </cell>
        </row>
        <row r="1195">
          <cell r="A1195" t="str">
            <v>1.4.1.3.3</v>
          </cell>
          <cell r="B1195">
            <v>0</v>
          </cell>
          <cell r="C1195">
            <v>0</v>
          </cell>
        </row>
        <row r="1196">
          <cell r="A1196" t="str">
            <v>1.4.1.3.3.1</v>
          </cell>
          <cell r="B1196">
            <v>0</v>
          </cell>
          <cell r="C1196">
            <v>0</v>
          </cell>
        </row>
        <row r="1197">
          <cell r="A1197" t="str">
            <v>1.4.1.3.3.2</v>
          </cell>
          <cell r="B1197">
            <v>0</v>
          </cell>
          <cell r="C1197">
            <v>0</v>
          </cell>
        </row>
        <row r="1198">
          <cell r="A1198" t="str">
            <v>1.4.1.3.4</v>
          </cell>
          <cell r="B1198">
            <v>0</v>
          </cell>
          <cell r="C1198">
            <v>0</v>
          </cell>
        </row>
        <row r="1199">
          <cell r="A1199" t="str">
            <v>1.4.1.3.4.1</v>
          </cell>
          <cell r="B1199">
            <v>0</v>
          </cell>
          <cell r="C1199">
            <v>0</v>
          </cell>
        </row>
        <row r="1200">
          <cell r="A1200" t="str">
            <v>1.4.1.4</v>
          </cell>
          <cell r="B1200">
            <v>188505.64</v>
          </cell>
          <cell r="C1200">
            <v>1</v>
          </cell>
        </row>
        <row r="1201">
          <cell r="A1201" t="str">
            <v>1.4.1.4.1</v>
          </cell>
          <cell r="B1201">
            <v>4603.64</v>
          </cell>
          <cell r="C1201">
            <v>0</v>
          </cell>
        </row>
        <row r="1202">
          <cell r="A1202" t="str">
            <v>1.4.1.4.1.1</v>
          </cell>
          <cell r="B1202">
            <v>0</v>
          </cell>
          <cell r="C1202">
            <v>0</v>
          </cell>
        </row>
        <row r="1203">
          <cell r="A1203" t="str">
            <v>1.4.1.4.1.1.1</v>
          </cell>
          <cell r="B1203">
            <v>0</v>
          </cell>
          <cell r="C1203">
            <v>0</v>
          </cell>
        </row>
        <row r="1204">
          <cell r="A1204" t="str">
            <v>1.4.1.4.1.1.1.1</v>
          </cell>
          <cell r="B1204">
            <v>0</v>
          </cell>
          <cell r="C1204">
            <v>0</v>
          </cell>
        </row>
        <row r="1205">
          <cell r="A1205" t="str">
            <v>1.4.1.4.1.1.1.2</v>
          </cell>
          <cell r="B1205">
            <v>0</v>
          </cell>
          <cell r="C1205">
            <v>0</v>
          </cell>
        </row>
        <row r="1206">
          <cell r="A1206" t="str">
            <v>1.4.1.4.1.1.1.3</v>
          </cell>
          <cell r="B1206">
            <v>0</v>
          </cell>
          <cell r="C1206">
            <v>0</v>
          </cell>
        </row>
        <row r="1207">
          <cell r="A1207" t="str">
            <v>1.4.1.4.1.1.1.4</v>
          </cell>
          <cell r="B1207">
            <v>0</v>
          </cell>
          <cell r="C1207">
            <v>0</v>
          </cell>
        </row>
        <row r="1208">
          <cell r="A1208" t="str">
            <v>1.4.1.4.1.1.2</v>
          </cell>
          <cell r="B1208">
            <v>0</v>
          </cell>
          <cell r="C1208">
            <v>0</v>
          </cell>
        </row>
        <row r="1209">
          <cell r="A1209" t="str">
            <v>1.4.1.4.1.1.2.1</v>
          </cell>
          <cell r="B1209">
            <v>0</v>
          </cell>
          <cell r="C1209">
            <v>0</v>
          </cell>
        </row>
        <row r="1210">
          <cell r="A1210" t="str">
            <v>1.4.1.4.1.1.2.2</v>
          </cell>
          <cell r="B1210">
            <v>0</v>
          </cell>
          <cell r="C1210">
            <v>0</v>
          </cell>
        </row>
        <row r="1211">
          <cell r="A1211" t="str">
            <v>1.4.1.4.1.1.2.3</v>
          </cell>
          <cell r="B1211">
            <v>0</v>
          </cell>
          <cell r="C1211">
            <v>0</v>
          </cell>
        </row>
        <row r="1212">
          <cell r="A1212" t="str">
            <v>1.4.1.4.1.1.3</v>
          </cell>
          <cell r="B1212">
            <v>0</v>
          </cell>
          <cell r="C1212">
            <v>0</v>
          </cell>
        </row>
        <row r="1213">
          <cell r="A1213" t="str">
            <v>1.4.1.4.1.1.4</v>
          </cell>
          <cell r="B1213">
            <v>0</v>
          </cell>
          <cell r="C1213">
            <v>0</v>
          </cell>
        </row>
        <row r="1214">
          <cell r="A1214" t="str">
            <v>1.4.1.4.1.1.5</v>
          </cell>
          <cell r="B1214">
            <v>0</v>
          </cell>
          <cell r="C1214">
            <v>0</v>
          </cell>
        </row>
        <row r="1215">
          <cell r="A1215" t="str">
            <v>1.4.1.4.1.1.6</v>
          </cell>
          <cell r="B1215">
            <v>0</v>
          </cell>
          <cell r="C1215">
            <v>0</v>
          </cell>
        </row>
        <row r="1216">
          <cell r="A1216" t="str">
            <v>1.4.1.4.1.1.7</v>
          </cell>
          <cell r="B1216">
            <v>0</v>
          </cell>
          <cell r="C1216">
            <v>0</v>
          </cell>
        </row>
        <row r="1217">
          <cell r="A1217" t="str">
            <v>1.4.1.4.1.2</v>
          </cell>
          <cell r="B1217">
            <v>0</v>
          </cell>
          <cell r="C1217">
            <v>0</v>
          </cell>
        </row>
        <row r="1218">
          <cell r="A1218" t="str">
            <v>1.4.1.4.1.2.1</v>
          </cell>
          <cell r="B1218">
            <v>0</v>
          </cell>
          <cell r="C1218">
            <v>0</v>
          </cell>
        </row>
        <row r="1219">
          <cell r="A1219" t="str">
            <v>1.4.1.4.1.2.1.1</v>
          </cell>
          <cell r="B1219">
            <v>0</v>
          </cell>
          <cell r="C1219">
            <v>0</v>
          </cell>
        </row>
        <row r="1220">
          <cell r="A1220" t="str">
            <v>1.4.1.4.1.2.1.2</v>
          </cell>
          <cell r="B1220">
            <v>0</v>
          </cell>
          <cell r="C1220">
            <v>0</v>
          </cell>
        </row>
        <row r="1221">
          <cell r="A1221" t="str">
            <v>1.4.1.4.1.2.1.3</v>
          </cell>
          <cell r="B1221">
            <v>0</v>
          </cell>
          <cell r="C1221">
            <v>0</v>
          </cell>
        </row>
        <row r="1222">
          <cell r="A1222" t="str">
            <v>1.4.1.4.1.2.1.4</v>
          </cell>
          <cell r="B1222">
            <v>0</v>
          </cell>
          <cell r="C1222">
            <v>0</v>
          </cell>
        </row>
        <row r="1223">
          <cell r="A1223" t="str">
            <v>1.4.1.4.1.2.2</v>
          </cell>
          <cell r="B1223">
            <v>0</v>
          </cell>
          <cell r="C1223">
            <v>0</v>
          </cell>
        </row>
        <row r="1224">
          <cell r="A1224" t="str">
            <v>1.4.1.4.1.2.2.1</v>
          </cell>
          <cell r="B1224">
            <v>0</v>
          </cell>
          <cell r="C1224">
            <v>0</v>
          </cell>
        </row>
        <row r="1225">
          <cell r="A1225" t="str">
            <v>1.4.1.4.1.2.2.2</v>
          </cell>
          <cell r="B1225">
            <v>0</v>
          </cell>
          <cell r="C1225">
            <v>0</v>
          </cell>
        </row>
        <row r="1226">
          <cell r="A1226" t="str">
            <v>1.4.1.4.1.2.2.3</v>
          </cell>
          <cell r="B1226">
            <v>0</v>
          </cell>
          <cell r="C1226">
            <v>0</v>
          </cell>
        </row>
        <row r="1227">
          <cell r="A1227" t="str">
            <v>1.4.1.4.1.2.3</v>
          </cell>
          <cell r="B1227">
            <v>0</v>
          </cell>
          <cell r="C1227">
            <v>0</v>
          </cell>
        </row>
        <row r="1228">
          <cell r="A1228" t="str">
            <v>1.4.1.4.1.2.4</v>
          </cell>
          <cell r="B1228">
            <v>0</v>
          </cell>
          <cell r="C1228">
            <v>0</v>
          </cell>
        </row>
        <row r="1229">
          <cell r="A1229" t="str">
            <v>1.4.1.4.1.2.5</v>
          </cell>
          <cell r="B1229">
            <v>0</v>
          </cell>
          <cell r="C1229">
            <v>0</v>
          </cell>
        </row>
        <row r="1230">
          <cell r="A1230" t="str">
            <v>1.4.1.4.1.2.6</v>
          </cell>
          <cell r="B1230">
            <v>0</v>
          </cell>
          <cell r="C1230">
            <v>0</v>
          </cell>
        </row>
        <row r="1231">
          <cell r="A1231" t="str">
            <v>1.4.1.4.1.3</v>
          </cell>
          <cell r="B1231">
            <v>4603.64</v>
          </cell>
          <cell r="C1231">
            <v>0</v>
          </cell>
        </row>
        <row r="1232">
          <cell r="A1232" t="str">
            <v>1.4.1.4.1.4</v>
          </cell>
          <cell r="B1232">
            <v>0</v>
          </cell>
          <cell r="C1232">
            <v>0</v>
          </cell>
        </row>
        <row r="1233">
          <cell r="A1233" t="str">
            <v>1.4.1.4.1.5</v>
          </cell>
          <cell r="B1233">
            <v>0</v>
          </cell>
          <cell r="C1233">
            <v>0</v>
          </cell>
        </row>
        <row r="1234">
          <cell r="A1234" t="str">
            <v>1.4.1.4.2</v>
          </cell>
          <cell r="B1234">
            <v>0</v>
          </cell>
          <cell r="C1234">
            <v>0</v>
          </cell>
        </row>
        <row r="1235">
          <cell r="A1235" t="str">
            <v>1.4.1.4.2.1</v>
          </cell>
          <cell r="B1235">
            <v>0</v>
          </cell>
          <cell r="C1235">
            <v>0</v>
          </cell>
        </row>
        <row r="1236">
          <cell r="A1236" t="str">
            <v>1.4.1.4.2.2</v>
          </cell>
          <cell r="B1236">
            <v>0</v>
          </cell>
          <cell r="C1236">
            <v>0</v>
          </cell>
        </row>
        <row r="1237">
          <cell r="A1237" t="str">
            <v>1.4.1.4.2.2.1</v>
          </cell>
          <cell r="B1237">
            <v>0</v>
          </cell>
          <cell r="C1237">
            <v>0</v>
          </cell>
        </row>
        <row r="1238">
          <cell r="A1238" t="str">
            <v>1.4.1.4.2.2.2</v>
          </cell>
          <cell r="B1238">
            <v>0</v>
          </cell>
          <cell r="C1238">
            <v>0</v>
          </cell>
        </row>
        <row r="1239">
          <cell r="A1239" t="str">
            <v>1.4.1.4.2.3</v>
          </cell>
          <cell r="B1239">
            <v>0</v>
          </cell>
          <cell r="C1239">
            <v>0</v>
          </cell>
        </row>
        <row r="1240">
          <cell r="A1240" t="str">
            <v>1.4.1.4.2.3.1</v>
          </cell>
          <cell r="B1240">
            <v>0</v>
          </cell>
          <cell r="C1240">
            <v>0</v>
          </cell>
        </row>
        <row r="1241">
          <cell r="A1241" t="str">
            <v>1.4.1.4.2.3.2</v>
          </cell>
          <cell r="B1241">
            <v>0</v>
          </cell>
          <cell r="C1241">
            <v>0</v>
          </cell>
        </row>
        <row r="1242">
          <cell r="A1242" t="str">
            <v>1.4.1.4.2.4</v>
          </cell>
          <cell r="B1242">
            <v>0</v>
          </cell>
          <cell r="C1242">
            <v>0</v>
          </cell>
        </row>
        <row r="1243">
          <cell r="A1243" t="str">
            <v>1.4.1.4.2.4.1</v>
          </cell>
          <cell r="B1243">
            <v>0</v>
          </cell>
          <cell r="C1243">
            <v>0</v>
          </cell>
        </row>
        <row r="1244">
          <cell r="A1244" t="str">
            <v>1.4.1.4.2.4.2</v>
          </cell>
          <cell r="B1244">
            <v>0</v>
          </cell>
          <cell r="C1244">
            <v>0</v>
          </cell>
        </row>
        <row r="1245">
          <cell r="A1245" t="str">
            <v>1.4.1.4.2.4.3</v>
          </cell>
          <cell r="B1245">
            <v>0</v>
          </cell>
          <cell r="C1245">
            <v>0</v>
          </cell>
        </row>
        <row r="1246">
          <cell r="A1246" t="str">
            <v>1.4.1.4.2.4.4</v>
          </cell>
          <cell r="B1246">
            <v>0</v>
          </cell>
          <cell r="C1246">
            <v>0</v>
          </cell>
        </row>
        <row r="1247">
          <cell r="A1247" t="str">
            <v>1.4.1.4.2.5</v>
          </cell>
          <cell r="B1247">
            <v>0</v>
          </cell>
          <cell r="C1247">
            <v>0</v>
          </cell>
        </row>
        <row r="1248">
          <cell r="A1248" t="str">
            <v>1.4.1.4.3</v>
          </cell>
          <cell r="B1248">
            <v>0</v>
          </cell>
          <cell r="C1248">
            <v>0</v>
          </cell>
        </row>
        <row r="1249">
          <cell r="A1249" t="str">
            <v>1.4.1.4.3.1</v>
          </cell>
          <cell r="B1249">
            <v>0</v>
          </cell>
          <cell r="C1249">
            <v>0</v>
          </cell>
        </row>
        <row r="1250">
          <cell r="A1250" t="str">
            <v>1.4.1.4.3.2</v>
          </cell>
          <cell r="B1250">
            <v>0</v>
          </cell>
          <cell r="C1250">
            <v>0</v>
          </cell>
        </row>
        <row r="1251">
          <cell r="A1251" t="str">
            <v>1.4.1.4.4</v>
          </cell>
          <cell r="B1251">
            <v>0</v>
          </cell>
          <cell r="C1251">
            <v>0</v>
          </cell>
        </row>
        <row r="1252">
          <cell r="A1252" t="str">
            <v>1.4.1.4.4.1</v>
          </cell>
          <cell r="B1252">
            <v>0</v>
          </cell>
          <cell r="C1252">
            <v>0</v>
          </cell>
        </row>
        <row r="1253">
          <cell r="A1253" t="str">
            <v>1.4.1.5</v>
          </cell>
          <cell r="B1253">
            <v>18500</v>
          </cell>
          <cell r="C1253">
            <v>1</v>
          </cell>
        </row>
        <row r="1254">
          <cell r="A1254" t="str">
            <v>1.4.1.5.1</v>
          </cell>
          <cell r="B1254">
            <v>0</v>
          </cell>
          <cell r="C1254">
            <v>0</v>
          </cell>
        </row>
        <row r="1255">
          <cell r="A1255" t="str">
            <v>1.4.1.5.1.1</v>
          </cell>
          <cell r="B1255">
            <v>0</v>
          </cell>
          <cell r="C1255">
            <v>0</v>
          </cell>
        </row>
        <row r="1256">
          <cell r="A1256" t="str">
            <v>1.4.1.5.1.2</v>
          </cell>
          <cell r="B1256">
            <v>0</v>
          </cell>
          <cell r="C1256">
            <v>0</v>
          </cell>
        </row>
        <row r="1257">
          <cell r="A1257" t="str">
            <v>1.4.1.5.1.3</v>
          </cell>
          <cell r="B1257">
            <v>0</v>
          </cell>
          <cell r="C1257">
            <v>0</v>
          </cell>
        </row>
        <row r="1258">
          <cell r="A1258" t="str">
            <v>1.4.2</v>
          </cell>
          <cell r="B1258">
            <v>0</v>
          </cell>
          <cell r="C1258">
            <v>0</v>
          </cell>
        </row>
        <row r="1259">
          <cell r="A1259" t="str">
            <v>1.4.2.1</v>
          </cell>
          <cell r="B1259">
            <v>0</v>
          </cell>
          <cell r="C1259">
            <v>0</v>
          </cell>
        </row>
        <row r="1260">
          <cell r="A1260" t="str">
            <v>1.4.2.2</v>
          </cell>
          <cell r="B1260">
            <v>0</v>
          </cell>
          <cell r="C1260">
            <v>0</v>
          </cell>
        </row>
        <row r="1261">
          <cell r="A1261" t="str">
            <v>1.4.2.3</v>
          </cell>
          <cell r="B1261">
            <v>0</v>
          </cell>
          <cell r="C1261">
            <v>0</v>
          </cell>
        </row>
        <row r="1262">
          <cell r="A1262" t="str">
            <v>1.4.2.4</v>
          </cell>
          <cell r="B1262">
            <v>0</v>
          </cell>
          <cell r="C1262">
            <v>0</v>
          </cell>
        </row>
        <row r="1263">
          <cell r="A1263" t="str">
            <v>1.4.2.4.1</v>
          </cell>
          <cell r="B1263">
            <v>0</v>
          </cell>
          <cell r="C1263">
            <v>0</v>
          </cell>
        </row>
        <row r="1264">
          <cell r="A1264" t="str">
            <v>1.4.2.4.2</v>
          </cell>
          <cell r="B1264">
            <v>0</v>
          </cell>
          <cell r="C1264">
            <v>0</v>
          </cell>
        </row>
        <row r="1265">
          <cell r="A1265" t="str">
            <v>1.4.2.4.3</v>
          </cell>
          <cell r="B1265">
            <v>0</v>
          </cell>
          <cell r="C1265">
            <v>0</v>
          </cell>
        </row>
        <row r="1266">
          <cell r="A1266" t="str">
            <v>1.4.2.4.4</v>
          </cell>
          <cell r="B1266">
            <v>0</v>
          </cell>
          <cell r="C1266">
            <v>0</v>
          </cell>
        </row>
        <row r="1267">
          <cell r="A1267" t="str">
            <v>1.4.3</v>
          </cell>
          <cell r="B1267">
            <v>21893.38</v>
          </cell>
          <cell r="C1267">
            <v>0</v>
          </cell>
        </row>
        <row r="1268">
          <cell r="A1268" t="str">
            <v>1.4.3.1</v>
          </cell>
          <cell r="B1268">
            <v>21893.38</v>
          </cell>
          <cell r="C1268">
            <v>0</v>
          </cell>
        </row>
        <row r="1269">
          <cell r="A1269" t="str">
            <v>1.4.3.1.1</v>
          </cell>
          <cell r="B1269">
            <v>0</v>
          </cell>
          <cell r="C1269">
            <v>0</v>
          </cell>
        </row>
        <row r="1270">
          <cell r="A1270" t="str">
            <v>1.4.3.1.2</v>
          </cell>
          <cell r="B1270">
            <v>0</v>
          </cell>
          <cell r="C1270">
            <v>0</v>
          </cell>
        </row>
        <row r="1271">
          <cell r="A1271" t="str">
            <v>1.4.3.1.3</v>
          </cell>
          <cell r="B1271">
            <v>21893.38</v>
          </cell>
          <cell r="C1271">
            <v>0.6</v>
          </cell>
        </row>
        <row r="1272">
          <cell r="A1272" t="str">
            <v>1.4.3.1.4</v>
          </cell>
          <cell r="B1272">
            <v>0</v>
          </cell>
          <cell r="C1272">
            <v>0</v>
          </cell>
        </row>
        <row r="1273">
          <cell r="A1273" t="str">
            <v>1.4.3.1.5</v>
          </cell>
          <cell r="B1273">
            <v>0</v>
          </cell>
          <cell r="C1273">
            <v>0</v>
          </cell>
        </row>
        <row r="1274">
          <cell r="A1274" t="str">
            <v>1.4.3.2</v>
          </cell>
          <cell r="B1274">
            <v>0</v>
          </cell>
          <cell r="C1274">
            <v>0</v>
          </cell>
        </row>
        <row r="1275">
          <cell r="A1275" t="str">
            <v>1.4.3.2.1</v>
          </cell>
          <cell r="B1275">
            <v>0</v>
          </cell>
          <cell r="C1275">
            <v>0</v>
          </cell>
        </row>
        <row r="1276">
          <cell r="A1276" t="str">
            <v>1.4.3.2.1.1</v>
          </cell>
          <cell r="B1276">
            <v>0</v>
          </cell>
          <cell r="C1276">
            <v>0</v>
          </cell>
        </row>
        <row r="1277">
          <cell r="A1277" t="str">
            <v>1.4.3.2.1.1.1</v>
          </cell>
          <cell r="B1277">
            <v>0</v>
          </cell>
          <cell r="C1277">
            <v>0</v>
          </cell>
        </row>
        <row r="1278">
          <cell r="A1278" t="str">
            <v>1.4.3.2.1.1.2</v>
          </cell>
          <cell r="B1278">
            <v>0</v>
          </cell>
          <cell r="C1278">
            <v>0</v>
          </cell>
        </row>
        <row r="1279">
          <cell r="A1279" t="str">
            <v>1.4.3.2.1.1.3</v>
          </cell>
          <cell r="B1279">
            <v>0</v>
          </cell>
          <cell r="C1279">
            <v>0</v>
          </cell>
        </row>
        <row r="1280">
          <cell r="A1280" t="str">
            <v>1.4.3.2.1.1.4</v>
          </cell>
          <cell r="B1280">
            <v>0</v>
          </cell>
          <cell r="C1280">
            <v>0</v>
          </cell>
        </row>
        <row r="1281">
          <cell r="A1281" t="str">
            <v>1.4.3.2.1.1.5</v>
          </cell>
          <cell r="B1281">
            <v>0</v>
          </cell>
          <cell r="C1281">
            <v>0</v>
          </cell>
        </row>
        <row r="1282">
          <cell r="A1282" t="str">
            <v>1.4.3.2.1.1.6</v>
          </cell>
          <cell r="B1282">
            <v>0</v>
          </cell>
          <cell r="C1282">
            <v>0</v>
          </cell>
        </row>
        <row r="1283">
          <cell r="A1283" t="str">
            <v>1.4.3.2.1.1.7</v>
          </cell>
          <cell r="B1283">
            <v>0</v>
          </cell>
          <cell r="C1283">
            <v>0</v>
          </cell>
        </row>
        <row r="1284">
          <cell r="A1284" t="str">
            <v>1.4.3.2.1.1.8</v>
          </cell>
          <cell r="B1284">
            <v>0</v>
          </cell>
          <cell r="C1284">
            <v>0</v>
          </cell>
        </row>
        <row r="1285">
          <cell r="A1285" t="str">
            <v>1.4.3.2.1.1.9</v>
          </cell>
          <cell r="B1285">
            <v>0</v>
          </cell>
          <cell r="C1285">
            <v>0</v>
          </cell>
        </row>
        <row r="1286">
          <cell r="A1286" t="str">
            <v>1.4.3.2.1.1.10</v>
          </cell>
          <cell r="B1286">
            <v>0</v>
          </cell>
          <cell r="C1286">
            <v>0</v>
          </cell>
        </row>
        <row r="1287">
          <cell r="A1287" t="str">
            <v>1.4.3.2.1.1.11</v>
          </cell>
          <cell r="B1287">
            <v>0</v>
          </cell>
          <cell r="C1287">
            <v>0</v>
          </cell>
        </row>
        <row r="1288">
          <cell r="A1288" t="str">
            <v>1.4.3.2.1.1.12</v>
          </cell>
          <cell r="B1288">
            <v>0</v>
          </cell>
          <cell r="C1288">
            <v>0</v>
          </cell>
        </row>
        <row r="1289">
          <cell r="A1289" t="str">
            <v>1.4.3.2.1.1.13</v>
          </cell>
          <cell r="B1289">
            <v>0</v>
          </cell>
          <cell r="C1289">
            <v>0</v>
          </cell>
        </row>
        <row r="1290">
          <cell r="A1290" t="str">
            <v>1.4.3.2.1.2</v>
          </cell>
          <cell r="B1290">
            <v>0</v>
          </cell>
          <cell r="C1290">
            <v>0</v>
          </cell>
        </row>
        <row r="1291">
          <cell r="A1291" t="str">
            <v>1.4.3.2.1.3</v>
          </cell>
          <cell r="B1291">
            <v>0</v>
          </cell>
          <cell r="C1291">
            <v>0</v>
          </cell>
        </row>
        <row r="1292">
          <cell r="A1292" t="str">
            <v>1.4.3.2.1.4</v>
          </cell>
          <cell r="B1292">
            <v>0</v>
          </cell>
          <cell r="C1292">
            <v>0</v>
          </cell>
        </row>
        <row r="1293">
          <cell r="A1293" t="str">
            <v>1.4.3.2.1.5</v>
          </cell>
          <cell r="B1293">
            <v>0</v>
          </cell>
          <cell r="C1293">
            <v>0</v>
          </cell>
        </row>
        <row r="1294">
          <cell r="A1294" t="str">
            <v>1.4.3.2.1.6</v>
          </cell>
          <cell r="B1294">
            <v>0</v>
          </cell>
          <cell r="C1294">
            <v>0</v>
          </cell>
        </row>
        <row r="1295">
          <cell r="A1295" t="str">
            <v>1.4.3.2.1.7</v>
          </cell>
          <cell r="B1295">
            <v>0</v>
          </cell>
          <cell r="C1295">
            <v>0</v>
          </cell>
        </row>
        <row r="1296">
          <cell r="A1296" t="str">
            <v>1.4.3.2.1.8</v>
          </cell>
          <cell r="B1296">
            <v>0</v>
          </cell>
          <cell r="C1296">
            <v>0</v>
          </cell>
        </row>
        <row r="1297">
          <cell r="A1297" t="str">
            <v>1.4.3.2.1.9</v>
          </cell>
          <cell r="B1297">
            <v>0</v>
          </cell>
          <cell r="C1297">
            <v>0</v>
          </cell>
        </row>
        <row r="1298">
          <cell r="A1298" t="str">
            <v>1.4.3.2.1.10</v>
          </cell>
          <cell r="B1298">
            <v>0</v>
          </cell>
          <cell r="C1298">
            <v>0</v>
          </cell>
        </row>
        <row r="1299">
          <cell r="A1299" t="str">
            <v>1.4.3.2.1.11</v>
          </cell>
          <cell r="B1299">
            <v>0</v>
          </cell>
          <cell r="C1299">
            <v>0</v>
          </cell>
        </row>
        <row r="1300">
          <cell r="A1300" t="str">
            <v>1.4.3.2.1.12</v>
          </cell>
          <cell r="B1300">
            <v>0</v>
          </cell>
          <cell r="C1300">
            <v>0</v>
          </cell>
        </row>
        <row r="1301">
          <cell r="A1301" t="str">
            <v>1.4.3.2.1.13</v>
          </cell>
          <cell r="B1301">
            <v>0</v>
          </cell>
          <cell r="C1301">
            <v>0</v>
          </cell>
        </row>
        <row r="1302">
          <cell r="A1302" t="str">
            <v>1.4.3.2.1.14</v>
          </cell>
          <cell r="B1302">
            <v>0</v>
          </cell>
          <cell r="C1302">
            <v>0</v>
          </cell>
        </row>
        <row r="1303">
          <cell r="A1303" t="str">
            <v>1.4.3.2.1.15</v>
          </cell>
          <cell r="B1303">
            <v>0</v>
          </cell>
          <cell r="C1303">
            <v>0</v>
          </cell>
        </row>
        <row r="1304">
          <cell r="A1304" t="str">
            <v>1.4.3.2.1.16</v>
          </cell>
          <cell r="B1304">
            <v>0</v>
          </cell>
          <cell r="C1304">
            <v>0</v>
          </cell>
        </row>
        <row r="1305">
          <cell r="A1305" t="str">
            <v>1.4.3.2.2</v>
          </cell>
          <cell r="B1305">
            <v>0</v>
          </cell>
          <cell r="C1305">
            <v>0</v>
          </cell>
        </row>
        <row r="1306">
          <cell r="A1306" t="str">
            <v>1.4.3.2.2.1</v>
          </cell>
          <cell r="B1306">
            <v>0</v>
          </cell>
          <cell r="C1306">
            <v>0</v>
          </cell>
        </row>
        <row r="1307">
          <cell r="A1307" t="str">
            <v>1.4.3.2.2.1.1</v>
          </cell>
          <cell r="B1307">
            <v>0</v>
          </cell>
          <cell r="C1307">
            <v>0</v>
          </cell>
        </row>
        <row r="1308">
          <cell r="A1308" t="str">
            <v>1.4.3.2.2.1.2</v>
          </cell>
          <cell r="B1308">
            <v>0</v>
          </cell>
          <cell r="C1308">
            <v>0</v>
          </cell>
        </row>
        <row r="1309">
          <cell r="A1309" t="str">
            <v>1.4.3.2.2.1.3</v>
          </cell>
          <cell r="B1309">
            <v>0</v>
          </cell>
          <cell r="C1309">
            <v>0</v>
          </cell>
        </row>
        <row r="1310">
          <cell r="A1310" t="str">
            <v>1.4.3.2.2.1.4</v>
          </cell>
          <cell r="B1310">
            <v>0</v>
          </cell>
          <cell r="C1310">
            <v>0</v>
          </cell>
        </row>
        <row r="1311">
          <cell r="A1311" t="str">
            <v>1.4.3.2.2.1.5</v>
          </cell>
          <cell r="B1311">
            <v>0</v>
          </cell>
          <cell r="C1311">
            <v>0</v>
          </cell>
        </row>
        <row r="1312">
          <cell r="A1312" t="str">
            <v>1.4.3.2.2.1.6</v>
          </cell>
          <cell r="B1312">
            <v>0</v>
          </cell>
          <cell r="C1312">
            <v>0</v>
          </cell>
        </row>
        <row r="1313">
          <cell r="A1313" t="str">
            <v>1.4.3.2.2.1.7</v>
          </cell>
          <cell r="B1313">
            <v>0</v>
          </cell>
          <cell r="C1313">
            <v>0</v>
          </cell>
        </row>
        <row r="1314">
          <cell r="A1314" t="str">
            <v>1.4.3.2.2.1.8</v>
          </cell>
          <cell r="B1314">
            <v>0</v>
          </cell>
          <cell r="C1314">
            <v>0</v>
          </cell>
        </row>
        <row r="1315">
          <cell r="A1315" t="str">
            <v>1.4.3.2.2.1.9</v>
          </cell>
          <cell r="B1315">
            <v>0</v>
          </cell>
          <cell r="C1315">
            <v>0</v>
          </cell>
        </row>
        <row r="1316">
          <cell r="A1316" t="str">
            <v>1.4.3.2.2.1.10</v>
          </cell>
          <cell r="B1316">
            <v>0</v>
          </cell>
          <cell r="C1316">
            <v>0</v>
          </cell>
        </row>
        <row r="1317">
          <cell r="A1317" t="str">
            <v>1.4.3.2.2.1.11</v>
          </cell>
          <cell r="B1317">
            <v>0</v>
          </cell>
          <cell r="C1317">
            <v>0</v>
          </cell>
        </row>
        <row r="1318">
          <cell r="A1318" t="str">
            <v>1.4.3.2.2.1.12</v>
          </cell>
          <cell r="B1318">
            <v>0</v>
          </cell>
          <cell r="C1318">
            <v>0</v>
          </cell>
        </row>
        <row r="1319">
          <cell r="A1319" t="str">
            <v>1.4.3.2.2.1.13</v>
          </cell>
          <cell r="B1319">
            <v>0</v>
          </cell>
          <cell r="C1319">
            <v>0</v>
          </cell>
        </row>
        <row r="1320">
          <cell r="A1320" t="str">
            <v>1.4.3.2.2.2</v>
          </cell>
          <cell r="B1320">
            <v>0</v>
          </cell>
          <cell r="C1320">
            <v>0</v>
          </cell>
        </row>
        <row r="1321">
          <cell r="A1321" t="str">
            <v>1.4.3.2.2.3</v>
          </cell>
          <cell r="B1321">
            <v>0</v>
          </cell>
          <cell r="C1321">
            <v>0</v>
          </cell>
        </row>
        <row r="1322">
          <cell r="A1322" t="str">
            <v>1.4.3.2.2.4</v>
          </cell>
          <cell r="B1322">
            <v>0</v>
          </cell>
          <cell r="C1322">
            <v>0</v>
          </cell>
        </row>
        <row r="1323">
          <cell r="A1323" t="str">
            <v>1.4.3.2.2.5</v>
          </cell>
          <cell r="B1323">
            <v>0</v>
          </cell>
          <cell r="C1323">
            <v>0</v>
          </cell>
        </row>
        <row r="1324">
          <cell r="A1324" t="str">
            <v>1.4.3.2.2.6</v>
          </cell>
          <cell r="B1324">
            <v>0</v>
          </cell>
          <cell r="C1324">
            <v>0</v>
          </cell>
        </row>
        <row r="1325">
          <cell r="A1325" t="str">
            <v>1.4.3.2.2.7</v>
          </cell>
          <cell r="B1325">
            <v>0</v>
          </cell>
          <cell r="C1325">
            <v>0</v>
          </cell>
        </row>
        <row r="1326">
          <cell r="A1326" t="str">
            <v>1.4.3.2.2.8</v>
          </cell>
          <cell r="B1326">
            <v>0</v>
          </cell>
          <cell r="C1326">
            <v>0</v>
          </cell>
        </row>
        <row r="1327">
          <cell r="A1327" t="str">
            <v>1.4.3.2.2.9</v>
          </cell>
          <cell r="B1327">
            <v>0</v>
          </cell>
          <cell r="C1327">
            <v>0</v>
          </cell>
        </row>
        <row r="1328">
          <cell r="A1328" t="str">
            <v>1.4.3.2.2.10</v>
          </cell>
          <cell r="B1328">
            <v>0</v>
          </cell>
          <cell r="C1328">
            <v>0</v>
          </cell>
        </row>
        <row r="1329">
          <cell r="A1329" t="str">
            <v>1.4.3.2.2.11</v>
          </cell>
          <cell r="B1329">
            <v>0</v>
          </cell>
          <cell r="C1329">
            <v>0</v>
          </cell>
        </row>
        <row r="1330">
          <cell r="A1330" t="str">
            <v>1.4.3.2.2.12</v>
          </cell>
          <cell r="B1330">
            <v>0</v>
          </cell>
          <cell r="C1330">
            <v>0</v>
          </cell>
        </row>
        <row r="1331">
          <cell r="A1331" t="str">
            <v>1.4.3.2.2.13</v>
          </cell>
          <cell r="B1331">
            <v>0</v>
          </cell>
          <cell r="C1331">
            <v>0</v>
          </cell>
        </row>
        <row r="1332">
          <cell r="A1332" t="str">
            <v>1.4.3.2.2.14</v>
          </cell>
          <cell r="B1332">
            <v>0</v>
          </cell>
          <cell r="C1332">
            <v>0</v>
          </cell>
        </row>
        <row r="1333">
          <cell r="A1333" t="str">
            <v>1.4.3.2.2.15</v>
          </cell>
          <cell r="B1333">
            <v>0</v>
          </cell>
          <cell r="C1333">
            <v>0</v>
          </cell>
        </row>
        <row r="1334">
          <cell r="A1334" t="str">
            <v>1.4.3.2.2.16</v>
          </cell>
          <cell r="B1334">
            <v>0</v>
          </cell>
          <cell r="C1334">
            <v>0</v>
          </cell>
        </row>
        <row r="1335">
          <cell r="A1335" t="str">
            <v>1.4.3.2.3</v>
          </cell>
          <cell r="B1335">
            <v>0</v>
          </cell>
          <cell r="C1335">
            <v>0</v>
          </cell>
        </row>
        <row r="1336">
          <cell r="A1336" t="str">
            <v>1.4.3.2.3.1</v>
          </cell>
          <cell r="B1336">
            <v>0</v>
          </cell>
          <cell r="C1336">
            <v>0</v>
          </cell>
        </row>
        <row r="1337">
          <cell r="A1337" t="str">
            <v>1.4.3.2.3.2</v>
          </cell>
          <cell r="B1337">
            <v>0</v>
          </cell>
          <cell r="C1337">
            <v>0</v>
          </cell>
        </row>
        <row r="1338">
          <cell r="A1338" t="str">
            <v>1.4.3.2.3.3</v>
          </cell>
          <cell r="B1338">
            <v>0</v>
          </cell>
          <cell r="C1338">
            <v>0</v>
          </cell>
        </row>
        <row r="1339">
          <cell r="A1339" t="str">
            <v>1.4.3.2.3.4</v>
          </cell>
          <cell r="B1339">
            <v>0</v>
          </cell>
          <cell r="C1339">
            <v>0</v>
          </cell>
        </row>
        <row r="1340">
          <cell r="A1340" t="str">
            <v>1.4.3.2.3.5</v>
          </cell>
          <cell r="B1340">
            <v>0</v>
          </cell>
          <cell r="C1340">
            <v>0</v>
          </cell>
        </row>
        <row r="1341">
          <cell r="A1341" t="str">
            <v>1.4.3.2.3.5.1</v>
          </cell>
          <cell r="B1341">
            <v>0</v>
          </cell>
          <cell r="C1341">
            <v>0</v>
          </cell>
        </row>
        <row r="1342">
          <cell r="A1342" t="str">
            <v>1.4.3.2.3.5.2</v>
          </cell>
          <cell r="B1342">
            <v>0</v>
          </cell>
          <cell r="C1342">
            <v>0</v>
          </cell>
        </row>
        <row r="1343">
          <cell r="A1343" t="str">
            <v>1.4.3.2.3.5.3</v>
          </cell>
          <cell r="B1343">
            <v>0</v>
          </cell>
          <cell r="C1343">
            <v>0</v>
          </cell>
        </row>
        <row r="1344">
          <cell r="A1344" t="str">
            <v>1.4.3.2.3.5.4</v>
          </cell>
          <cell r="B1344">
            <v>0</v>
          </cell>
          <cell r="C1344">
            <v>0</v>
          </cell>
        </row>
        <row r="1345">
          <cell r="A1345" t="str">
            <v>1.4.3.2.3.5.5</v>
          </cell>
          <cell r="B1345">
            <v>0</v>
          </cell>
          <cell r="C1345">
            <v>0</v>
          </cell>
        </row>
        <row r="1346">
          <cell r="A1346" t="str">
            <v>1.4.3.2.3.5.6</v>
          </cell>
          <cell r="B1346">
            <v>0</v>
          </cell>
          <cell r="C1346">
            <v>0</v>
          </cell>
        </row>
        <row r="1347">
          <cell r="A1347" t="str">
            <v>1.4.3.2.3.5.7</v>
          </cell>
          <cell r="B1347">
            <v>0</v>
          </cell>
          <cell r="C1347">
            <v>0</v>
          </cell>
        </row>
        <row r="1348">
          <cell r="A1348" t="str">
            <v>1.4.3.2.3.5.8</v>
          </cell>
          <cell r="B1348">
            <v>0</v>
          </cell>
          <cell r="C1348">
            <v>0</v>
          </cell>
        </row>
        <row r="1349">
          <cell r="A1349" t="str">
            <v>1.4.3.2.3.5.9</v>
          </cell>
          <cell r="B1349">
            <v>0</v>
          </cell>
          <cell r="C1349">
            <v>0</v>
          </cell>
        </row>
        <row r="1350">
          <cell r="A1350" t="str">
            <v>1.4.3.2.3.5.10</v>
          </cell>
          <cell r="B1350">
            <v>0</v>
          </cell>
          <cell r="C1350">
            <v>0</v>
          </cell>
        </row>
        <row r="1351">
          <cell r="A1351" t="str">
            <v>1.4.3.2.3.5.11</v>
          </cell>
          <cell r="B1351">
            <v>0</v>
          </cell>
          <cell r="C1351">
            <v>0</v>
          </cell>
        </row>
        <row r="1352">
          <cell r="A1352" t="str">
            <v>1.4.3.2.3.5.12</v>
          </cell>
          <cell r="B1352">
            <v>0</v>
          </cell>
          <cell r="C1352">
            <v>0</v>
          </cell>
        </row>
        <row r="1353">
          <cell r="A1353" t="str">
            <v>1.4.3.2.3.5.13</v>
          </cell>
          <cell r="B1353">
            <v>0</v>
          </cell>
          <cell r="C1353">
            <v>0</v>
          </cell>
        </row>
        <row r="1354">
          <cell r="A1354" t="str">
            <v>1.4.3.2.3.6</v>
          </cell>
          <cell r="B1354">
            <v>0</v>
          </cell>
          <cell r="C1354">
            <v>0</v>
          </cell>
        </row>
        <row r="1355">
          <cell r="A1355" t="str">
            <v>1.4.3.2.3.7</v>
          </cell>
          <cell r="B1355">
            <v>0</v>
          </cell>
          <cell r="C1355">
            <v>0</v>
          </cell>
        </row>
        <row r="1356">
          <cell r="A1356" t="str">
            <v>1.4.3.2.3.8</v>
          </cell>
          <cell r="B1356">
            <v>0</v>
          </cell>
          <cell r="C1356">
            <v>0</v>
          </cell>
        </row>
        <row r="1357">
          <cell r="A1357" t="str">
            <v>1.4.3.2.3.9</v>
          </cell>
          <cell r="B1357">
            <v>0</v>
          </cell>
          <cell r="C1357">
            <v>0</v>
          </cell>
        </row>
        <row r="1358">
          <cell r="A1358" t="str">
            <v>1.4.3.2.3.10</v>
          </cell>
          <cell r="B1358">
            <v>0</v>
          </cell>
          <cell r="C1358">
            <v>0</v>
          </cell>
        </row>
        <row r="1359">
          <cell r="A1359" t="str">
            <v>1.4.3.2.3.11</v>
          </cell>
          <cell r="B1359">
            <v>0</v>
          </cell>
          <cell r="C1359">
            <v>0</v>
          </cell>
        </row>
        <row r="1360">
          <cell r="A1360" t="str">
            <v>1.4.3.2.3.12</v>
          </cell>
          <cell r="B1360">
            <v>0</v>
          </cell>
          <cell r="C1360">
            <v>0</v>
          </cell>
        </row>
        <row r="1361">
          <cell r="A1361" t="str">
            <v>1.4.3.2.3.13</v>
          </cell>
          <cell r="B1361">
            <v>0</v>
          </cell>
          <cell r="C1361">
            <v>0</v>
          </cell>
        </row>
        <row r="1362">
          <cell r="A1362" t="str">
            <v>1.4.3.2.3.14</v>
          </cell>
          <cell r="B1362">
            <v>0</v>
          </cell>
          <cell r="C1362">
            <v>0</v>
          </cell>
        </row>
        <row r="1363">
          <cell r="A1363" t="str">
            <v>1.4.3.2.3.15</v>
          </cell>
          <cell r="B1363">
            <v>0</v>
          </cell>
          <cell r="C1363">
            <v>0</v>
          </cell>
        </row>
        <row r="1364">
          <cell r="A1364" t="str">
            <v>1.4.3.2.3.16</v>
          </cell>
          <cell r="B1364">
            <v>0</v>
          </cell>
          <cell r="C1364">
            <v>0</v>
          </cell>
        </row>
        <row r="1365">
          <cell r="A1365" t="str">
            <v>1.4.3.2.3.17</v>
          </cell>
          <cell r="B1365">
            <v>0</v>
          </cell>
          <cell r="C1365">
            <v>0</v>
          </cell>
        </row>
        <row r="1366">
          <cell r="A1366" t="str">
            <v>1.4.3.2.3.18</v>
          </cell>
          <cell r="B1366">
            <v>0</v>
          </cell>
          <cell r="C1366">
            <v>0</v>
          </cell>
        </row>
        <row r="1367">
          <cell r="A1367" t="str">
            <v>1.4.3.2.4</v>
          </cell>
          <cell r="B1367">
            <v>0</v>
          </cell>
          <cell r="C1367">
            <v>0</v>
          </cell>
        </row>
        <row r="1368">
          <cell r="A1368" t="str">
            <v>1.4.3.2.4.1</v>
          </cell>
          <cell r="B1368">
            <v>0</v>
          </cell>
          <cell r="C1368">
            <v>0</v>
          </cell>
        </row>
        <row r="1369">
          <cell r="A1369" t="str">
            <v>1.4.3.2.4.2</v>
          </cell>
          <cell r="B1369">
            <v>0</v>
          </cell>
          <cell r="C1369">
            <v>0</v>
          </cell>
        </row>
        <row r="1370">
          <cell r="A1370" t="str">
            <v>1.4.3.2.4.3</v>
          </cell>
          <cell r="B1370">
            <v>0</v>
          </cell>
          <cell r="C1370">
            <v>0</v>
          </cell>
        </row>
        <row r="1371">
          <cell r="A1371" t="str">
            <v>1.4.3.2.4.4</v>
          </cell>
          <cell r="B1371">
            <v>0</v>
          </cell>
          <cell r="C1371">
            <v>0</v>
          </cell>
        </row>
        <row r="1372">
          <cell r="A1372" t="str">
            <v>1.4.3.2.4.4.1</v>
          </cell>
          <cell r="B1372">
            <v>0</v>
          </cell>
          <cell r="C1372">
            <v>0</v>
          </cell>
        </row>
        <row r="1373">
          <cell r="A1373" t="str">
            <v>1.4.3.2.4.4.2</v>
          </cell>
          <cell r="B1373">
            <v>0</v>
          </cell>
          <cell r="C1373">
            <v>0</v>
          </cell>
        </row>
        <row r="1374">
          <cell r="A1374" t="str">
            <v>1.4.3.2.4.4.3</v>
          </cell>
          <cell r="B1374">
            <v>0</v>
          </cell>
          <cell r="C1374">
            <v>0</v>
          </cell>
        </row>
        <row r="1375">
          <cell r="A1375" t="str">
            <v>1.4.3.2.4.4.4</v>
          </cell>
          <cell r="B1375">
            <v>0</v>
          </cell>
          <cell r="C1375">
            <v>0</v>
          </cell>
        </row>
        <row r="1376">
          <cell r="A1376" t="str">
            <v>1.4.3.2.4.4.5</v>
          </cell>
          <cell r="B1376">
            <v>0</v>
          </cell>
          <cell r="C1376">
            <v>0</v>
          </cell>
        </row>
        <row r="1377">
          <cell r="A1377" t="str">
            <v>1.4.3.2.4.4.6</v>
          </cell>
          <cell r="B1377">
            <v>0</v>
          </cell>
          <cell r="C1377">
            <v>0</v>
          </cell>
        </row>
        <row r="1378">
          <cell r="A1378" t="str">
            <v>1.4.3.2.4.4.7</v>
          </cell>
          <cell r="B1378">
            <v>0</v>
          </cell>
          <cell r="C1378">
            <v>0</v>
          </cell>
        </row>
        <row r="1379">
          <cell r="A1379" t="str">
            <v>1.4.3.2.4.4.8</v>
          </cell>
          <cell r="B1379">
            <v>0</v>
          </cell>
          <cell r="C1379">
            <v>0</v>
          </cell>
        </row>
        <row r="1380">
          <cell r="A1380" t="str">
            <v>1.4.3.2.4.4.9</v>
          </cell>
          <cell r="B1380">
            <v>0</v>
          </cell>
          <cell r="C1380">
            <v>0</v>
          </cell>
        </row>
        <row r="1381">
          <cell r="A1381" t="str">
            <v>1.4.3.2.4.4.10</v>
          </cell>
          <cell r="B1381">
            <v>0</v>
          </cell>
          <cell r="C1381">
            <v>0</v>
          </cell>
        </row>
        <row r="1382">
          <cell r="A1382" t="str">
            <v>1.4.3.2.4.4.11</v>
          </cell>
          <cell r="B1382">
            <v>0</v>
          </cell>
          <cell r="C1382">
            <v>0</v>
          </cell>
        </row>
        <row r="1383">
          <cell r="A1383" t="str">
            <v>1.4.3.2.4.4.12</v>
          </cell>
          <cell r="B1383">
            <v>0</v>
          </cell>
          <cell r="C1383">
            <v>0</v>
          </cell>
        </row>
        <row r="1384">
          <cell r="A1384" t="str">
            <v>1.4.3.2.4.4.13</v>
          </cell>
          <cell r="B1384">
            <v>0</v>
          </cell>
          <cell r="C1384">
            <v>0</v>
          </cell>
        </row>
        <row r="1385">
          <cell r="A1385" t="str">
            <v>1.4.3.2.4.5</v>
          </cell>
          <cell r="B1385">
            <v>0</v>
          </cell>
          <cell r="C1385">
            <v>0</v>
          </cell>
        </row>
        <row r="1386">
          <cell r="A1386" t="str">
            <v>1.4.3.2.4.6</v>
          </cell>
          <cell r="B1386">
            <v>0</v>
          </cell>
          <cell r="C1386">
            <v>0</v>
          </cell>
        </row>
        <row r="1387">
          <cell r="A1387" t="str">
            <v>1.4.3.2.4.7</v>
          </cell>
          <cell r="B1387">
            <v>0</v>
          </cell>
          <cell r="C1387">
            <v>0</v>
          </cell>
        </row>
        <row r="1388">
          <cell r="A1388" t="str">
            <v>1.4.3.2.4.8</v>
          </cell>
          <cell r="B1388">
            <v>0</v>
          </cell>
          <cell r="C1388">
            <v>0</v>
          </cell>
        </row>
        <row r="1389">
          <cell r="A1389" t="str">
            <v>1.4.3.2.4.9</v>
          </cell>
          <cell r="B1389">
            <v>0</v>
          </cell>
          <cell r="C1389">
            <v>0</v>
          </cell>
        </row>
        <row r="1390">
          <cell r="A1390" t="str">
            <v>1.4.3.2.4.10</v>
          </cell>
          <cell r="B1390">
            <v>0</v>
          </cell>
          <cell r="C1390">
            <v>0</v>
          </cell>
        </row>
        <row r="1391">
          <cell r="A1391" t="str">
            <v>1.4.3.2.4.11</v>
          </cell>
          <cell r="B1391">
            <v>0</v>
          </cell>
          <cell r="C1391">
            <v>0</v>
          </cell>
        </row>
        <row r="1392">
          <cell r="A1392" t="str">
            <v>1.4.3.2.4.12</v>
          </cell>
          <cell r="B1392">
            <v>0</v>
          </cell>
          <cell r="C1392">
            <v>0</v>
          </cell>
        </row>
        <row r="1393">
          <cell r="A1393" t="str">
            <v>1.4.3.2.4.13</v>
          </cell>
          <cell r="B1393">
            <v>0</v>
          </cell>
          <cell r="C1393">
            <v>0</v>
          </cell>
        </row>
        <row r="1394">
          <cell r="A1394" t="str">
            <v>1.4.3.2.4.14</v>
          </cell>
          <cell r="B1394">
            <v>0</v>
          </cell>
          <cell r="C1394">
            <v>0</v>
          </cell>
        </row>
        <row r="1395">
          <cell r="A1395" t="str">
            <v>1.4.3.2.5</v>
          </cell>
          <cell r="B1395">
            <v>0</v>
          </cell>
          <cell r="C1395">
            <v>0</v>
          </cell>
        </row>
        <row r="1396">
          <cell r="A1396" t="str">
            <v>1.4.3.2.5.1</v>
          </cell>
          <cell r="B1396">
            <v>0</v>
          </cell>
          <cell r="C1396">
            <v>0</v>
          </cell>
        </row>
        <row r="1397">
          <cell r="A1397" t="str">
            <v>1.4.3.2.5.1.1</v>
          </cell>
          <cell r="B1397">
            <v>0</v>
          </cell>
          <cell r="C1397">
            <v>0</v>
          </cell>
        </row>
        <row r="1398">
          <cell r="A1398" t="str">
            <v>1.4.3.2.5.1.2</v>
          </cell>
          <cell r="B1398">
            <v>0</v>
          </cell>
          <cell r="C1398">
            <v>0</v>
          </cell>
        </row>
        <row r="1399">
          <cell r="A1399" t="str">
            <v>1.4.3.2.5.1.3</v>
          </cell>
          <cell r="B1399">
            <v>0</v>
          </cell>
          <cell r="C1399">
            <v>0</v>
          </cell>
        </row>
        <row r="1400">
          <cell r="A1400" t="str">
            <v>1.4.3.2.5.1.4</v>
          </cell>
          <cell r="B1400">
            <v>0</v>
          </cell>
          <cell r="C1400">
            <v>0</v>
          </cell>
        </row>
        <row r="1401">
          <cell r="A1401" t="str">
            <v>1.4.3.2.5.1.5</v>
          </cell>
          <cell r="B1401">
            <v>0</v>
          </cell>
          <cell r="C1401">
            <v>0</v>
          </cell>
        </row>
        <row r="1402">
          <cell r="A1402" t="str">
            <v>1.4.3.2.5.1.6</v>
          </cell>
          <cell r="B1402">
            <v>0</v>
          </cell>
          <cell r="C1402">
            <v>0</v>
          </cell>
        </row>
        <row r="1403">
          <cell r="A1403" t="str">
            <v>1.4.3.2.5.1.7</v>
          </cell>
          <cell r="B1403">
            <v>0</v>
          </cell>
          <cell r="C1403">
            <v>0</v>
          </cell>
        </row>
        <row r="1404">
          <cell r="A1404" t="str">
            <v>1.4.3.2.5.1.8</v>
          </cell>
          <cell r="B1404">
            <v>0</v>
          </cell>
          <cell r="C1404">
            <v>0</v>
          </cell>
        </row>
        <row r="1405">
          <cell r="A1405" t="str">
            <v>1.4.3.2.5.1.9</v>
          </cell>
          <cell r="B1405">
            <v>0</v>
          </cell>
          <cell r="C1405">
            <v>0</v>
          </cell>
        </row>
        <row r="1406">
          <cell r="A1406" t="str">
            <v>1.4.3.2.5.1.10</v>
          </cell>
          <cell r="B1406">
            <v>0</v>
          </cell>
          <cell r="C1406">
            <v>0</v>
          </cell>
        </row>
        <row r="1407">
          <cell r="A1407" t="str">
            <v>1.4.3.2.5.1.11</v>
          </cell>
          <cell r="B1407">
            <v>0</v>
          </cell>
          <cell r="C1407">
            <v>0</v>
          </cell>
        </row>
        <row r="1408">
          <cell r="A1408" t="str">
            <v>1.4.3.2.5.1.12</v>
          </cell>
          <cell r="B1408">
            <v>0</v>
          </cell>
          <cell r="C1408">
            <v>0</v>
          </cell>
        </row>
        <row r="1409">
          <cell r="A1409" t="str">
            <v>1.4.3.2.5.1.13</v>
          </cell>
          <cell r="B1409">
            <v>0</v>
          </cell>
          <cell r="C1409">
            <v>0</v>
          </cell>
        </row>
        <row r="1410">
          <cell r="A1410" t="str">
            <v>1.4.3.2.5.2</v>
          </cell>
          <cell r="B1410">
            <v>0</v>
          </cell>
          <cell r="C1410">
            <v>0</v>
          </cell>
        </row>
        <row r="1411">
          <cell r="A1411" t="str">
            <v>1.4.3.2.5.2.1</v>
          </cell>
          <cell r="B1411">
            <v>0</v>
          </cell>
          <cell r="C1411">
            <v>0</v>
          </cell>
        </row>
        <row r="1412">
          <cell r="A1412" t="str">
            <v>1.4.3.2.5.2.2</v>
          </cell>
          <cell r="B1412">
            <v>0</v>
          </cell>
          <cell r="C1412">
            <v>0</v>
          </cell>
        </row>
        <row r="1413">
          <cell r="A1413" t="str">
            <v>1.4.3.2.5.2.3</v>
          </cell>
          <cell r="B1413">
            <v>0</v>
          </cell>
          <cell r="C1413">
            <v>0</v>
          </cell>
        </row>
        <row r="1414">
          <cell r="A1414" t="str">
            <v>1.4.3.2.5.2.4</v>
          </cell>
          <cell r="B1414">
            <v>0</v>
          </cell>
          <cell r="C1414">
            <v>0</v>
          </cell>
        </row>
        <row r="1415">
          <cell r="A1415" t="str">
            <v>1.4.3.2.5.2.5</v>
          </cell>
          <cell r="B1415">
            <v>0</v>
          </cell>
          <cell r="C1415">
            <v>0</v>
          </cell>
        </row>
        <row r="1416">
          <cell r="A1416" t="str">
            <v>1.4.3.2.5.2.6</v>
          </cell>
          <cell r="B1416">
            <v>0</v>
          </cell>
          <cell r="C1416">
            <v>0</v>
          </cell>
        </row>
        <row r="1417">
          <cell r="A1417" t="str">
            <v>1.4.3.2.5.2.7</v>
          </cell>
          <cell r="B1417">
            <v>0</v>
          </cell>
          <cell r="C1417">
            <v>0</v>
          </cell>
        </row>
        <row r="1418">
          <cell r="A1418" t="str">
            <v>1.4.3.2.5.2.8</v>
          </cell>
          <cell r="B1418">
            <v>0</v>
          </cell>
          <cell r="C1418">
            <v>0</v>
          </cell>
        </row>
        <row r="1419">
          <cell r="A1419" t="str">
            <v>1.4.3.2.5.2.9</v>
          </cell>
          <cell r="B1419">
            <v>0</v>
          </cell>
          <cell r="C1419">
            <v>0</v>
          </cell>
        </row>
        <row r="1420">
          <cell r="A1420" t="str">
            <v>1.4.3.2.5.2.10</v>
          </cell>
          <cell r="B1420">
            <v>0</v>
          </cell>
          <cell r="C1420">
            <v>0</v>
          </cell>
        </row>
        <row r="1421">
          <cell r="A1421" t="str">
            <v>1.4.3.2.5.2.11</v>
          </cell>
          <cell r="B1421">
            <v>0</v>
          </cell>
          <cell r="C1421">
            <v>0</v>
          </cell>
        </row>
        <row r="1422">
          <cell r="A1422" t="str">
            <v>1.4.3.2.5.2.12</v>
          </cell>
          <cell r="B1422">
            <v>0</v>
          </cell>
          <cell r="C1422">
            <v>0</v>
          </cell>
        </row>
        <row r="1423">
          <cell r="A1423" t="str">
            <v>1.4.3.2.5.2.13</v>
          </cell>
          <cell r="B1423">
            <v>0</v>
          </cell>
          <cell r="C1423">
            <v>0</v>
          </cell>
        </row>
        <row r="1424">
          <cell r="A1424" t="str">
            <v>1.4.3.2.5.3</v>
          </cell>
          <cell r="B1424">
            <v>0</v>
          </cell>
          <cell r="C1424">
            <v>0</v>
          </cell>
        </row>
        <row r="1425">
          <cell r="A1425" t="str">
            <v>1.4.3.2.5.4</v>
          </cell>
          <cell r="B1425">
            <v>0</v>
          </cell>
          <cell r="C1425">
            <v>0</v>
          </cell>
        </row>
        <row r="1426">
          <cell r="A1426" t="str">
            <v>1.4.3.2.5.5</v>
          </cell>
          <cell r="B1426">
            <v>0</v>
          </cell>
          <cell r="C1426">
            <v>0</v>
          </cell>
        </row>
        <row r="1427">
          <cell r="A1427" t="str">
            <v>1.4.3.2.5.6</v>
          </cell>
          <cell r="B1427">
            <v>0</v>
          </cell>
          <cell r="C1427">
            <v>0</v>
          </cell>
        </row>
        <row r="1428">
          <cell r="A1428" t="str">
            <v>1.4.3.2.5.7</v>
          </cell>
          <cell r="B1428">
            <v>0</v>
          </cell>
          <cell r="C1428">
            <v>0</v>
          </cell>
        </row>
        <row r="1429">
          <cell r="A1429" t="str">
            <v>1.4.3.2.5.8</v>
          </cell>
          <cell r="B1429">
            <v>0</v>
          </cell>
          <cell r="C1429">
            <v>0</v>
          </cell>
        </row>
        <row r="1430">
          <cell r="A1430" t="str">
            <v>1.4.3.2.5.9</v>
          </cell>
          <cell r="B1430">
            <v>0</v>
          </cell>
          <cell r="C1430">
            <v>0</v>
          </cell>
        </row>
        <row r="1431">
          <cell r="A1431" t="str">
            <v>1.4.3.2.5.10</v>
          </cell>
          <cell r="B1431">
            <v>0</v>
          </cell>
          <cell r="C1431">
            <v>0</v>
          </cell>
        </row>
        <row r="1432">
          <cell r="A1432" t="str">
            <v>1.4.3.2.5.11</v>
          </cell>
          <cell r="B1432">
            <v>0</v>
          </cell>
          <cell r="C1432">
            <v>0</v>
          </cell>
        </row>
        <row r="1433">
          <cell r="A1433" t="str">
            <v>1.4.3.2.5.12</v>
          </cell>
          <cell r="B1433">
            <v>0</v>
          </cell>
          <cell r="C1433">
            <v>0</v>
          </cell>
        </row>
        <row r="1434">
          <cell r="A1434" t="str">
            <v>1.4.3.2.5.13</v>
          </cell>
          <cell r="B1434">
            <v>0</v>
          </cell>
          <cell r="C1434">
            <v>0</v>
          </cell>
        </row>
        <row r="1435">
          <cell r="A1435" t="str">
            <v>1.4.3.2.5.14</v>
          </cell>
          <cell r="B1435">
            <v>0</v>
          </cell>
          <cell r="C1435">
            <v>0</v>
          </cell>
        </row>
        <row r="1436">
          <cell r="A1436" t="str">
            <v>1.4.3.2.5.15</v>
          </cell>
          <cell r="B1436">
            <v>0</v>
          </cell>
          <cell r="C1436">
            <v>0</v>
          </cell>
        </row>
        <row r="1437">
          <cell r="A1437" t="str">
            <v>1.4.3.2.5.16</v>
          </cell>
          <cell r="B1437">
            <v>0</v>
          </cell>
          <cell r="C1437">
            <v>0</v>
          </cell>
        </row>
        <row r="1438">
          <cell r="A1438" t="str">
            <v>1.4.3.2.6</v>
          </cell>
          <cell r="B1438">
            <v>0</v>
          </cell>
          <cell r="C1438">
            <v>0</v>
          </cell>
        </row>
        <row r="1439">
          <cell r="A1439" t="str">
            <v>1.4.3.2.6.1</v>
          </cell>
          <cell r="B1439">
            <v>0</v>
          </cell>
          <cell r="C1439">
            <v>0</v>
          </cell>
        </row>
        <row r="1440">
          <cell r="A1440" t="str">
            <v>1.4.3.2.6.2</v>
          </cell>
          <cell r="B1440">
            <v>0</v>
          </cell>
          <cell r="C1440">
            <v>0</v>
          </cell>
        </row>
        <row r="1441">
          <cell r="A1441" t="str">
            <v>1.4.3.2.6.3</v>
          </cell>
          <cell r="B1441">
            <v>0</v>
          </cell>
          <cell r="C1441">
            <v>0</v>
          </cell>
        </row>
        <row r="1442">
          <cell r="A1442" t="str">
            <v>1.4.3.2.6.4</v>
          </cell>
          <cell r="B1442">
            <v>0</v>
          </cell>
          <cell r="C1442">
            <v>0</v>
          </cell>
        </row>
        <row r="1443">
          <cell r="A1443" t="str">
            <v>1.4.3.2.6.5</v>
          </cell>
          <cell r="B1443">
            <v>0</v>
          </cell>
          <cell r="C1443">
            <v>0</v>
          </cell>
        </row>
        <row r="1444">
          <cell r="A1444" t="str">
            <v>1.4.3.2.6.6</v>
          </cell>
          <cell r="B1444">
            <v>0</v>
          </cell>
          <cell r="C1444">
            <v>0</v>
          </cell>
        </row>
        <row r="1445">
          <cell r="A1445" t="str">
            <v>1.4.3.2.6.7</v>
          </cell>
          <cell r="B1445">
            <v>0</v>
          </cell>
          <cell r="C1445">
            <v>0</v>
          </cell>
        </row>
        <row r="1446">
          <cell r="A1446" t="str">
            <v>1.4.3.2.6.8</v>
          </cell>
          <cell r="B1446">
            <v>0</v>
          </cell>
          <cell r="C1446">
            <v>0</v>
          </cell>
        </row>
        <row r="1447">
          <cell r="A1447" t="str">
            <v>1.4.3.2.6.9</v>
          </cell>
          <cell r="B1447">
            <v>0</v>
          </cell>
          <cell r="C1447">
            <v>0</v>
          </cell>
        </row>
        <row r="1448">
          <cell r="A1448" t="str">
            <v>1.4.3.2.6.10</v>
          </cell>
          <cell r="B1448">
            <v>0</v>
          </cell>
          <cell r="C1448">
            <v>0</v>
          </cell>
        </row>
        <row r="1449">
          <cell r="A1449" t="str">
            <v>1.4.3.2.6.11</v>
          </cell>
          <cell r="B1449">
            <v>0</v>
          </cell>
          <cell r="C1449">
            <v>0</v>
          </cell>
        </row>
        <row r="1450">
          <cell r="A1450" t="str">
            <v>1.4.3.2.6.12</v>
          </cell>
          <cell r="B1450">
            <v>0</v>
          </cell>
          <cell r="C1450">
            <v>0</v>
          </cell>
        </row>
        <row r="1451">
          <cell r="A1451" t="str">
            <v>1.4.3.2.6.13</v>
          </cell>
          <cell r="B1451">
            <v>0</v>
          </cell>
          <cell r="C1451">
            <v>0</v>
          </cell>
        </row>
        <row r="1452">
          <cell r="A1452" t="str">
            <v>1.4.3.2.6.14</v>
          </cell>
          <cell r="B1452">
            <v>0</v>
          </cell>
          <cell r="C1452">
            <v>0</v>
          </cell>
        </row>
        <row r="1453">
          <cell r="A1453" t="str">
            <v>1.4.3.2.6.15</v>
          </cell>
          <cell r="B1453">
            <v>0</v>
          </cell>
          <cell r="C1453">
            <v>0</v>
          </cell>
        </row>
        <row r="1454">
          <cell r="A1454" t="str">
            <v>1.4.3.2.6.16</v>
          </cell>
          <cell r="B1454">
            <v>0</v>
          </cell>
          <cell r="C1454">
            <v>0</v>
          </cell>
        </row>
        <row r="1455">
          <cell r="A1455" t="str">
            <v>1.4.3.2.7</v>
          </cell>
          <cell r="B1455">
            <v>0</v>
          </cell>
          <cell r="C1455">
            <v>0</v>
          </cell>
        </row>
        <row r="1456">
          <cell r="A1456" t="str">
            <v>1.4.3.2.7.1</v>
          </cell>
          <cell r="B1456">
            <v>0</v>
          </cell>
          <cell r="C1456">
            <v>0</v>
          </cell>
        </row>
        <row r="1457">
          <cell r="A1457" t="str">
            <v>1.4.3.2.7.2</v>
          </cell>
          <cell r="B1457">
            <v>0</v>
          </cell>
          <cell r="C1457">
            <v>0</v>
          </cell>
        </row>
        <row r="1458">
          <cell r="A1458" t="str">
            <v>1.4.3.2.7.3</v>
          </cell>
          <cell r="B1458">
            <v>0</v>
          </cell>
          <cell r="C1458">
            <v>0</v>
          </cell>
        </row>
        <row r="1459">
          <cell r="A1459" t="str">
            <v>1.4.3.2.7.4</v>
          </cell>
          <cell r="B1459">
            <v>0</v>
          </cell>
          <cell r="C1459">
            <v>0</v>
          </cell>
        </row>
        <row r="1460">
          <cell r="A1460" t="str">
            <v>1.4.3.2.7.5</v>
          </cell>
          <cell r="B1460">
            <v>0</v>
          </cell>
          <cell r="C1460">
            <v>0</v>
          </cell>
        </row>
        <row r="1461">
          <cell r="A1461" t="str">
            <v>1.4.3.2.7.6</v>
          </cell>
          <cell r="B1461">
            <v>0</v>
          </cell>
          <cell r="C1461">
            <v>0</v>
          </cell>
        </row>
        <row r="1462">
          <cell r="A1462" t="str">
            <v>1.4.3.2.7.7</v>
          </cell>
          <cell r="B1462">
            <v>0</v>
          </cell>
          <cell r="C1462">
            <v>0</v>
          </cell>
        </row>
        <row r="1463">
          <cell r="A1463" t="str">
            <v>1.4.3.2.7.8</v>
          </cell>
          <cell r="B1463">
            <v>0</v>
          </cell>
          <cell r="C1463">
            <v>0</v>
          </cell>
        </row>
        <row r="1464">
          <cell r="A1464" t="str">
            <v>1.4.3.2.7.9</v>
          </cell>
          <cell r="B1464">
            <v>0</v>
          </cell>
          <cell r="C1464">
            <v>0</v>
          </cell>
        </row>
        <row r="1465">
          <cell r="A1465" t="str">
            <v>1.4.3.2.7.10</v>
          </cell>
          <cell r="B1465">
            <v>0</v>
          </cell>
          <cell r="C1465">
            <v>0</v>
          </cell>
        </row>
        <row r="1466">
          <cell r="A1466" t="str">
            <v>1.4.3.2.7.11</v>
          </cell>
          <cell r="B1466">
            <v>0</v>
          </cell>
          <cell r="C1466">
            <v>0</v>
          </cell>
        </row>
        <row r="1467">
          <cell r="A1467" t="str">
            <v>1.4.3.2.7.12</v>
          </cell>
          <cell r="B1467">
            <v>0</v>
          </cell>
          <cell r="C1467">
            <v>0</v>
          </cell>
        </row>
        <row r="1468">
          <cell r="A1468" t="str">
            <v>1.4.4</v>
          </cell>
          <cell r="B1468">
            <v>65000</v>
          </cell>
          <cell r="C1468">
            <v>0</v>
          </cell>
        </row>
        <row r="1469">
          <cell r="A1469" t="str">
            <v>1.4.4.1</v>
          </cell>
          <cell r="B1469">
            <v>0</v>
          </cell>
          <cell r="C1469">
            <v>0</v>
          </cell>
        </row>
        <row r="1470">
          <cell r="A1470" t="str">
            <v>1.4.4.1.1</v>
          </cell>
          <cell r="B1470">
            <v>0</v>
          </cell>
          <cell r="C1470">
            <v>0</v>
          </cell>
        </row>
        <row r="1471">
          <cell r="A1471" t="str">
            <v>1.4.4.1.2</v>
          </cell>
          <cell r="B1471">
            <v>0</v>
          </cell>
          <cell r="C1471">
            <v>0</v>
          </cell>
        </row>
        <row r="1472">
          <cell r="A1472" t="str">
            <v>1.4.4.1.3</v>
          </cell>
          <cell r="B1472">
            <v>0</v>
          </cell>
          <cell r="C1472">
            <v>0</v>
          </cell>
        </row>
        <row r="1473">
          <cell r="A1473" t="str">
            <v>1.4.4.2</v>
          </cell>
          <cell r="B1473">
            <v>22500</v>
          </cell>
          <cell r="C1473">
            <v>0</v>
          </cell>
        </row>
        <row r="1474">
          <cell r="A1474" t="str">
            <v>1.4.4.2.1</v>
          </cell>
          <cell r="B1474">
            <v>0</v>
          </cell>
          <cell r="C1474">
            <v>0</v>
          </cell>
        </row>
        <row r="1475">
          <cell r="A1475" t="str">
            <v>1.4.4.2.2</v>
          </cell>
          <cell r="B1475">
            <v>0</v>
          </cell>
          <cell r="C1475">
            <v>0</v>
          </cell>
        </row>
        <row r="1476">
          <cell r="A1476" t="str">
            <v>1.4.4.2.3</v>
          </cell>
          <cell r="B1476">
            <v>0</v>
          </cell>
          <cell r="C1476">
            <v>0</v>
          </cell>
        </row>
        <row r="1477">
          <cell r="A1477" t="str">
            <v>1.4.4.2.4</v>
          </cell>
          <cell r="B1477">
            <v>0</v>
          </cell>
          <cell r="C1477">
            <v>0</v>
          </cell>
        </row>
        <row r="1478">
          <cell r="A1478" t="str">
            <v>1.4.4.2.5</v>
          </cell>
          <cell r="B1478">
            <v>0</v>
          </cell>
          <cell r="C1478">
            <v>0</v>
          </cell>
        </row>
        <row r="1479">
          <cell r="A1479" t="str">
            <v>1.4.4.2.6</v>
          </cell>
          <cell r="B1479">
            <v>0</v>
          </cell>
          <cell r="C1479">
            <v>0</v>
          </cell>
        </row>
        <row r="1480">
          <cell r="A1480" t="str">
            <v>1.4.4.2.7</v>
          </cell>
          <cell r="B1480">
            <v>22500</v>
          </cell>
          <cell r="C1480">
            <v>0</v>
          </cell>
        </row>
        <row r="1481">
          <cell r="A1481" t="str">
            <v>1.4.4.2.7.1</v>
          </cell>
          <cell r="B1481">
            <v>17500</v>
          </cell>
          <cell r="C1481">
            <v>1</v>
          </cell>
        </row>
        <row r="1482">
          <cell r="A1482" t="str">
            <v>1.4.4.2.7.2</v>
          </cell>
          <cell r="B1482">
            <v>0</v>
          </cell>
          <cell r="C1482">
            <v>0</v>
          </cell>
        </row>
        <row r="1483">
          <cell r="A1483" t="str">
            <v>1.4.4.2.7.3</v>
          </cell>
          <cell r="B1483">
            <v>4000</v>
          </cell>
          <cell r="C1483">
            <v>1</v>
          </cell>
        </row>
        <row r="1484">
          <cell r="A1484" t="str">
            <v>1.4.4.2.7.4</v>
          </cell>
          <cell r="B1484">
            <v>1000</v>
          </cell>
          <cell r="C1484">
            <v>1</v>
          </cell>
        </row>
        <row r="1485">
          <cell r="A1485" t="str">
            <v>1.4.4.2.7.5</v>
          </cell>
          <cell r="B1485">
            <v>0</v>
          </cell>
          <cell r="C1485">
            <v>0</v>
          </cell>
        </row>
        <row r="1486">
          <cell r="A1486" t="str">
            <v>1.4.4.2.8</v>
          </cell>
          <cell r="B1486">
            <v>0</v>
          </cell>
          <cell r="C1486">
            <v>0</v>
          </cell>
        </row>
        <row r="1487">
          <cell r="A1487" t="str">
            <v>1.4.4.2.9</v>
          </cell>
          <cell r="B1487">
            <v>0</v>
          </cell>
          <cell r="C1487">
            <v>0</v>
          </cell>
        </row>
        <row r="1488">
          <cell r="A1488" t="str">
            <v>1.4.4.2.10</v>
          </cell>
          <cell r="B1488">
            <v>0</v>
          </cell>
          <cell r="C1488">
            <v>0</v>
          </cell>
        </row>
        <row r="1489">
          <cell r="A1489" t="str">
            <v>1.4.4.3</v>
          </cell>
          <cell r="B1489">
            <v>0</v>
          </cell>
          <cell r="C1489">
            <v>0</v>
          </cell>
        </row>
        <row r="1490">
          <cell r="A1490" t="str">
            <v>1.4.4.3.1</v>
          </cell>
          <cell r="B1490">
            <v>0</v>
          </cell>
          <cell r="C1490">
            <v>0</v>
          </cell>
        </row>
        <row r="1491">
          <cell r="A1491" t="str">
            <v>1.4.4.3.2</v>
          </cell>
          <cell r="B1491">
            <v>0</v>
          </cell>
          <cell r="C1491">
            <v>0</v>
          </cell>
        </row>
        <row r="1492">
          <cell r="A1492" t="str">
            <v>1.4.4.3.3</v>
          </cell>
          <cell r="B1492">
            <v>0</v>
          </cell>
          <cell r="C1492">
            <v>0</v>
          </cell>
        </row>
        <row r="1493">
          <cell r="A1493" t="str">
            <v>1.4.4.3.4</v>
          </cell>
          <cell r="B1493">
            <v>0</v>
          </cell>
          <cell r="C1493">
            <v>0</v>
          </cell>
        </row>
        <row r="1494">
          <cell r="A1494" t="str">
            <v>1.4.4.3.5</v>
          </cell>
          <cell r="B1494">
            <v>0</v>
          </cell>
          <cell r="C1494">
            <v>0</v>
          </cell>
        </row>
        <row r="1495">
          <cell r="A1495" t="str">
            <v>1.4.4.3.6</v>
          </cell>
          <cell r="B1495">
            <v>0</v>
          </cell>
          <cell r="C1495">
            <v>0</v>
          </cell>
        </row>
        <row r="1496">
          <cell r="A1496" t="str">
            <v>1.4.4.3.7</v>
          </cell>
          <cell r="B1496">
            <v>0</v>
          </cell>
          <cell r="C1496">
            <v>0</v>
          </cell>
        </row>
        <row r="1497">
          <cell r="A1497" t="str">
            <v>1.4.4.4</v>
          </cell>
          <cell r="B1497">
            <v>0</v>
          </cell>
          <cell r="C1497">
            <v>0</v>
          </cell>
        </row>
        <row r="1498">
          <cell r="A1498" t="str">
            <v>1.4.4.4.1</v>
          </cell>
          <cell r="B1498">
            <v>0</v>
          </cell>
          <cell r="C1498">
            <v>0</v>
          </cell>
        </row>
        <row r="1499">
          <cell r="A1499" t="str">
            <v>1.4.4.4.1.1</v>
          </cell>
          <cell r="B1499">
            <v>0</v>
          </cell>
          <cell r="C1499">
            <v>0</v>
          </cell>
        </row>
        <row r="1500">
          <cell r="A1500" t="str">
            <v>1.4.4.4.1.2</v>
          </cell>
          <cell r="B1500">
            <v>0</v>
          </cell>
          <cell r="C1500">
            <v>0</v>
          </cell>
        </row>
        <row r="1501">
          <cell r="A1501" t="str">
            <v>1.4.4.4.1.3</v>
          </cell>
          <cell r="B1501">
            <v>0</v>
          </cell>
          <cell r="C1501">
            <v>0</v>
          </cell>
        </row>
        <row r="1502">
          <cell r="A1502" t="str">
            <v>1.4.4.4.1.4</v>
          </cell>
          <cell r="B1502">
            <v>0</v>
          </cell>
          <cell r="C1502">
            <v>0</v>
          </cell>
        </row>
        <row r="1503">
          <cell r="A1503" t="str">
            <v>1.4.4.4.1.6</v>
          </cell>
          <cell r="B1503">
            <v>0</v>
          </cell>
          <cell r="C1503">
            <v>0</v>
          </cell>
        </row>
        <row r="1504">
          <cell r="A1504" t="str">
            <v>1.4.4.4.1.5</v>
          </cell>
          <cell r="B1504">
            <v>0</v>
          </cell>
          <cell r="C1504">
            <v>0</v>
          </cell>
        </row>
        <row r="1505">
          <cell r="A1505" t="str">
            <v>1.4.4.4.2</v>
          </cell>
          <cell r="B1505">
            <v>0</v>
          </cell>
          <cell r="C1505">
            <v>0</v>
          </cell>
        </row>
        <row r="1506">
          <cell r="A1506" t="str">
            <v>1.4.4.4.2.1</v>
          </cell>
          <cell r="B1506">
            <v>0</v>
          </cell>
          <cell r="C1506">
            <v>0</v>
          </cell>
        </row>
        <row r="1507">
          <cell r="A1507" t="str">
            <v>1.4.4.4.2.2</v>
          </cell>
          <cell r="B1507">
            <v>0</v>
          </cell>
          <cell r="C1507">
            <v>0</v>
          </cell>
        </row>
        <row r="1508">
          <cell r="A1508" t="str">
            <v>1.4.4.4.2.3</v>
          </cell>
          <cell r="B1508">
            <v>0</v>
          </cell>
          <cell r="C1508">
            <v>0</v>
          </cell>
        </row>
        <row r="1509">
          <cell r="A1509" t="str">
            <v>1.4.4.4.2.4</v>
          </cell>
          <cell r="B1509">
            <v>0</v>
          </cell>
          <cell r="C1509">
            <v>0</v>
          </cell>
        </row>
        <row r="1510">
          <cell r="A1510" t="str">
            <v>1.4.4.4.2.5</v>
          </cell>
          <cell r="B1510">
            <v>0</v>
          </cell>
          <cell r="C1510">
            <v>0</v>
          </cell>
        </row>
        <row r="1511">
          <cell r="A1511" t="str">
            <v>1.4.4.4.2.6</v>
          </cell>
          <cell r="B1511">
            <v>0</v>
          </cell>
          <cell r="C1511">
            <v>0</v>
          </cell>
        </row>
        <row r="1512">
          <cell r="A1512" t="str">
            <v>1.4.4.5</v>
          </cell>
          <cell r="B1512">
            <v>42500</v>
          </cell>
          <cell r="C1512">
            <v>0</v>
          </cell>
        </row>
        <row r="1513">
          <cell r="A1513" t="str">
            <v>1.4.4.5.1</v>
          </cell>
          <cell r="B1513">
            <v>0</v>
          </cell>
          <cell r="C1513">
            <v>0</v>
          </cell>
        </row>
        <row r="1514">
          <cell r="A1514" t="str">
            <v>1.4.4.5.2</v>
          </cell>
          <cell r="B1514">
            <v>0</v>
          </cell>
          <cell r="C1514">
            <v>0</v>
          </cell>
        </row>
        <row r="1515">
          <cell r="A1515" t="str">
            <v>1.4.4.5.3</v>
          </cell>
          <cell r="B1515">
            <v>0</v>
          </cell>
          <cell r="C1515">
            <v>0</v>
          </cell>
        </row>
        <row r="1516">
          <cell r="A1516" t="str">
            <v>1.4.4.5.4</v>
          </cell>
          <cell r="B1516">
            <v>0</v>
          </cell>
          <cell r="C1516">
            <v>0</v>
          </cell>
        </row>
        <row r="1517">
          <cell r="A1517" t="str">
            <v>1.4.4.5.5</v>
          </cell>
          <cell r="B1517">
            <v>0</v>
          </cell>
          <cell r="C1517">
            <v>0</v>
          </cell>
        </row>
        <row r="1518">
          <cell r="A1518" t="str">
            <v>1.4.4.5.6</v>
          </cell>
          <cell r="B1518">
            <v>0</v>
          </cell>
          <cell r="C1518">
            <v>0</v>
          </cell>
        </row>
        <row r="1519">
          <cell r="A1519" t="str">
            <v>1.4.4.5.7</v>
          </cell>
          <cell r="B1519">
            <v>42500</v>
          </cell>
          <cell r="C1519">
            <v>1</v>
          </cell>
        </row>
        <row r="1520">
          <cell r="A1520" t="str">
            <v>1.4.4.5.7.1</v>
          </cell>
          <cell r="B1520">
            <v>0</v>
          </cell>
          <cell r="C1520">
            <v>0</v>
          </cell>
        </row>
        <row r="1521">
          <cell r="A1521" t="str">
            <v>1.4.4.5.7.2</v>
          </cell>
          <cell r="B1521">
            <v>0</v>
          </cell>
          <cell r="C1521">
            <v>0</v>
          </cell>
        </row>
        <row r="1522">
          <cell r="A1522" t="str">
            <v>1.4.4.5.7.3</v>
          </cell>
          <cell r="B1522">
            <v>0</v>
          </cell>
          <cell r="C1522">
            <v>0</v>
          </cell>
        </row>
        <row r="1523">
          <cell r="A1523" t="str">
            <v>1.4.4.5.7.4</v>
          </cell>
          <cell r="B1523">
            <v>0</v>
          </cell>
          <cell r="C1523">
            <v>0</v>
          </cell>
        </row>
        <row r="1524">
          <cell r="A1524" t="str">
            <v>1.4.4.5.7.5</v>
          </cell>
          <cell r="B1524">
            <v>0</v>
          </cell>
          <cell r="C1524">
            <v>0</v>
          </cell>
        </row>
        <row r="1525">
          <cell r="A1525" t="str">
            <v>1.4.4.5.8</v>
          </cell>
          <cell r="B1525">
            <v>0</v>
          </cell>
          <cell r="C1525">
            <v>0</v>
          </cell>
        </row>
        <row r="1526">
          <cell r="A1526" t="str">
            <v>1.4.4.5.9</v>
          </cell>
          <cell r="B1526">
            <v>0</v>
          </cell>
          <cell r="C1526">
            <v>0</v>
          </cell>
        </row>
        <row r="1527">
          <cell r="A1527" t="str">
            <v>1.4.4.5.10</v>
          </cell>
          <cell r="B1527">
            <v>0</v>
          </cell>
          <cell r="C1527">
            <v>0</v>
          </cell>
        </row>
        <row r="1528">
          <cell r="A1528" t="str">
            <v>1.4.5</v>
          </cell>
          <cell r="B1528">
            <v>77900</v>
          </cell>
          <cell r="C1528">
            <v>0</v>
          </cell>
        </row>
        <row r="1529">
          <cell r="A1529" t="str">
            <v>1.4.5.1</v>
          </cell>
          <cell r="B1529">
            <v>50000</v>
          </cell>
          <cell r="C1529">
            <v>0.33</v>
          </cell>
        </row>
        <row r="1530">
          <cell r="A1530" t="str">
            <v>1.4.5.2</v>
          </cell>
          <cell r="B1530">
            <v>27900</v>
          </cell>
          <cell r="C1530">
            <v>0</v>
          </cell>
        </row>
        <row r="1531">
          <cell r="A1531" t="str">
            <v>1.4.5.2.1</v>
          </cell>
          <cell r="B1531">
            <v>27900</v>
          </cell>
          <cell r="C1531">
            <v>1</v>
          </cell>
        </row>
        <row r="1532">
          <cell r="A1532" t="str">
            <v>1.4.5.2.2</v>
          </cell>
          <cell r="B1532">
            <v>0</v>
          </cell>
          <cell r="C1532">
            <v>0</v>
          </cell>
        </row>
        <row r="1533">
          <cell r="A1533" t="str">
            <v>1.4.5.3</v>
          </cell>
          <cell r="B1533">
            <v>0</v>
          </cell>
          <cell r="C1533">
            <v>0</v>
          </cell>
        </row>
        <row r="1534">
          <cell r="A1534" t="str">
            <v>1.4.5.3.1</v>
          </cell>
          <cell r="B1534">
            <v>0</v>
          </cell>
          <cell r="C1534">
            <v>0</v>
          </cell>
        </row>
        <row r="1535">
          <cell r="A1535" t="str">
            <v>1.4.5.3.2</v>
          </cell>
          <cell r="B1535">
            <v>0</v>
          </cell>
          <cell r="C1535">
            <v>0</v>
          </cell>
        </row>
        <row r="1536">
          <cell r="A1536" t="str">
            <v>1.4.5.3.3</v>
          </cell>
          <cell r="B1536">
            <v>0</v>
          </cell>
          <cell r="C1536">
            <v>0</v>
          </cell>
        </row>
        <row r="1537">
          <cell r="A1537" t="str">
            <v>1.4.5.3.4</v>
          </cell>
          <cell r="B1537">
            <v>0</v>
          </cell>
          <cell r="C1537">
            <v>0</v>
          </cell>
        </row>
        <row r="1538">
          <cell r="A1538" t="str">
            <v>1.4.5.4</v>
          </cell>
          <cell r="B1538">
            <v>0</v>
          </cell>
          <cell r="C1538">
            <v>0</v>
          </cell>
        </row>
        <row r="1539">
          <cell r="A1539" t="str">
            <v>1.4.5.4.1</v>
          </cell>
          <cell r="B1539">
            <v>0</v>
          </cell>
          <cell r="C1539">
            <v>0</v>
          </cell>
        </row>
        <row r="1540">
          <cell r="A1540" t="str">
            <v>1.4.5.4.2</v>
          </cell>
          <cell r="B1540">
            <v>0</v>
          </cell>
          <cell r="C1540">
            <v>0</v>
          </cell>
        </row>
        <row r="1541">
          <cell r="A1541" t="str">
            <v>1.4.5.4.3</v>
          </cell>
          <cell r="B1541">
            <v>0</v>
          </cell>
          <cell r="C1541">
            <v>0</v>
          </cell>
        </row>
        <row r="1542">
          <cell r="A1542" t="str">
            <v>1.4.5.4.4</v>
          </cell>
          <cell r="B1542">
            <v>0</v>
          </cell>
          <cell r="C1542">
            <v>0</v>
          </cell>
        </row>
        <row r="1543">
          <cell r="A1543" t="str">
            <v>1.4.5.4.5</v>
          </cell>
          <cell r="B1543">
            <v>0</v>
          </cell>
          <cell r="C1543">
            <v>0</v>
          </cell>
        </row>
        <row r="1544">
          <cell r="A1544" t="str">
            <v>1.5</v>
          </cell>
          <cell r="B1544">
            <v>99033.33</v>
          </cell>
          <cell r="C1544">
            <v>0</v>
          </cell>
        </row>
        <row r="1545">
          <cell r="A1545" t="str">
            <v>1.5.1</v>
          </cell>
          <cell r="B1545">
            <v>99033.33</v>
          </cell>
          <cell r="C1545">
            <v>0</v>
          </cell>
        </row>
        <row r="1546">
          <cell r="A1546" t="str">
            <v>1.5.1.1</v>
          </cell>
          <cell r="B1546">
            <v>45298</v>
          </cell>
          <cell r="C1546">
            <v>0</v>
          </cell>
        </row>
        <row r="1547">
          <cell r="A1547" t="str">
            <v>1.5.1.1.1</v>
          </cell>
          <cell r="B1547">
            <v>45298</v>
          </cell>
          <cell r="C1547">
            <v>0.41</v>
          </cell>
        </row>
        <row r="1548">
          <cell r="A1548" t="str">
            <v>1.5.1.1.2</v>
          </cell>
          <cell r="B1548">
            <v>0</v>
          </cell>
          <cell r="C1548">
            <v>0</v>
          </cell>
        </row>
        <row r="1549">
          <cell r="A1549" t="str">
            <v>1.5.1.2</v>
          </cell>
          <cell r="B1549">
            <v>2909</v>
          </cell>
          <cell r="C1549">
            <v>0.04</v>
          </cell>
        </row>
        <row r="1550">
          <cell r="A1550" t="str">
            <v>1.5.1.3</v>
          </cell>
          <cell r="B1550">
            <v>30573</v>
          </cell>
          <cell r="C1550">
            <v>0</v>
          </cell>
        </row>
        <row r="1551">
          <cell r="A1551" t="str">
            <v>1.5.1.3.1</v>
          </cell>
          <cell r="B1551">
            <v>30573</v>
          </cell>
          <cell r="C1551">
            <v>0.345</v>
          </cell>
        </row>
        <row r="1552">
          <cell r="A1552" t="str">
            <v>1.5.1.3.2</v>
          </cell>
          <cell r="B1552">
            <v>0</v>
          </cell>
          <cell r="C1552">
            <v>0</v>
          </cell>
        </row>
        <row r="1553">
          <cell r="A1553" t="str">
            <v>1.5.1.4</v>
          </cell>
          <cell r="B1553">
            <v>9976.89</v>
          </cell>
          <cell r="C1553">
            <v>0.13</v>
          </cell>
        </row>
        <row r="1554">
          <cell r="A1554" t="str">
            <v>1.5.1.5</v>
          </cell>
          <cell r="B1554">
            <v>10276.44</v>
          </cell>
          <cell r="C1554">
            <v>0.1</v>
          </cell>
        </row>
        <row r="1555">
          <cell r="A1555" t="str">
            <v>3</v>
          </cell>
          <cell r="B1555">
            <v>142648.46</v>
          </cell>
          <cell r="C1555">
            <v>0</v>
          </cell>
        </row>
        <row r="1556">
          <cell r="A1556" t="str">
            <v>3.1</v>
          </cell>
          <cell r="B1556">
            <v>142648.46</v>
          </cell>
          <cell r="C1556">
            <v>0</v>
          </cell>
        </row>
        <row r="1557">
          <cell r="A1557" t="str">
            <v>3.1.1</v>
          </cell>
          <cell r="B1557">
            <v>142648.46</v>
          </cell>
          <cell r="C1557">
            <v>0</v>
          </cell>
        </row>
        <row r="1558">
          <cell r="A1558" t="str">
            <v>3.1.1.1</v>
          </cell>
          <cell r="B1558">
            <v>3325.63</v>
          </cell>
          <cell r="C1558">
            <v>0.05</v>
          </cell>
        </row>
        <row r="1559">
          <cell r="A1559" t="str">
            <v>3.1.1.2</v>
          </cell>
          <cell r="B1559">
            <v>3385.61</v>
          </cell>
          <cell r="C1559">
            <v>0</v>
          </cell>
        </row>
        <row r="1560">
          <cell r="A1560" t="str">
            <v>3.1.1.2.1</v>
          </cell>
          <cell r="B1560">
            <v>3122.39</v>
          </cell>
          <cell r="C1560">
            <v>0</v>
          </cell>
        </row>
        <row r="1561">
          <cell r="A1561" t="str">
            <v>3.1.1.2.1.1</v>
          </cell>
          <cell r="B1561">
            <v>0</v>
          </cell>
          <cell r="C1561">
            <v>0</v>
          </cell>
        </row>
        <row r="1562">
          <cell r="A1562" t="str">
            <v>3.1.1.2.1.2</v>
          </cell>
          <cell r="B1562">
            <v>0</v>
          </cell>
          <cell r="C1562">
            <v>0</v>
          </cell>
        </row>
        <row r="1563">
          <cell r="A1563" t="str">
            <v>3.1.1.2.1.3</v>
          </cell>
          <cell r="B1563">
            <v>0</v>
          </cell>
          <cell r="C1563">
            <v>0</v>
          </cell>
        </row>
        <row r="1564">
          <cell r="A1564" t="str">
            <v>3.1.1.2.1.4</v>
          </cell>
          <cell r="B1564">
            <v>3122.39</v>
          </cell>
          <cell r="C1564">
            <v>0</v>
          </cell>
        </row>
        <row r="1565">
          <cell r="A1565" t="str">
            <v>3.1.1.3</v>
          </cell>
          <cell r="B1565">
            <v>90484.78</v>
          </cell>
          <cell r="C1565">
            <v>0</v>
          </cell>
        </row>
        <row r="1566">
          <cell r="A1566" t="str">
            <v>3.1.1.3.1</v>
          </cell>
          <cell r="C1566">
            <v>0</v>
          </cell>
        </row>
        <row r="1567">
          <cell r="A1567" t="str">
            <v>3.1.1.3.1.1</v>
          </cell>
        </row>
        <row r="1568">
          <cell r="A1568" t="str">
            <v>3.1.1.3.1.2</v>
          </cell>
          <cell r="B1568">
            <v>0</v>
          </cell>
          <cell r="C1568">
            <v>0</v>
          </cell>
        </row>
        <row r="1569">
          <cell r="A1569" t="str">
            <v>3.1.1.3.2</v>
          </cell>
          <cell r="B1569">
            <v>33610.27</v>
          </cell>
          <cell r="C1569">
            <v>0</v>
          </cell>
        </row>
        <row r="1570">
          <cell r="A1570" t="str">
            <v>3.1.1.3.2.1</v>
          </cell>
          <cell r="B1570">
            <v>22986.65</v>
          </cell>
          <cell r="C1570">
            <v>0</v>
          </cell>
        </row>
        <row r="1571">
          <cell r="A1571" t="str">
            <v>3.1.1.3.2.2</v>
          </cell>
          <cell r="B1571">
            <v>287.4</v>
          </cell>
          <cell r="C1571">
            <v>0</v>
          </cell>
        </row>
        <row r="1572">
          <cell r="A1572" t="str">
            <v>3.1.1.3.2.3</v>
          </cell>
          <cell r="B1572">
            <v>0</v>
          </cell>
          <cell r="C1572">
            <v>0</v>
          </cell>
        </row>
        <row r="1573">
          <cell r="A1573" t="str">
            <v>3.1.1.3.2.4</v>
          </cell>
          <cell r="B1573">
            <v>1860.98</v>
          </cell>
          <cell r="C1573">
            <v>0</v>
          </cell>
        </row>
        <row r="1574">
          <cell r="A1574" t="str">
            <v>3.1.1.3.2.5</v>
          </cell>
          <cell r="B1574">
            <v>0</v>
          </cell>
          <cell r="C1574">
            <v>0</v>
          </cell>
        </row>
        <row r="1575">
          <cell r="A1575" t="str">
            <v>3.1.1.3.2.6</v>
          </cell>
          <cell r="B1575">
            <v>408.26</v>
          </cell>
          <cell r="C1575">
            <v>1.8018</v>
          </cell>
        </row>
        <row r="1576">
          <cell r="A1576" t="str">
            <v>3.1.1.3.2.7</v>
          </cell>
          <cell r="B1576">
            <v>0</v>
          </cell>
          <cell r="C1576">
            <v>0</v>
          </cell>
        </row>
        <row r="1577">
          <cell r="A1577" t="str">
            <v>3.1.1.3.2.8</v>
          </cell>
          <cell r="B1577">
            <v>0</v>
          </cell>
          <cell r="C1577">
            <v>0</v>
          </cell>
        </row>
        <row r="1578">
          <cell r="A1578" t="str">
            <v>3.1.1.3.2.9</v>
          </cell>
          <cell r="B1578">
            <v>8066.98</v>
          </cell>
          <cell r="C1578">
            <v>0</v>
          </cell>
        </row>
        <row r="1579">
          <cell r="A1579" t="str">
            <v>3.1.1.3.2.10</v>
          </cell>
          <cell r="B1579">
            <v>0</v>
          </cell>
          <cell r="C1579">
            <v>0</v>
          </cell>
        </row>
        <row r="1580">
          <cell r="A1580" t="str">
            <v>3.1.1.3.2.11</v>
          </cell>
          <cell r="B1580">
            <v>20526.65</v>
          </cell>
          <cell r="C1580">
            <v>0.02</v>
          </cell>
        </row>
        <row r="1581">
          <cell r="A1581" t="str">
            <v>3.1.1.3.2.12</v>
          </cell>
          <cell r="B1581">
            <v>0</v>
          </cell>
          <cell r="C1581">
            <v>0</v>
          </cell>
        </row>
        <row r="1582">
          <cell r="A1582" t="str">
            <v>3.1.1.3.3</v>
          </cell>
          <cell r="B1582">
            <v>598.4</v>
          </cell>
          <cell r="C1582">
            <v>0</v>
          </cell>
        </row>
        <row r="1583">
          <cell r="A1583" t="str">
            <v>3.1.1.3.4</v>
          </cell>
          <cell r="B1583">
            <v>0</v>
          </cell>
          <cell r="C1583">
            <v>0</v>
          </cell>
        </row>
        <row r="1584">
          <cell r="A1584" t="str">
            <v>3.1.1.3.5</v>
          </cell>
          <cell r="B1584">
            <v>34829.77</v>
          </cell>
          <cell r="C1584">
            <v>0</v>
          </cell>
        </row>
        <row r="1585">
          <cell r="A1585" t="str">
            <v>3.1.1.3.5.1</v>
          </cell>
          <cell r="B1585">
            <v>14946.5</v>
          </cell>
          <cell r="C1585">
            <v>0</v>
          </cell>
        </row>
        <row r="1586">
          <cell r="A1586" t="str">
            <v>3.1.1.3.5.2</v>
          </cell>
          <cell r="B1586">
            <v>13072.98</v>
          </cell>
          <cell r="C1586">
            <v>0.2</v>
          </cell>
        </row>
        <row r="1587">
          <cell r="A1587" t="str">
            <v>3.1.1.3.5.3</v>
          </cell>
          <cell r="B1587">
            <v>6810.29</v>
          </cell>
          <cell r="C1587">
            <v>0</v>
          </cell>
        </row>
        <row r="1588">
          <cell r="A1588" t="str">
            <v>3.1.1.3.6</v>
          </cell>
          <cell r="B1588">
            <v>19346.49</v>
          </cell>
          <cell r="C1588">
            <v>0</v>
          </cell>
        </row>
        <row r="1589">
          <cell r="A1589" t="str">
            <v>3.1.1.3.6.1</v>
          </cell>
          <cell r="B1589">
            <v>9566.44</v>
          </cell>
          <cell r="C1589">
            <v>0</v>
          </cell>
        </row>
        <row r="1590">
          <cell r="A1590" t="str">
            <v>3.1.1.3.6.2</v>
          </cell>
          <cell r="B1590">
            <v>8756.79</v>
          </cell>
          <cell r="C1590">
            <v>0.05</v>
          </cell>
        </row>
        <row r="1591">
          <cell r="A1591" t="str">
            <v>3.1.1.3.6.3</v>
          </cell>
          <cell r="B1591">
            <v>1023.26</v>
          </cell>
          <cell r="C1591">
            <v>0.01</v>
          </cell>
        </row>
        <row r="1592">
          <cell r="A1592" t="str">
            <v>3.1.1.3.7</v>
          </cell>
          <cell r="B1592">
            <v>2099.85</v>
          </cell>
          <cell r="C1592">
            <v>0</v>
          </cell>
        </row>
        <row r="1593">
          <cell r="A1593" t="str">
            <v>3.1.1.4</v>
          </cell>
          <cell r="B1593">
            <v>45024.8</v>
          </cell>
          <cell r="C1593">
            <v>0</v>
          </cell>
        </row>
        <row r="1594">
          <cell r="A1594" t="str">
            <v>3.1.1.4.1</v>
          </cell>
          <cell r="B1594">
            <v>38054.65</v>
          </cell>
          <cell r="C1594">
            <v>0</v>
          </cell>
        </row>
        <row r="1595">
          <cell r="A1595" t="str">
            <v>3.1.1.4.2</v>
          </cell>
          <cell r="B1595">
            <v>0</v>
          </cell>
          <cell r="C1595">
            <v>0</v>
          </cell>
        </row>
        <row r="1596">
          <cell r="A1596" t="str">
            <v>3.1.1.4.3</v>
          </cell>
          <cell r="B1596">
            <v>0</v>
          </cell>
          <cell r="C1596">
            <v>0</v>
          </cell>
        </row>
        <row r="1597">
          <cell r="A1597" t="str">
            <v>3.1.1.4.4</v>
          </cell>
          <cell r="B1597">
            <v>0</v>
          </cell>
          <cell r="C1597">
            <v>0</v>
          </cell>
        </row>
        <row r="1598">
          <cell r="A1598" t="str">
            <v>3.1.1.4.4.1</v>
          </cell>
          <cell r="B1598">
            <v>0</v>
          </cell>
          <cell r="C1598">
            <v>0</v>
          </cell>
        </row>
        <row r="1599">
          <cell r="A1599" t="str">
            <v>3.1.1.4.4.2</v>
          </cell>
          <cell r="B1599">
            <v>0</v>
          </cell>
          <cell r="C1599">
            <v>0</v>
          </cell>
        </row>
        <row r="1600">
          <cell r="A1600" t="str">
            <v>3.1.1.4.5</v>
          </cell>
          <cell r="B1600">
            <v>3417.45</v>
          </cell>
          <cell r="C1600">
            <v>0.95</v>
          </cell>
        </row>
        <row r="1601">
          <cell r="A1601" t="str">
            <v>3.1.1.4.6</v>
          </cell>
          <cell r="B1601">
            <v>0</v>
          </cell>
          <cell r="C1601">
            <v>0</v>
          </cell>
        </row>
        <row r="1602">
          <cell r="A1602" t="str">
            <v>3.1.1.4.6.1</v>
          </cell>
          <cell r="B1602">
            <v>0</v>
          </cell>
          <cell r="C1602">
            <v>0</v>
          </cell>
        </row>
        <row r="1603">
          <cell r="A1603" t="str">
            <v>3.1.1.4.6.1.1</v>
          </cell>
          <cell r="B1603">
            <v>0</v>
          </cell>
          <cell r="C1603">
            <v>0</v>
          </cell>
        </row>
        <row r="1604">
          <cell r="A1604" t="str">
            <v>3.1.1.4.6.1.2</v>
          </cell>
          <cell r="B1604">
            <v>0</v>
          </cell>
          <cell r="C1604">
            <v>0</v>
          </cell>
        </row>
        <row r="1605">
          <cell r="A1605" t="str">
            <v>3.1.1.4.6.1.3</v>
          </cell>
          <cell r="B1605">
            <v>0</v>
          </cell>
          <cell r="C1605">
            <v>0</v>
          </cell>
        </row>
        <row r="1606">
          <cell r="A1606" t="str">
            <v>3.1.1.4.6.1.4</v>
          </cell>
          <cell r="B1606">
            <v>0</v>
          </cell>
          <cell r="C1606">
            <v>0</v>
          </cell>
        </row>
        <row r="1607">
          <cell r="A1607" t="str">
            <v>3.1.1.4.7</v>
          </cell>
          <cell r="B1607">
            <v>359.8</v>
          </cell>
          <cell r="C1607">
            <v>0</v>
          </cell>
        </row>
        <row r="1608">
          <cell r="A1608" t="str">
            <v>3.1.1.4.8</v>
          </cell>
          <cell r="B1608">
            <v>3192.9</v>
          </cell>
          <cell r="C1608">
            <v>0</v>
          </cell>
        </row>
        <row r="1609">
          <cell r="A1609" t="str">
            <v>3.1.1.4.9</v>
          </cell>
          <cell r="B1609">
            <v>0</v>
          </cell>
          <cell r="C1609">
            <v>0</v>
          </cell>
        </row>
        <row r="1610">
          <cell r="A1610" t="str">
            <v>3.1.1.4.10</v>
          </cell>
          <cell r="B1610">
            <v>690.36</v>
          </cell>
          <cell r="C1610">
            <v>0.01</v>
          </cell>
        </row>
        <row r="1611">
          <cell r="A1611" t="str">
            <v>3.1.1.4.11</v>
          </cell>
          <cell r="B1611">
            <v>26033.35</v>
          </cell>
          <cell r="C1611">
            <v>0</v>
          </cell>
        </row>
        <row r="1612">
          <cell r="A1612" t="str">
            <v>3.1.1.4.11.1</v>
          </cell>
          <cell r="B1612">
            <v>21134.35</v>
          </cell>
          <cell r="C1612">
            <v>0.4</v>
          </cell>
        </row>
        <row r="1613">
          <cell r="A1613" t="str">
            <v>3.1.1.4.11.2</v>
          </cell>
          <cell r="B1613">
            <v>2470</v>
          </cell>
          <cell r="C1613">
            <v>0</v>
          </cell>
        </row>
        <row r="1614">
          <cell r="A1614" t="str">
            <v>3.1.1.4.11.3</v>
          </cell>
          <cell r="B1614">
            <v>0</v>
          </cell>
          <cell r="C1614">
            <v>0</v>
          </cell>
        </row>
        <row r="1615">
          <cell r="A1615" t="str">
            <v>3.1.1.4.11.4</v>
          </cell>
          <cell r="B1615">
            <v>0</v>
          </cell>
          <cell r="C1615">
            <v>0</v>
          </cell>
        </row>
        <row r="1616">
          <cell r="A1616" t="str">
            <v>3.1.1.4.12</v>
          </cell>
          <cell r="B1616">
            <v>9008.04</v>
          </cell>
          <cell r="C1616">
            <v>0</v>
          </cell>
        </row>
        <row r="1617">
          <cell r="A1617" t="str">
            <v>3.1.1.4.12.1</v>
          </cell>
          <cell r="B1617">
            <v>7436.74</v>
          </cell>
          <cell r="C1617">
            <v>0.1</v>
          </cell>
        </row>
        <row r="1618">
          <cell r="A1618" t="str">
            <v>3.1.1.4.12.2</v>
          </cell>
          <cell r="B1618">
            <v>646</v>
          </cell>
          <cell r="C1618">
            <v>0</v>
          </cell>
        </row>
        <row r="1619">
          <cell r="A1619" t="str">
            <v>3.1.1.4.12.3</v>
          </cell>
          <cell r="B1619">
            <v>686.8</v>
          </cell>
          <cell r="C1619">
            <v>0.04</v>
          </cell>
        </row>
        <row r="1620">
          <cell r="A1620" t="str">
            <v>3.1.1.4.12.4</v>
          </cell>
          <cell r="B1620">
            <v>0</v>
          </cell>
          <cell r="C1620">
            <v>0</v>
          </cell>
        </row>
        <row r="1621">
          <cell r="A1621" t="str">
            <v>3.1.1.4.12.5</v>
          </cell>
          <cell r="B1621">
            <v>238.5</v>
          </cell>
          <cell r="C1621">
            <v>0</v>
          </cell>
        </row>
        <row r="1622">
          <cell r="A1622" t="str">
            <v>3.1.1.4.12.6</v>
          </cell>
          <cell r="B1622">
            <v>0</v>
          </cell>
          <cell r="C1622">
            <v>0</v>
          </cell>
        </row>
        <row r="1623">
          <cell r="A1623" t="str">
            <v>3.1.1.4.13</v>
          </cell>
          <cell r="B1623">
            <v>0</v>
          </cell>
          <cell r="C1623">
            <v>0</v>
          </cell>
        </row>
        <row r="1624">
          <cell r="A1624" t="str">
            <v>3.1.1.4.14</v>
          </cell>
          <cell r="B1624">
            <v>0</v>
          </cell>
          <cell r="C1624">
            <v>0</v>
          </cell>
        </row>
        <row r="1625">
          <cell r="A1625" t="str">
            <v>3.1.1.5</v>
          </cell>
          <cell r="B1625">
            <v>427.64</v>
          </cell>
          <cell r="C1625">
            <v>0</v>
          </cell>
        </row>
        <row r="1626">
          <cell r="A1626" t="str">
            <v>3.1.1.5.1</v>
          </cell>
          <cell r="B1626">
            <v>427.64</v>
          </cell>
          <cell r="C1626">
            <v>0</v>
          </cell>
        </row>
        <row r="1627">
          <cell r="A1627" t="str">
            <v>3.1.1.5.2</v>
          </cell>
          <cell r="B1627">
            <v>0</v>
          </cell>
          <cell r="C1627">
            <v>0</v>
          </cell>
        </row>
        <row r="1628">
          <cell r="A1628" t="str">
            <v>3.1.1.6</v>
          </cell>
          <cell r="B1628">
            <v>0</v>
          </cell>
          <cell r="C1628">
            <v>0</v>
          </cell>
        </row>
        <row r="1629">
          <cell r="A1629" t="str">
            <v>3.1.1.6.1</v>
          </cell>
          <cell r="B1629">
            <v>0</v>
          </cell>
          <cell r="C1629">
            <v>0</v>
          </cell>
        </row>
        <row r="1630">
          <cell r="A1630" t="str">
            <v>3.1.1.6.2</v>
          </cell>
          <cell r="B1630">
            <v>0</v>
          </cell>
          <cell r="C1630">
            <v>0</v>
          </cell>
        </row>
        <row r="1631">
          <cell r="A1631" t="str">
            <v>3.1.1.6.3</v>
          </cell>
          <cell r="B1631">
            <v>0</v>
          </cell>
          <cell r="C1631">
            <v>0</v>
          </cell>
        </row>
        <row r="1632">
          <cell r="A1632" t="str">
            <v>3.1.1.6.4</v>
          </cell>
          <cell r="B1632">
            <v>0</v>
          </cell>
          <cell r="C16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M1709"/>
  <sheetViews>
    <sheetView tabSelected="1" workbookViewId="0" topLeftCell="A1">
      <pane xSplit="1" ySplit="3" topLeftCell="B9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47" sqref="C247"/>
    </sheetView>
  </sheetViews>
  <sheetFormatPr defaultColWidth="9.140625" defaultRowHeight="12.75"/>
  <cols>
    <col min="1" max="1" width="14.7109375" style="8" customWidth="1"/>
    <col min="2" max="2" width="35.28125" style="2" customWidth="1"/>
    <col min="3" max="3" width="10.140625" style="3" customWidth="1"/>
    <col min="4" max="4" width="9.140625" style="3" customWidth="1"/>
    <col min="5" max="5" width="11.57421875" style="3" customWidth="1"/>
    <col min="6" max="6" width="11.00390625" style="3" customWidth="1"/>
    <col min="7" max="7" width="10.7109375" style="3" customWidth="1"/>
    <col min="222" max="16384" width="9.140625" style="2" customWidth="1"/>
  </cols>
  <sheetData>
    <row r="1" ht="15.75" customHeight="1">
      <c r="A1" s="1" t="s">
        <v>1748</v>
      </c>
    </row>
    <row r="2" spans="1:7" ht="12.75">
      <c r="A2" s="5"/>
      <c r="B2" s="6"/>
      <c r="C2" s="7" t="s">
        <v>1401</v>
      </c>
      <c r="D2" s="4" t="s">
        <v>1402</v>
      </c>
      <c r="E2" s="4" t="s">
        <v>1403</v>
      </c>
      <c r="F2" s="4" t="s">
        <v>523</v>
      </c>
      <c r="G2" s="4" t="s">
        <v>1404</v>
      </c>
    </row>
    <row r="3" spans="1:7" ht="13.5" thickBot="1">
      <c r="A3" s="9" t="s">
        <v>1405</v>
      </c>
      <c r="B3" s="9" t="s">
        <v>1406</v>
      </c>
      <c r="C3" s="10" t="s">
        <v>1407</v>
      </c>
      <c r="D3" s="11" t="s">
        <v>1408</v>
      </c>
      <c r="E3" s="11" t="s">
        <v>1408</v>
      </c>
      <c r="F3" s="11" t="s">
        <v>524</v>
      </c>
      <c r="G3" s="11" t="s">
        <v>1409</v>
      </c>
    </row>
    <row r="4" spans="1:7" ht="14.25" thickBot="1" thickTop="1">
      <c r="A4" s="12" t="s">
        <v>1410</v>
      </c>
      <c r="B4" s="13" t="s">
        <v>598</v>
      </c>
      <c r="C4" s="14">
        <f>C5+C336+C558+C786+C986</f>
        <v>41630641.35198368</v>
      </c>
      <c r="D4" s="14">
        <f>D5+D336+D558+D786+D986</f>
        <v>2363325.5599999996</v>
      </c>
      <c r="E4" s="14">
        <f>E5+E336+E558+E786+E986</f>
        <v>34022833.44019999</v>
      </c>
      <c r="F4" s="14">
        <f>F5+F336+F558+F786+F986</f>
        <v>1441946</v>
      </c>
      <c r="G4" s="14">
        <f>G5+G336+G558+G786+G986</f>
        <v>3822536.351783679</v>
      </c>
    </row>
    <row r="5" spans="1:7" ht="13.5" thickTop="1">
      <c r="A5" s="12" t="s">
        <v>1411</v>
      </c>
      <c r="B5" s="15" t="s">
        <v>1412</v>
      </c>
      <c r="C5" s="14">
        <f>C6+C69+C149+C196+C245</f>
        <v>20060984.54</v>
      </c>
      <c r="D5" s="14">
        <f>D6+D69+D149+D196+D245</f>
        <v>1762937.42</v>
      </c>
      <c r="E5" s="14">
        <f>E6+E69+E149+E196+E245</f>
        <v>16794764.691</v>
      </c>
      <c r="F5" s="14">
        <f>F6+F69+F149+F196+F245</f>
        <v>20000</v>
      </c>
      <c r="G5" s="14">
        <f>G6+G69+G149+G196+G245</f>
        <v>1503282.4289999988</v>
      </c>
    </row>
    <row r="6" spans="1:221" s="19" customFormat="1" ht="12.75">
      <c r="A6" s="16" t="s">
        <v>1413</v>
      </c>
      <c r="B6" s="17" t="s">
        <v>1414</v>
      </c>
      <c r="C6" s="18">
        <f>C7+C13+C30+C41+C50+C59+C65</f>
        <v>7871073.3</v>
      </c>
      <c r="D6" s="18">
        <f>D7+D13+D30+D41+D50+D59+D65</f>
        <v>941728.09</v>
      </c>
      <c r="E6" s="18">
        <f>E7+E13+E30+E41+E50+E59+E65</f>
        <v>6177883.568</v>
      </c>
      <c r="F6" s="18">
        <f>F7+F13+F30+F41+F50+F59+F65</f>
        <v>20000</v>
      </c>
      <c r="G6" s="18">
        <f aca="true" t="shared" si="0" ref="G6:G67">C6-D6-E6</f>
        <v>751461.642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</row>
    <row r="7" spans="1:221" s="23" customFormat="1" ht="12.75">
      <c r="A7" s="20" t="s">
        <v>1415</v>
      </c>
      <c r="B7" s="21" t="s">
        <v>1416</v>
      </c>
      <c r="C7" s="22">
        <f>SUM(C8:C12)</f>
        <v>525541</v>
      </c>
      <c r="D7" s="22">
        <f>SUM(D8:D12)</f>
        <v>4960</v>
      </c>
      <c r="E7" s="22">
        <f>SUM(E8:E12)</f>
        <v>504478.356</v>
      </c>
      <c r="F7" s="22">
        <f>SUM(F8:F12)</f>
        <v>20000</v>
      </c>
      <c r="G7" s="22">
        <f t="shared" si="0"/>
        <v>16102.643999999971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7" ht="12.75">
      <c r="A8" s="12" t="s">
        <v>1417</v>
      </c>
      <c r="B8" s="24" t="s">
        <v>1418</v>
      </c>
      <c r="C8" s="25">
        <v>157500</v>
      </c>
      <c r="D8" s="25">
        <v>0</v>
      </c>
      <c r="E8" s="25">
        <v>157500</v>
      </c>
      <c r="F8" s="25"/>
      <c r="G8" s="25">
        <f t="shared" si="0"/>
        <v>0</v>
      </c>
    </row>
    <row r="9" spans="1:7" ht="12.75">
      <c r="A9" s="12" t="s">
        <v>1419</v>
      </c>
      <c r="B9" s="24" t="s">
        <v>1420</v>
      </c>
      <c r="C9" s="25">
        <v>55000</v>
      </c>
      <c r="D9" s="25">
        <v>0</v>
      </c>
      <c r="E9" s="25">
        <v>55000</v>
      </c>
      <c r="F9" s="25"/>
      <c r="G9" s="25">
        <f t="shared" si="0"/>
        <v>0</v>
      </c>
    </row>
    <row r="10" spans="1:7" ht="12.75">
      <c r="A10" s="12" t="s">
        <v>1421</v>
      </c>
      <c r="B10" s="24" t="s">
        <v>1422</v>
      </c>
      <c r="C10" s="25">
        <v>113600</v>
      </c>
      <c r="D10" s="25">
        <v>0</v>
      </c>
      <c r="E10" s="25">
        <v>113600</v>
      </c>
      <c r="F10" s="25"/>
      <c r="G10" s="25">
        <f t="shared" si="0"/>
        <v>0</v>
      </c>
    </row>
    <row r="11" spans="1:7" ht="12.75">
      <c r="A11" s="12" t="s">
        <v>1423</v>
      </c>
      <c r="B11" s="24" t="s">
        <v>1424</v>
      </c>
      <c r="C11" s="25">
        <v>0</v>
      </c>
      <c r="D11" s="25">
        <v>0</v>
      </c>
      <c r="E11" s="25">
        <v>0</v>
      </c>
      <c r="F11" s="25"/>
      <c r="G11" s="25">
        <f t="shared" si="0"/>
        <v>0</v>
      </c>
    </row>
    <row r="12" spans="1:7" ht="12.75">
      <c r="A12" s="55" t="s">
        <v>1425</v>
      </c>
      <c r="B12" s="24" t="s">
        <v>1426</v>
      </c>
      <c r="C12" s="25">
        <v>199441</v>
      </c>
      <c r="D12" s="25">
        <v>4960</v>
      </c>
      <c r="E12" s="25">
        <v>178378.356</v>
      </c>
      <c r="F12" s="25">
        <v>20000</v>
      </c>
      <c r="G12" s="25">
        <f t="shared" si="0"/>
        <v>16102.644</v>
      </c>
    </row>
    <row r="13" spans="1:221" s="23" customFormat="1" ht="12.75">
      <c r="A13" s="20" t="s">
        <v>1427</v>
      </c>
      <c r="B13" s="21" t="s">
        <v>1428</v>
      </c>
      <c r="C13" s="22">
        <f>C14+C22+C29</f>
        <v>1407507</v>
      </c>
      <c r="D13" s="22">
        <f>D14+D22+D29</f>
        <v>41689.520000000004</v>
      </c>
      <c r="E13" s="22">
        <f>E14+E22+E29</f>
        <v>1353291.584</v>
      </c>
      <c r="F13" s="22">
        <f>F14+F22+F29</f>
        <v>0</v>
      </c>
      <c r="G13" s="22">
        <f t="shared" si="0"/>
        <v>12525.89599999995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1:221" s="29" customFormat="1" ht="12.75">
      <c r="A14" s="26" t="s">
        <v>1429</v>
      </c>
      <c r="B14" s="27" t="s">
        <v>1430</v>
      </c>
      <c r="C14" s="28">
        <f>SUM(C15:C21)</f>
        <v>859485</v>
      </c>
      <c r="D14" s="28">
        <f>SUM(D15:D21)</f>
        <v>22814.77</v>
      </c>
      <c r="E14" s="28">
        <f>SUM(E15:E21)</f>
        <v>829143.904</v>
      </c>
      <c r="F14" s="28">
        <f>SUM(F15:F21)</f>
        <v>0</v>
      </c>
      <c r="G14" s="28">
        <f t="shared" si="0"/>
        <v>7526.326000000001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</row>
    <row r="15" spans="1:7" ht="12.75">
      <c r="A15" s="12" t="s">
        <v>1431</v>
      </c>
      <c r="B15" s="24" t="s">
        <v>1432</v>
      </c>
      <c r="C15" s="25">
        <f>438285+101080</f>
        <v>539365</v>
      </c>
      <c r="D15" s="25">
        <v>0</v>
      </c>
      <c r="E15" s="25">
        <v>539365</v>
      </c>
      <c r="F15" s="25"/>
      <c r="G15" s="25">
        <f t="shared" si="0"/>
        <v>0</v>
      </c>
    </row>
    <row r="16" spans="1:7" ht="12.75">
      <c r="A16" s="12" t="s">
        <v>1433</v>
      </c>
      <c r="B16" s="24" t="s">
        <v>1434</v>
      </c>
      <c r="C16" s="25">
        <f>29580-5000</f>
        <v>24580</v>
      </c>
      <c r="D16" s="25">
        <v>0</v>
      </c>
      <c r="E16" s="25">
        <v>24580.24</v>
      </c>
      <c r="F16" s="25"/>
      <c r="G16" s="25">
        <f t="shared" si="0"/>
        <v>-0.2400000000016007</v>
      </c>
    </row>
    <row r="17" spans="1:7" ht="12.75">
      <c r="A17" s="12" t="s">
        <v>1435</v>
      </c>
      <c r="B17" s="24" t="s">
        <v>1436</v>
      </c>
      <c r="C17" s="25">
        <f>51902+2</f>
        <v>51904</v>
      </c>
      <c r="D17" s="25">
        <v>14996</v>
      </c>
      <c r="E17" s="25">
        <v>36908.2</v>
      </c>
      <c r="F17" s="25"/>
      <c r="G17" s="25">
        <f t="shared" si="0"/>
        <v>-0.19999999999708962</v>
      </c>
    </row>
    <row r="18" spans="1:7" ht="12.75">
      <c r="A18" s="12" t="s">
        <v>1437</v>
      </c>
      <c r="B18" s="24" t="s">
        <v>1438</v>
      </c>
      <c r="C18" s="25">
        <f>25033+555+107</f>
        <v>25695</v>
      </c>
      <c r="D18" s="25">
        <f>554.96+107</f>
        <v>661.96</v>
      </c>
      <c r="E18" s="25">
        <v>25033.26</v>
      </c>
      <c r="F18" s="25"/>
      <c r="G18" s="25">
        <f t="shared" si="0"/>
        <v>-0.21999999999752617</v>
      </c>
    </row>
    <row r="19" spans="1:7" ht="12.75">
      <c r="A19" s="12" t="s">
        <v>1439</v>
      </c>
      <c r="B19" s="24" t="s">
        <v>1440</v>
      </c>
      <c r="C19" s="25">
        <f>33604-10000</f>
        <v>23604</v>
      </c>
      <c r="D19" s="25">
        <v>3640.9</v>
      </c>
      <c r="E19" s="25">
        <v>12435.844</v>
      </c>
      <c r="F19" s="25"/>
      <c r="G19" s="25">
        <f t="shared" si="0"/>
        <v>7527.255999999999</v>
      </c>
    </row>
    <row r="20" spans="1:7" ht="12.75">
      <c r="A20" s="12" t="s">
        <v>1441</v>
      </c>
      <c r="B20" s="24" t="s">
        <v>1442</v>
      </c>
      <c r="C20" s="25">
        <f>126142+1935+215</f>
        <v>128292</v>
      </c>
      <c r="D20" s="25">
        <f>3300.91+215</f>
        <v>3515.91</v>
      </c>
      <c r="E20" s="25">
        <v>124776.36</v>
      </c>
      <c r="F20" s="25"/>
      <c r="G20" s="25">
        <f t="shared" si="0"/>
        <v>-0.27000000000407454</v>
      </c>
    </row>
    <row r="21" spans="1:7" ht="12.75">
      <c r="A21" s="12" t="s">
        <v>1443</v>
      </c>
      <c r="B21" s="24" t="s">
        <v>1444</v>
      </c>
      <c r="C21" s="25">
        <v>66045</v>
      </c>
      <c r="D21" s="25">
        <v>0</v>
      </c>
      <c r="E21" s="25">
        <v>66045</v>
      </c>
      <c r="F21" s="25"/>
      <c r="G21" s="25">
        <f t="shared" si="0"/>
        <v>0</v>
      </c>
    </row>
    <row r="22" spans="1:221" s="29" customFormat="1" ht="12.75">
      <c r="A22" s="26" t="s">
        <v>1445</v>
      </c>
      <c r="B22" s="27" t="s">
        <v>1446</v>
      </c>
      <c r="C22" s="28">
        <f>SUM(C23:C28)</f>
        <v>460986</v>
      </c>
      <c r="D22" s="28">
        <f>SUM(D23:D28)</f>
        <v>18874.75</v>
      </c>
      <c r="E22" s="28">
        <f>SUM(E23:E28)</f>
        <v>437112.13</v>
      </c>
      <c r="F22" s="28">
        <f>SUM(F23:F28)</f>
        <v>0</v>
      </c>
      <c r="G22" s="28">
        <f t="shared" si="0"/>
        <v>4999.119999999995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</row>
    <row r="23" spans="1:7" ht="12.75">
      <c r="A23" s="12" t="s">
        <v>1447</v>
      </c>
      <c r="B23" s="24" t="s">
        <v>1448</v>
      </c>
      <c r="C23" s="25">
        <f>264200+14750</f>
        <v>278950</v>
      </c>
      <c r="D23" s="25">
        <v>14750</v>
      </c>
      <c r="E23" s="25">
        <v>264200</v>
      </c>
      <c r="F23" s="25"/>
      <c r="G23" s="25">
        <f t="shared" si="0"/>
        <v>0</v>
      </c>
    </row>
    <row r="24" spans="1:7" ht="12.75">
      <c r="A24" s="12" t="s">
        <v>1449</v>
      </c>
      <c r="B24" s="24" t="s">
        <v>1436</v>
      </c>
      <c r="C24" s="25">
        <f>72000-60000</f>
        <v>12000</v>
      </c>
      <c r="D24" s="25">
        <v>0</v>
      </c>
      <c r="E24" s="25">
        <v>12000</v>
      </c>
      <c r="F24" s="25"/>
      <c r="G24" s="25">
        <f t="shared" si="0"/>
        <v>0</v>
      </c>
    </row>
    <row r="25" spans="1:7" ht="12.75">
      <c r="A25" s="12" t="s">
        <v>1450</v>
      </c>
      <c r="B25" s="24" t="s">
        <v>1451</v>
      </c>
      <c r="C25" s="25">
        <f>42711+350</f>
        <v>43061</v>
      </c>
      <c r="D25" s="25">
        <v>350</v>
      </c>
      <c r="E25" s="25">
        <v>42711.25</v>
      </c>
      <c r="F25" s="25"/>
      <c r="G25" s="25">
        <f t="shared" si="0"/>
        <v>-0.25</v>
      </c>
    </row>
    <row r="26" spans="1:7" ht="12.75">
      <c r="A26" s="12" t="s">
        <v>1452</v>
      </c>
      <c r="B26" s="24" t="s">
        <v>1453</v>
      </c>
      <c r="C26" s="25">
        <f>17252+488+2000</f>
        <v>19740</v>
      </c>
      <c r="D26" s="25">
        <v>488.83</v>
      </c>
      <c r="E26" s="25">
        <v>17251.61</v>
      </c>
      <c r="F26" s="25"/>
      <c r="G26" s="25">
        <f t="shared" si="0"/>
        <v>1999.5599999999977</v>
      </c>
    </row>
    <row r="27" spans="1:7" ht="12.75">
      <c r="A27" s="12" t="s">
        <v>1454</v>
      </c>
      <c r="B27" s="24" t="s">
        <v>1455</v>
      </c>
      <c r="C27" s="25">
        <f>37740+3286+3000</f>
        <v>44026</v>
      </c>
      <c r="D27" s="25">
        <v>3285.92</v>
      </c>
      <c r="E27" s="25">
        <v>37740.14</v>
      </c>
      <c r="F27" s="25"/>
      <c r="G27" s="25">
        <f t="shared" si="0"/>
        <v>2999.9400000000023</v>
      </c>
    </row>
    <row r="28" spans="1:7" ht="12.75">
      <c r="A28" s="12" t="s">
        <v>1456</v>
      </c>
      <c r="B28" s="24" t="s">
        <v>1457</v>
      </c>
      <c r="C28" s="25">
        <v>63209</v>
      </c>
      <c r="D28" s="25">
        <v>0</v>
      </c>
      <c r="E28" s="25">
        <v>63209.13</v>
      </c>
      <c r="F28" s="25"/>
      <c r="G28" s="25">
        <f t="shared" si="0"/>
        <v>-0.12999999999738066</v>
      </c>
    </row>
    <row r="29" spans="1:221" s="29" customFormat="1" ht="12.75">
      <c r="A29" s="26" t="s">
        <v>1458</v>
      </c>
      <c r="B29" s="27" t="s">
        <v>1459</v>
      </c>
      <c r="C29" s="30">
        <v>87036</v>
      </c>
      <c r="D29" s="25">
        <f>25707.5-25707.5</f>
        <v>0</v>
      </c>
      <c r="E29" s="30">
        <v>87035.55</v>
      </c>
      <c r="F29" s="30"/>
      <c r="G29" s="30">
        <f t="shared" si="0"/>
        <v>0.4499999999970896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</row>
    <row r="30" spans="1:221" s="23" customFormat="1" ht="12.75">
      <c r="A30" s="20" t="s">
        <v>1460</v>
      </c>
      <c r="B30" s="21" t="s">
        <v>1461</v>
      </c>
      <c r="C30" s="22">
        <f>C31+C32+C33+C34+C35+C36+C37+C38+C39+C40</f>
        <v>2547736.3</v>
      </c>
      <c r="D30" s="22">
        <f>D31+D32+D33+D34+D35+D36+D37+D38+D39+D40</f>
        <v>125921</v>
      </c>
      <c r="E30" s="22">
        <f>E31+E32+E33+E34+E35+E36+E37+E38+E39+E40</f>
        <v>2370906.2100000004</v>
      </c>
      <c r="F30" s="22">
        <f>F31+F32+F33+F34+F35+F36+F37+F38+F39+F40</f>
        <v>0</v>
      </c>
      <c r="G30" s="22">
        <f t="shared" si="0"/>
        <v>50909.089999999385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</row>
    <row r="31" spans="1:221" s="34" customFormat="1" ht="12.75">
      <c r="A31" s="31" t="s">
        <v>1462</v>
      </c>
      <c r="B31" s="32" t="s">
        <v>1463</v>
      </c>
      <c r="C31" s="33">
        <f>233162-15000</f>
        <v>218162</v>
      </c>
      <c r="D31" s="33">
        <v>0</v>
      </c>
      <c r="E31" s="33">
        <v>218162</v>
      </c>
      <c r="F31" s="33"/>
      <c r="G31" s="33">
        <f t="shared" si="0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</row>
    <row r="32" spans="1:7" ht="12.75">
      <c r="A32" s="12" t="s">
        <v>1464</v>
      </c>
      <c r="B32" s="24" t="s">
        <v>1465</v>
      </c>
      <c r="C32" s="25">
        <f>270803+14000</f>
        <v>284803</v>
      </c>
      <c r="D32" s="25">
        <v>14000</v>
      </c>
      <c r="E32" s="25">
        <v>270802.7</v>
      </c>
      <c r="F32" s="25"/>
      <c r="G32" s="25">
        <f t="shared" si="0"/>
        <v>0.29999999998835847</v>
      </c>
    </row>
    <row r="33" spans="1:221" s="37" customFormat="1" ht="12.75">
      <c r="A33" s="56" t="s">
        <v>1466</v>
      </c>
      <c r="B33" s="36" t="s">
        <v>1467</v>
      </c>
      <c r="C33" s="25">
        <f>912835+9712+21000+72450+10750+8000</f>
        <v>1034747</v>
      </c>
      <c r="D33" s="25">
        <f>15000+944+72450+10750+8000</f>
        <v>107144</v>
      </c>
      <c r="E33" s="25">
        <f>(755319.4-62500)+163015.5+11500+36631.92+2400.21+1179.71</f>
        <v>907546.74</v>
      </c>
      <c r="F33" s="25"/>
      <c r="G33" s="25">
        <f t="shared" si="0"/>
        <v>20056.26000000001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</row>
    <row r="34" spans="1:7" ht="12.75">
      <c r="A34" s="12" t="s">
        <v>1468</v>
      </c>
      <c r="B34" s="24" t="s">
        <v>1469</v>
      </c>
      <c r="C34" s="25">
        <f>373307+2000</f>
        <v>375307</v>
      </c>
      <c r="D34" s="25">
        <v>2000</v>
      </c>
      <c r="E34" s="25">
        <v>373307</v>
      </c>
      <c r="F34" s="25"/>
      <c r="G34" s="25">
        <f t="shared" si="0"/>
        <v>0</v>
      </c>
    </row>
    <row r="35" spans="1:7" ht="12.75">
      <c r="A35" s="12" t="s">
        <v>1470</v>
      </c>
      <c r="B35" s="24" t="s">
        <v>1471</v>
      </c>
      <c r="C35" s="25">
        <v>209647</v>
      </c>
      <c r="D35" s="25">
        <v>90</v>
      </c>
      <c r="E35" s="25">
        <v>206542.06</v>
      </c>
      <c r="F35" s="25"/>
      <c r="G35" s="25">
        <f t="shared" si="0"/>
        <v>3014.9400000000023</v>
      </c>
    </row>
    <row r="36" spans="1:7" ht="12.75">
      <c r="A36" s="12" t="s">
        <v>1472</v>
      </c>
      <c r="B36" s="24" t="s">
        <v>1473</v>
      </c>
      <c r="C36" s="25">
        <f>158450-20000</f>
        <v>138450</v>
      </c>
      <c r="D36" s="25">
        <v>0</v>
      </c>
      <c r="E36" s="25">
        <v>138449.7</v>
      </c>
      <c r="F36" s="25"/>
      <c r="G36" s="25">
        <f t="shared" si="0"/>
        <v>0.29999999998835847</v>
      </c>
    </row>
    <row r="37" spans="1:7" ht="12.75">
      <c r="A37" s="12" t="s">
        <v>1474</v>
      </c>
      <c r="B37" s="24" t="s">
        <v>1475</v>
      </c>
      <c r="C37" s="25">
        <v>47028</v>
      </c>
      <c r="D37" s="25">
        <f>3447.38-760.38</f>
        <v>2687</v>
      </c>
      <c r="E37" s="25">
        <v>36975.72</v>
      </c>
      <c r="F37" s="25"/>
      <c r="G37" s="25">
        <f t="shared" si="0"/>
        <v>7365.279999999999</v>
      </c>
    </row>
    <row r="38" spans="1:7" ht="12.75">
      <c r="A38" s="12" t="s">
        <v>1476</v>
      </c>
      <c r="B38" s="24" t="s">
        <v>1477</v>
      </c>
      <c r="C38" s="25">
        <v>23523</v>
      </c>
      <c r="D38" s="25">
        <v>0</v>
      </c>
      <c r="E38" s="25">
        <v>8509.5</v>
      </c>
      <c r="F38" s="25"/>
      <c r="G38" s="25">
        <f t="shared" si="0"/>
        <v>15013.5</v>
      </c>
    </row>
    <row r="39" spans="1:7" ht="12.75">
      <c r="A39" s="12" t="s">
        <v>1478</v>
      </c>
      <c r="B39" s="24" t="s">
        <v>1479</v>
      </c>
      <c r="C39" s="25">
        <v>38791</v>
      </c>
      <c r="D39" s="25">
        <v>0</v>
      </c>
      <c r="E39" s="25">
        <v>33332.49</v>
      </c>
      <c r="F39" s="25"/>
      <c r="G39" s="25">
        <f t="shared" si="0"/>
        <v>5458.510000000002</v>
      </c>
    </row>
    <row r="40" spans="1:7" ht="12.75">
      <c r="A40" s="12" t="s">
        <v>1480</v>
      </c>
      <c r="B40" s="24" t="s">
        <v>1481</v>
      </c>
      <c r="C40" s="25">
        <v>177278.3</v>
      </c>
      <c r="D40" s="25">
        <v>0</v>
      </c>
      <c r="E40" s="25">
        <v>177278.3</v>
      </c>
      <c r="F40" s="25"/>
      <c r="G40" s="25">
        <f t="shared" si="0"/>
        <v>0</v>
      </c>
    </row>
    <row r="41" spans="1:221" s="23" customFormat="1" ht="12.75">
      <c r="A41" s="20" t="s">
        <v>1482</v>
      </c>
      <c r="B41" s="21" t="s">
        <v>1483</v>
      </c>
      <c r="C41" s="22">
        <f>SUM(C42:C49)</f>
        <v>612724</v>
      </c>
      <c r="D41" s="22">
        <f>SUM(D42:D49)</f>
        <v>70855.25</v>
      </c>
      <c r="E41" s="22">
        <f>SUM(E42:E49)</f>
        <v>526868.6</v>
      </c>
      <c r="F41" s="22">
        <f>SUM(F42:F49)</f>
        <v>0</v>
      </c>
      <c r="G41" s="22">
        <f t="shared" si="0"/>
        <v>15000.150000000023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</row>
    <row r="42" spans="1:7" ht="12.75">
      <c r="A42" s="12" t="s">
        <v>1484</v>
      </c>
      <c r="B42" s="24" t="s">
        <v>1430</v>
      </c>
      <c r="C42" s="25">
        <f>155302+655</f>
        <v>155957</v>
      </c>
      <c r="D42" s="25">
        <v>655.25</v>
      </c>
      <c r="E42" s="25">
        <v>155302</v>
      </c>
      <c r="F42" s="25"/>
      <c r="G42" s="25">
        <f t="shared" si="0"/>
        <v>-0.25</v>
      </c>
    </row>
    <row r="43" spans="1:7" ht="12.75">
      <c r="A43" s="12" t="s">
        <v>1485</v>
      </c>
      <c r="B43" s="24" t="s">
        <v>1446</v>
      </c>
      <c r="C43" s="25">
        <v>88744</v>
      </c>
      <c r="D43" s="25">
        <v>0</v>
      </c>
      <c r="E43" s="25">
        <v>88744</v>
      </c>
      <c r="F43" s="25"/>
      <c r="G43" s="25">
        <f t="shared" si="0"/>
        <v>0</v>
      </c>
    </row>
    <row r="44" spans="1:7" ht="12.75">
      <c r="A44" s="12" t="s">
        <v>1486</v>
      </c>
      <c r="B44" s="24" t="s">
        <v>1487</v>
      </c>
      <c r="C44" s="25">
        <v>27733</v>
      </c>
      <c r="D44" s="25">
        <v>0</v>
      </c>
      <c r="E44" s="25">
        <v>27733</v>
      </c>
      <c r="F44" s="25"/>
      <c r="G44" s="25">
        <f t="shared" si="0"/>
        <v>0</v>
      </c>
    </row>
    <row r="45" spans="1:7" ht="12.75">
      <c r="A45" s="12" t="s">
        <v>1488</v>
      </c>
      <c r="B45" s="24" t="s">
        <v>1489</v>
      </c>
      <c r="C45" s="25">
        <v>49919</v>
      </c>
      <c r="D45" s="25">
        <v>0</v>
      </c>
      <c r="E45" s="25">
        <v>49919</v>
      </c>
      <c r="F45" s="25"/>
      <c r="G45" s="25">
        <f t="shared" si="0"/>
        <v>0</v>
      </c>
    </row>
    <row r="46" spans="1:7" ht="12.75">
      <c r="A46" s="12" t="s">
        <v>1490</v>
      </c>
      <c r="B46" s="24" t="s">
        <v>1491</v>
      </c>
      <c r="C46" s="25">
        <v>55465</v>
      </c>
      <c r="D46" s="25">
        <v>0</v>
      </c>
      <c r="E46" s="25">
        <v>55465</v>
      </c>
      <c r="F46" s="25"/>
      <c r="G46" s="25">
        <f t="shared" si="0"/>
        <v>0</v>
      </c>
    </row>
    <row r="47" spans="1:7" ht="12.75">
      <c r="A47" s="12" t="s">
        <v>1492</v>
      </c>
      <c r="B47" s="24" t="s">
        <v>1493</v>
      </c>
      <c r="C47" s="25">
        <v>99837</v>
      </c>
      <c r="D47" s="25">
        <v>0</v>
      </c>
      <c r="E47" s="25">
        <v>99837</v>
      </c>
      <c r="F47" s="25"/>
      <c r="G47" s="25">
        <f t="shared" si="0"/>
        <v>0</v>
      </c>
    </row>
    <row r="48" spans="1:7" ht="12.75">
      <c r="A48" s="12" t="s">
        <v>1494</v>
      </c>
      <c r="B48" s="24" t="s">
        <v>1495</v>
      </c>
      <c r="C48" s="25">
        <v>37869</v>
      </c>
      <c r="D48" s="25">
        <v>0</v>
      </c>
      <c r="E48" s="25">
        <v>22868.6</v>
      </c>
      <c r="F48" s="25"/>
      <c r="G48" s="25">
        <f t="shared" si="0"/>
        <v>15000.400000000001</v>
      </c>
    </row>
    <row r="49" spans="1:7" ht="12.75">
      <c r="A49" s="12" t="s">
        <v>1496</v>
      </c>
      <c r="B49" s="24" t="s">
        <v>1459</v>
      </c>
      <c r="C49" s="25">
        <f>27000+70200</f>
        <v>97200</v>
      </c>
      <c r="D49" s="25">
        <v>70200</v>
      </c>
      <c r="E49" s="25">
        <v>27000</v>
      </c>
      <c r="F49" s="25"/>
      <c r="G49" s="25">
        <f t="shared" si="0"/>
        <v>0</v>
      </c>
    </row>
    <row r="50" spans="1:221" s="23" customFormat="1" ht="12.75">
      <c r="A50" s="20" t="s">
        <v>1497</v>
      </c>
      <c r="B50" s="21" t="s">
        <v>1498</v>
      </c>
      <c r="C50" s="22">
        <f>SUM(C51:C58)</f>
        <v>2622983</v>
      </c>
      <c r="D50" s="22">
        <f>SUM(D51:D58)</f>
        <v>672532.82</v>
      </c>
      <c r="E50" s="22">
        <f>SUM(E51:E58)</f>
        <v>1377972.2380000001</v>
      </c>
      <c r="F50" s="22">
        <f>SUM(F51:F58)</f>
        <v>0</v>
      </c>
      <c r="G50" s="22">
        <f t="shared" si="0"/>
        <v>572477.942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</row>
    <row r="51" spans="1:7" ht="12.75">
      <c r="A51" s="12" t="s">
        <v>1499</v>
      </c>
      <c r="B51" s="24" t="s">
        <v>1500</v>
      </c>
      <c r="C51" s="25">
        <f>140381+10038</f>
        <v>150419</v>
      </c>
      <c r="D51" s="25">
        <v>20535</v>
      </c>
      <c r="E51" s="25">
        <v>129883.85</v>
      </c>
      <c r="F51" s="25"/>
      <c r="G51" s="25">
        <f t="shared" si="0"/>
        <v>0.14999999999417923</v>
      </c>
    </row>
    <row r="52" spans="1:7" ht="12.75">
      <c r="A52" s="12" t="s">
        <v>1501</v>
      </c>
      <c r="B52" s="24" t="s">
        <v>1502</v>
      </c>
      <c r="C52" s="25">
        <f>316592+14237+16620</f>
        <v>347449</v>
      </c>
      <c r="D52" s="25">
        <f>24825-15200+16620</f>
        <v>26245</v>
      </c>
      <c r="E52" s="25">
        <f>306591.66+14612</f>
        <v>321203.66</v>
      </c>
      <c r="F52" s="25"/>
      <c r="G52" s="25">
        <f t="shared" si="0"/>
        <v>0.34000000002561137</v>
      </c>
    </row>
    <row r="53" spans="1:7" ht="12.75">
      <c r="A53" s="12" t="s">
        <v>1503</v>
      </c>
      <c r="B53" s="24" t="s">
        <v>1504</v>
      </c>
      <c r="C53" s="25">
        <v>344216</v>
      </c>
      <c r="D53" s="25">
        <v>74369.62</v>
      </c>
      <c r="E53" s="25">
        <v>250216.398</v>
      </c>
      <c r="F53" s="25"/>
      <c r="G53" s="25">
        <f t="shared" si="0"/>
        <v>19629.982000000018</v>
      </c>
    </row>
    <row r="54" spans="1:7" ht="12.75">
      <c r="A54" s="12" t="s">
        <v>1505</v>
      </c>
      <c r="B54" s="24" t="s">
        <v>1003</v>
      </c>
      <c r="C54" s="25">
        <v>682034</v>
      </c>
      <c r="D54" s="25">
        <f>522635.2+426+4215</f>
        <v>527276.2</v>
      </c>
      <c r="E54" s="25">
        <v>121673.13</v>
      </c>
      <c r="F54" s="25"/>
      <c r="G54" s="25">
        <f t="shared" si="0"/>
        <v>33084.67000000004</v>
      </c>
    </row>
    <row r="55" spans="1:7" ht="12.75">
      <c r="A55" s="12" t="s">
        <v>1506</v>
      </c>
      <c r="B55" s="24" t="s">
        <v>1004</v>
      </c>
      <c r="C55" s="25">
        <v>425736</v>
      </c>
      <c r="D55" s="25">
        <v>10408</v>
      </c>
      <c r="E55" s="25">
        <v>363885.14</v>
      </c>
      <c r="F55" s="25"/>
      <c r="G55" s="25">
        <f t="shared" si="0"/>
        <v>51442.859999999986</v>
      </c>
    </row>
    <row r="56" spans="1:7" ht="12.75">
      <c r="A56" s="12" t="s">
        <v>1507</v>
      </c>
      <c r="B56" s="24" t="s">
        <v>1508</v>
      </c>
      <c r="C56" s="25">
        <v>113460</v>
      </c>
      <c r="D56" s="25">
        <v>0</v>
      </c>
      <c r="E56" s="25">
        <v>7460</v>
      </c>
      <c r="F56" s="25"/>
      <c r="G56" s="25">
        <f t="shared" si="0"/>
        <v>106000</v>
      </c>
    </row>
    <row r="57" spans="1:7" ht="12.75">
      <c r="A57" s="12" t="s">
        <v>1509</v>
      </c>
      <c r="B57" s="24" t="s">
        <v>1510</v>
      </c>
      <c r="C57" s="25">
        <v>80669</v>
      </c>
      <c r="D57" s="25">
        <v>0</v>
      </c>
      <c r="E57" s="25">
        <v>35669.06</v>
      </c>
      <c r="F57" s="25"/>
      <c r="G57" s="25">
        <f t="shared" si="0"/>
        <v>44999.94</v>
      </c>
    </row>
    <row r="58" spans="1:7" ht="12.75">
      <c r="A58" s="12" t="s">
        <v>1511</v>
      </c>
      <c r="B58" s="24" t="s">
        <v>1512</v>
      </c>
      <c r="C58" s="25">
        <v>479000</v>
      </c>
      <c r="D58" s="25">
        <f>13699</f>
        <v>13699</v>
      </c>
      <c r="E58" s="25">
        <v>147981</v>
      </c>
      <c r="F58" s="25"/>
      <c r="G58" s="25">
        <f t="shared" si="0"/>
        <v>317320</v>
      </c>
    </row>
    <row r="59" spans="1:221" s="23" customFormat="1" ht="12.75">
      <c r="A59" s="20" t="s">
        <v>1513</v>
      </c>
      <c r="B59" s="21" t="s">
        <v>1514</v>
      </c>
      <c r="C59" s="22">
        <f>SUM(C60:C64)</f>
        <v>114582</v>
      </c>
      <c r="D59" s="22">
        <f>SUM(D60:D64)</f>
        <v>25769.5</v>
      </c>
      <c r="E59" s="22">
        <f>SUM(E60:E64)</f>
        <v>44366.58</v>
      </c>
      <c r="F59" s="22">
        <f>SUM(F60:F64)</f>
        <v>0</v>
      </c>
      <c r="G59" s="22">
        <f t="shared" si="0"/>
        <v>44445.92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</row>
    <row r="60" spans="1:7" ht="12.75">
      <c r="A60" s="12" t="s">
        <v>1515</v>
      </c>
      <c r="B60" s="24" t="s">
        <v>1516</v>
      </c>
      <c r="C60" s="25">
        <f>22000+10000</f>
        <v>32000</v>
      </c>
      <c r="D60" s="25">
        <f>8384.1</f>
        <v>8384.1</v>
      </c>
      <c r="E60" s="25">
        <v>11520</v>
      </c>
      <c r="F60" s="25"/>
      <c r="G60" s="25">
        <f t="shared" si="0"/>
        <v>12095.900000000001</v>
      </c>
    </row>
    <row r="61" spans="1:7" ht="12.75">
      <c r="A61" s="12" t="s">
        <v>1517</v>
      </c>
      <c r="B61" s="24" t="s">
        <v>1518</v>
      </c>
      <c r="C61" s="25">
        <v>10000</v>
      </c>
      <c r="D61" s="25">
        <v>0</v>
      </c>
      <c r="E61" s="25">
        <v>0</v>
      </c>
      <c r="F61" s="25"/>
      <c r="G61" s="25">
        <f t="shared" si="0"/>
        <v>10000</v>
      </c>
    </row>
    <row r="62" spans="1:7" ht="12.75">
      <c r="A62" s="12" t="s">
        <v>1519</v>
      </c>
      <c r="B62" s="24" t="s">
        <v>1520</v>
      </c>
      <c r="C62" s="25">
        <v>42582</v>
      </c>
      <c r="D62" s="25">
        <f>4263.4+1514</f>
        <v>5777.4</v>
      </c>
      <c r="E62" s="25">
        <v>27581.58</v>
      </c>
      <c r="F62" s="25"/>
      <c r="G62" s="25">
        <f t="shared" si="0"/>
        <v>9223.019999999997</v>
      </c>
    </row>
    <row r="63" spans="1:7" ht="12.75">
      <c r="A63" s="12" t="s">
        <v>1521</v>
      </c>
      <c r="B63" s="24" t="s">
        <v>1522</v>
      </c>
      <c r="C63" s="25">
        <v>10000</v>
      </c>
      <c r="D63" s="25">
        <v>0</v>
      </c>
      <c r="E63" s="25">
        <v>0</v>
      </c>
      <c r="F63" s="25"/>
      <c r="G63" s="25">
        <f t="shared" si="0"/>
        <v>10000</v>
      </c>
    </row>
    <row r="64" spans="1:7" ht="12.75">
      <c r="A64" s="12" t="s">
        <v>1523</v>
      </c>
      <c r="B64" s="24" t="s">
        <v>1524</v>
      </c>
      <c r="C64" s="25">
        <v>20000</v>
      </c>
      <c r="D64" s="25">
        <v>11608</v>
      </c>
      <c r="E64" s="25">
        <v>5265</v>
      </c>
      <c r="F64" s="25"/>
      <c r="G64" s="25">
        <f t="shared" si="0"/>
        <v>3127</v>
      </c>
    </row>
    <row r="65" spans="1:221" s="23" customFormat="1" ht="12.75">
      <c r="A65" s="20" t="s">
        <v>1525</v>
      </c>
      <c r="B65" s="21" t="s">
        <v>1526</v>
      </c>
      <c r="C65" s="22">
        <f>SUM(C66:C68)</f>
        <v>40000</v>
      </c>
      <c r="D65" s="22">
        <f>SUM(D66:D68)</f>
        <v>0</v>
      </c>
      <c r="E65" s="22">
        <f>SUM(E66:E68)</f>
        <v>0</v>
      </c>
      <c r="F65" s="22">
        <f>SUM(F66:F68)</f>
        <v>0</v>
      </c>
      <c r="G65" s="22">
        <f t="shared" si="0"/>
        <v>40000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</row>
    <row r="66" spans="1:7" ht="12.75">
      <c r="A66" s="12" t="s">
        <v>1527</v>
      </c>
      <c r="B66" s="24" t="s">
        <v>1528</v>
      </c>
      <c r="C66" s="25">
        <f>10000+5000</f>
        <v>15000</v>
      </c>
      <c r="D66" s="25">
        <v>0</v>
      </c>
      <c r="E66" s="25">
        <v>0</v>
      </c>
      <c r="F66" s="25"/>
      <c r="G66" s="25">
        <f t="shared" si="0"/>
        <v>15000</v>
      </c>
    </row>
    <row r="67" spans="1:7" ht="12.75">
      <c r="A67" s="12" t="s">
        <v>1529</v>
      </c>
      <c r="B67" s="24" t="s">
        <v>1530</v>
      </c>
      <c r="C67" s="25">
        <f>10000+5000</f>
        <v>15000</v>
      </c>
      <c r="D67" s="25">
        <v>0</v>
      </c>
      <c r="E67" s="25">
        <v>0</v>
      </c>
      <c r="F67" s="25"/>
      <c r="G67" s="25">
        <f t="shared" si="0"/>
        <v>15000</v>
      </c>
    </row>
    <row r="68" spans="1:7" ht="12.75">
      <c r="A68" s="12" t="s">
        <v>1531</v>
      </c>
      <c r="B68" s="24" t="s">
        <v>1532</v>
      </c>
      <c r="C68" s="25">
        <f>5000+5000</f>
        <v>10000</v>
      </c>
      <c r="D68" s="25">
        <v>0</v>
      </c>
      <c r="E68" s="25">
        <v>0</v>
      </c>
      <c r="F68" s="25"/>
      <c r="G68" s="25">
        <f aca="true" t="shared" si="1" ref="G68:G131">C68-D68-E68</f>
        <v>10000</v>
      </c>
    </row>
    <row r="69" spans="1:221" s="19" customFormat="1" ht="12.75">
      <c r="A69" s="16" t="s">
        <v>1533</v>
      </c>
      <c r="B69" s="17" t="s">
        <v>1534</v>
      </c>
      <c r="C69" s="18">
        <f>C70+C84+C92+C100+C117+C133+C145</f>
        <v>7733722.1</v>
      </c>
      <c r="D69" s="18">
        <f>D70+D84+D92+D100+D117+D133+D145</f>
        <v>439974.25</v>
      </c>
      <c r="E69" s="18">
        <f>E70+E84+E92+E100+E117+E133+E145</f>
        <v>6976329.4180000005</v>
      </c>
      <c r="F69" s="18">
        <f>F70+F84+F92+F100+F117+F133+F145</f>
        <v>0</v>
      </c>
      <c r="G69" s="18">
        <f t="shared" si="1"/>
        <v>317418.4319999991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</row>
    <row r="70" spans="1:221" s="23" customFormat="1" ht="12.75">
      <c r="A70" s="20" t="s">
        <v>1535</v>
      </c>
      <c r="B70" s="21" t="s">
        <v>1536</v>
      </c>
      <c r="C70" s="22">
        <f>C71+C74+C75+C76+C77+C78+C79+C83</f>
        <v>978216.5</v>
      </c>
      <c r="D70" s="22">
        <f>D71+D74+D75+D76+D77+D78+D79+D83</f>
        <v>112422.04000000001</v>
      </c>
      <c r="E70" s="22">
        <f>E71+E74+E75+E76+E77+E78+E79+E83</f>
        <v>860418.4400000001</v>
      </c>
      <c r="F70" s="22">
        <f>F71+F74+F75+F76+F77+F78+F79+F83</f>
        <v>0</v>
      </c>
      <c r="G70" s="22">
        <f t="shared" si="1"/>
        <v>5376.019999999902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</row>
    <row r="71" spans="1:7" ht="12.75">
      <c r="A71" s="12" t="s">
        <v>1537</v>
      </c>
      <c r="B71" s="24" t="s">
        <v>1538</v>
      </c>
      <c r="C71" s="39">
        <f>SUM(C72:C73)</f>
        <v>443449</v>
      </c>
      <c r="D71" s="39">
        <f>SUM(D72:D73)</f>
        <v>0</v>
      </c>
      <c r="E71" s="39">
        <f>SUM(E72:E73)</f>
        <v>443449</v>
      </c>
      <c r="F71" s="39">
        <f>SUM(F72:F73)</f>
        <v>0</v>
      </c>
      <c r="G71" s="39">
        <f t="shared" si="1"/>
        <v>0</v>
      </c>
    </row>
    <row r="72" spans="1:7" ht="12.75">
      <c r="A72" s="12" t="s">
        <v>1539</v>
      </c>
      <c r="B72" s="24" t="s">
        <v>1538</v>
      </c>
      <c r="C72" s="25">
        <v>433449</v>
      </c>
      <c r="D72" s="25">
        <v>0</v>
      </c>
      <c r="E72" s="25">
        <v>433449</v>
      </c>
      <c r="F72" s="25"/>
      <c r="G72" s="25">
        <f t="shared" si="1"/>
        <v>0</v>
      </c>
    </row>
    <row r="73" spans="1:7" ht="12.75">
      <c r="A73" s="12" t="s">
        <v>1540</v>
      </c>
      <c r="B73" s="24" t="s">
        <v>1541</v>
      </c>
      <c r="C73" s="25">
        <v>10000</v>
      </c>
      <c r="D73" s="25">
        <v>0</v>
      </c>
      <c r="E73" s="25">
        <v>10000</v>
      </c>
      <c r="F73" s="25"/>
      <c r="G73" s="25">
        <f t="shared" si="1"/>
        <v>0</v>
      </c>
    </row>
    <row r="74" spans="1:7" ht="12.75">
      <c r="A74" s="12" t="s">
        <v>1542</v>
      </c>
      <c r="B74" s="24" t="s">
        <v>1543</v>
      </c>
      <c r="C74" s="25">
        <v>6000</v>
      </c>
      <c r="D74" s="25">
        <v>0</v>
      </c>
      <c r="E74" s="25">
        <v>2990.26</v>
      </c>
      <c r="F74" s="25"/>
      <c r="G74" s="25">
        <f t="shared" si="1"/>
        <v>3009.74</v>
      </c>
    </row>
    <row r="75" spans="1:7" ht="12.75">
      <c r="A75" s="55" t="s">
        <v>1544</v>
      </c>
      <c r="B75" s="24" t="s">
        <v>1545</v>
      </c>
      <c r="C75" s="25">
        <f>174764+57656+6985</f>
        <v>239405</v>
      </c>
      <c r="D75" s="25">
        <f>23579.5+84387-16590+7006.45+6985</f>
        <v>105367.95</v>
      </c>
      <c r="E75" s="25">
        <v>134036.81</v>
      </c>
      <c r="F75" s="25"/>
      <c r="G75" s="25">
        <f t="shared" si="1"/>
        <v>0.23999999999068677</v>
      </c>
    </row>
    <row r="76" spans="1:7" ht="12.75">
      <c r="A76" s="12" t="s">
        <v>1546</v>
      </c>
      <c r="B76" s="24" t="s">
        <v>1547</v>
      </c>
      <c r="C76" s="25">
        <f>10272+2036</f>
        <v>12308</v>
      </c>
      <c r="D76" s="25">
        <v>3035.88</v>
      </c>
      <c r="E76" s="25">
        <v>9272</v>
      </c>
      <c r="F76" s="25"/>
      <c r="G76" s="25">
        <f t="shared" si="1"/>
        <v>0.11999999999898137</v>
      </c>
    </row>
    <row r="77" spans="1:7" ht="12.75">
      <c r="A77" s="12" t="s">
        <v>1548</v>
      </c>
      <c r="B77" s="24" t="s">
        <v>1549</v>
      </c>
      <c r="C77" s="25">
        <f>78000+43857.5</f>
        <v>121857.5</v>
      </c>
      <c r="D77" s="25">
        <v>0</v>
      </c>
      <c r="E77" s="25">
        <f>74857.5+47000</f>
        <v>121857.5</v>
      </c>
      <c r="F77" s="25"/>
      <c r="G77" s="25">
        <f t="shared" si="1"/>
        <v>0</v>
      </c>
    </row>
    <row r="78" spans="1:7" ht="12.75">
      <c r="A78" s="12" t="s">
        <v>1550</v>
      </c>
      <c r="B78" s="24" t="s">
        <v>1551</v>
      </c>
      <c r="C78" s="25">
        <v>23244</v>
      </c>
      <c r="D78" s="25">
        <v>0</v>
      </c>
      <c r="E78" s="25">
        <v>23243.85</v>
      </c>
      <c r="F78" s="25"/>
      <c r="G78" s="25">
        <f t="shared" si="1"/>
        <v>0.1500000000014552</v>
      </c>
    </row>
    <row r="79" spans="1:221" s="29" customFormat="1" ht="12.75">
      <c r="A79" s="26" t="s">
        <v>1552</v>
      </c>
      <c r="B79" s="27" t="s">
        <v>1553</v>
      </c>
      <c r="C79" s="28">
        <f>C80</f>
        <v>116063</v>
      </c>
      <c r="D79" s="28">
        <f>D80</f>
        <v>2290.21</v>
      </c>
      <c r="E79" s="28">
        <f>E80</f>
        <v>111407.02</v>
      </c>
      <c r="F79" s="28">
        <f>F80</f>
        <v>0</v>
      </c>
      <c r="G79" s="28">
        <f t="shared" si="1"/>
        <v>2365.7699999999895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</row>
    <row r="80" spans="1:221" s="41" customFormat="1" ht="12.75">
      <c r="A80" s="50" t="s">
        <v>1554</v>
      </c>
      <c r="B80" s="48" t="s">
        <v>1555</v>
      </c>
      <c r="C80" s="40">
        <f>SUM(C81:C82)</f>
        <v>116063</v>
      </c>
      <c r="D80" s="40">
        <f>SUM(D81:D82)</f>
        <v>2290.21</v>
      </c>
      <c r="E80" s="40">
        <f>SUM(E81:E82)</f>
        <v>111407.02</v>
      </c>
      <c r="F80" s="40">
        <f>SUM(F81:F82)</f>
        <v>0</v>
      </c>
      <c r="G80" s="40">
        <f t="shared" si="1"/>
        <v>2365.7699999999895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</row>
    <row r="81" spans="1:7" ht="12.75">
      <c r="A81" s="12" t="s">
        <v>1556</v>
      </c>
      <c r="B81" s="24" t="s">
        <v>1557</v>
      </c>
      <c r="C81" s="25">
        <f>93471+3352</f>
        <v>96823</v>
      </c>
      <c r="D81" s="25">
        <v>2290.21</v>
      </c>
      <c r="E81" s="25">
        <v>94533.02</v>
      </c>
      <c r="F81" s="25"/>
      <c r="G81" s="25">
        <f t="shared" si="1"/>
        <v>-0.23000000001047738</v>
      </c>
    </row>
    <row r="82" spans="1:7" ht="12.75">
      <c r="A82" s="12" t="s">
        <v>1558</v>
      </c>
      <c r="B82" s="24" t="s">
        <v>1559</v>
      </c>
      <c r="C82" s="25">
        <f>22240-3000</f>
        <v>19240</v>
      </c>
      <c r="D82" s="25">
        <v>0</v>
      </c>
      <c r="E82" s="25">
        <v>16874</v>
      </c>
      <c r="F82" s="25"/>
      <c r="G82" s="25">
        <f t="shared" si="1"/>
        <v>2366</v>
      </c>
    </row>
    <row r="83" spans="1:7" ht="12.75">
      <c r="A83" s="12" t="s">
        <v>872</v>
      </c>
      <c r="B83" s="24" t="s">
        <v>873</v>
      </c>
      <c r="C83" s="25">
        <f>40000-24190+80</f>
        <v>15890</v>
      </c>
      <c r="D83" s="25">
        <f>1648+80</f>
        <v>1728</v>
      </c>
      <c r="E83" s="25">
        <v>14162</v>
      </c>
      <c r="F83" s="25"/>
      <c r="G83" s="25">
        <f t="shared" si="1"/>
        <v>0</v>
      </c>
    </row>
    <row r="84" spans="1:221" s="23" customFormat="1" ht="12.75">
      <c r="A84" s="20" t="s">
        <v>1560</v>
      </c>
      <c r="B84" s="21" t="s">
        <v>1561</v>
      </c>
      <c r="C84" s="22">
        <f>SUM(C85:C91)</f>
        <v>1125142</v>
      </c>
      <c r="D84" s="22">
        <f>SUM(D85:D91)</f>
        <v>72585</v>
      </c>
      <c r="E84" s="22">
        <f>SUM(E85:E91)</f>
        <v>973837.9299999999</v>
      </c>
      <c r="F84" s="22">
        <f>SUM(F85:F91)</f>
        <v>0</v>
      </c>
      <c r="G84" s="22">
        <f t="shared" si="1"/>
        <v>78719.07000000007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</row>
    <row r="85" spans="1:7" ht="12.75">
      <c r="A85" s="12" t="s">
        <v>1562</v>
      </c>
      <c r="B85" s="24" t="s">
        <v>1563</v>
      </c>
      <c r="C85" s="25">
        <f>687500+16063+75000</f>
        <v>778563</v>
      </c>
      <c r="D85" s="25">
        <v>0</v>
      </c>
      <c r="E85" s="25">
        <f>687500+16063</f>
        <v>703563</v>
      </c>
      <c r="F85" s="25"/>
      <c r="G85" s="25">
        <f t="shared" si="1"/>
        <v>75000</v>
      </c>
    </row>
    <row r="86" spans="1:7" ht="12.75">
      <c r="A86" s="12" t="s">
        <v>1564</v>
      </c>
      <c r="B86" s="24" t="s">
        <v>1565</v>
      </c>
      <c r="C86" s="25">
        <f>130000-4000</f>
        <v>126000</v>
      </c>
      <c r="D86" s="25">
        <f>53495+6090+10500</f>
        <v>70085</v>
      </c>
      <c r="E86" s="25">
        <v>52195.85</v>
      </c>
      <c r="F86" s="25"/>
      <c r="G86" s="25">
        <f t="shared" si="1"/>
        <v>3719.1500000000015</v>
      </c>
    </row>
    <row r="87" spans="1:7" ht="12.75">
      <c r="A87" s="12" t="s">
        <v>1566</v>
      </c>
      <c r="B87" s="24" t="s">
        <v>1567</v>
      </c>
      <c r="C87" s="25">
        <v>0</v>
      </c>
      <c r="D87" s="25">
        <v>0</v>
      </c>
      <c r="E87" s="25">
        <v>0</v>
      </c>
      <c r="F87" s="25"/>
      <c r="G87" s="25">
        <f t="shared" si="1"/>
        <v>0</v>
      </c>
    </row>
    <row r="88" spans="1:7" ht="12.75">
      <c r="A88" s="12" t="s">
        <v>1568</v>
      </c>
      <c r="B88" s="24" t="s">
        <v>1569</v>
      </c>
      <c r="C88" s="25">
        <v>18000</v>
      </c>
      <c r="D88" s="25">
        <v>0</v>
      </c>
      <c r="E88" s="25">
        <v>18000</v>
      </c>
      <c r="F88" s="25"/>
      <c r="G88" s="25">
        <f t="shared" si="1"/>
        <v>0</v>
      </c>
    </row>
    <row r="89" spans="1:7" ht="12.75">
      <c r="A89" s="12" t="s">
        <v>1570</v>
      </c>
      <c r="B89" s="24" t="s">
        <v>1571</v>
      </c>
      <c r="C89" s="25">
        <f>31150+2500</f>
        <v>33650</v>
      </c>
      <c r="D89" s="25">
        <v>2500</v>
      </c>
      <c r="E89" s="25">
        <v>31150.08</v>
      </c>
      <c r="F89" s="25"/>
      <c r="G89" s="25">
        <f t="shared" si="1"/>
        <v>-0.08000000000174623</v>
      </c>
    </row>
    <row r="90" spans="1:7" ht="12.75">
      <c r="A90" s="12" t="s">
        <v>1572</v>
      </c>
      <c r="B90" s="24" t="s">
        <v>1573</v>
      </c>
      <c r="C90" s="25">
        <v>26429</v>
      </c>
      <c r="D90" s="25">
        <f>3900-3900</f>
        <v>0</v>
      </c>
      <c r="E90" s="25">
        <v>26429</v>
      </c>
      <c r="F90" s="25"/>
      <c r="G90" s="25">
        <f t="shared" si="1"/>
        <v>0</v>
      </c>
    </row>
    <row r="91" spans="1:7" ht="12.75">
      <c r="A91" s="55" t="s">
        <v>1574</v>
      </c>
      <c r="B91" s="24" t="s">
        <v>1575</v>
      </c>
      <c r="C91" s="25">
        <v>142500</v>
      </c>
      <c r="D91" s="25">
        <v>0</v>
      </c>
      <c r="E91" s="25">
        <v>142500</v>
      </c>
      <c r="F91" s="25"/>
      <c r="G91" s="25">
        <f t="shared" si="1"/>
        <v>0</v>
      </c>
    </row>
    <row r="92" spans="1:221" s="23" customFormat="1" ht="12.75">
      <c r="A92" s="20" t="s">
        <v>1576</v>
      </c>
      <c r="B92" s="21" t="s">
        <v>1577</v>
      </c>
      <c r="C92" s="22">
        <f>C93+C99</f>
        <v>4730314</v>
      </c>
      <c r="D92" s="22">
        <f>D93+D99</f>
        <v>31324.33</v>
      </c>
      <c r="E92" s="22">
        <f>E93+E99</f>
        <v>4673989.266</v>
      </c>
      <c r="F92" s="22">
        <f>F93+F99</f>
        <v>0</v>
      </c>
      <c r="G92" s="22">
        <f t="shared" si="1"/>
        <v>25000.404000000097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</row>
    <row r="93" spans="1:221" s="43" customFormat="1" ht="12.75">
      <c r="A93" s="51" t="s">
        <v>1578</v>
      </c>
      <c r="B93" s="49" t="s">
        <v>1579</v>
      </c>
      <c r="C93" s="42">
        <f>SUM(C94:C98)</f>
        <v>4602275</v>
      </c>
      <c r="D93" s="42">
        <f>SUM(D94:D98)</f>
        <v>31324.33</v>
      </c>
      <c r="E93" s="42">
        <f>SUM(E94:E98)</f>
        <v>4545950.256</v>
      </c>
      <c r="F93" s="42">
        <f>SUM(F94:F98)</f>
        <v>0</v>
      </c>
      <c r="G93" s="42">
        <f t="shared" si="1"/>
        <v>25000.413999999873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</row>
    <row r="94" spans="1:7" ht="12.75">
      <c r="A94" s="12" t="s">
        <v>1580</v>
      </c>
      <c r="B94" s="24" t="s">
        <v>1581</v>
      </c>
      <c r="C94" s="25">
        <v>3158000</v>
      </c>
      <c r="D94" s="25">
        <v>0</v>
      </c>
      <c r="E94" s="25">
        <v>3158000</v>
      </c>
      <c r="F94" s="25"/>
      <c r="G94" s="25">
        <f t="shared" si="1"/>
        <v>0</v>
      </c>
    </row>
    <row r="95" spans="1:7" ht="12.75">
      <c r="A95" s="12" t="s">
        <v>1582</v>
      </c>
      <c r="B95" s="24" t="s">
        <v>1583</v>
      </c>
      <c r="C95" s="25">
        <f>432277+108325</f>
        <v>540602</v>
      </c>
      <c r="D95" s="25">
        <f>14581.5+11655+5087.83</f>
        <v>31324.33</v>
      </c>
      <c r="E95" s="25">
        <f>441277.456+68000</f>
        <v>509277.456</v>
      </c>
      <c r="F95" s="25"/>
      <c r="G95" s="25">
        <f t="shared" si="1"/>
        <v>0.21399999997811392</v>
      </c>
    </row>
    <row r="96" spans="1:7" ht="12.75">
      <c r="A96" s="12" t="s">
        <v>1584</v>
      </c>
      <c r="B96" s="24" t="s">
        <v>1585</v>
      </c>
      <c r="C96" s="25">
        <v>220132</v>
      </c>
      <c r="D96" s="25">
        <v>0</v>
      </c>
      <c r="E96" s="25">
        <v>220131.8</v>
      </c>
      <c r="F96" s="25"/>
      <c r="G96" s="25">
        <f t="shared" si="1"/>
        <v>0.20000000001164153</v>
      </c>
    </row>
    <row r="97" spans="1:7" ht="12.75">
      <c r="A97" s="12" t="s">
        <v>1586</v>
      </c>
      <c r="B97" s="24" t="s">
        <v>1587</v>
      </c>
      <c r="C97" s="25">
        <f>445598+81643+25000</f>
        <v>552241</v>
      </c>
      <c r="D97" s="25">
        <v>0</v>
      </c>
      <c r="E97" s="25">
        <f>445598+81643</f>
        <v>527241</v>
      </c>
      <c r="F97" s="25"/>
      <c r="G97" s="25">
        <f t="shared" si="1"/>
        <v>25000</v>
      </c>
    </row>
    <row r="98" spans="1:7" ht="12.75">
      <c r="A98" s="12" t="s">
        <v>1588</v>
      </c>
      <c r="B98" s="24" t="s">
        <v>1589</v>
      </c>
      <c r="C98" s="25">
        <v>131300</v>
      </c>
      <c r="D98" s="25">
        <v>0</v>
      </c>
      <c r="E98" s="25">
        <v>131300</v>
      </c>
      <c r="F98" s="25"/>
      <c r="G98" s="25">
        <f t="shared" si="1"/>
        <v>0</v>
      </c>
    </row>
    <row r="99" spans="1:7" ht="12.75">
      <c r="A99" s="55" t="s">
        <v>1590</v>
      </c>
      <c r="B99" s="24" t="s">
        <v>1591</v>
      </c>
      <c r="C99" s="25">
        <v>128039</v>
      </c>
      <c r="D99" s="25">
        <v>0</v>
      </c>
      <c r="E99" s="25">
        <v>128039.01</v>
      </c>
      <c r="F99" s="25"/>
      <c r="G99" s="25">
        <f t="shared" si="1"/>
        <v>-0.00999999999476131</v>
      </c>
    </row>
    <row r="100" spans="1:221" s="23" customFormat="1" ht="12.75">
      <c r="A100" s="20" t="s">
        <v>1592</v>
      </c>
      <c r="B100" s="21" t="s">
        <v>1593</v>
      </c>
      <c r="C100" s="22">
        <f>C101+C102+C108+C111+C114</f>
        <v>371007.6</v>
      </c>
      <c r="D100" s="22">
        <f>D101+D102+D108+D111+D114</f>
        <v>98776.1</v>
      </c>
      <c r="E100" s="22">
        <f>E101+E102+E108+E111+E114</f>
        <v>127732.70000000001</v>
      </c>
      <c r="F100" s="22">
        <f>F101+F102+F108+F111+F114</f>
        <v>0</v>
      </c>
      <c r="G100" s="22">
        <f t="shared" si="1"/>
        <v>144498.8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</row>
    <row r="101" spans="1:7" ht="12.75">
      <c r="A101" s="12" t="s">
        <v>1594</v>
      </c>
      <c r="B101" s="24" t="s">
        <v>1595</v>
      </c>
      <c r="C101" s="25">
        <f>17545.6+1572</f>
        <v>19117.6</v>
      </c>
      <c r="D101" s="25">
        <v>0</v>
      </c>
      <c r="E101" s="25">
        <v>19117.8</v>
      </c>
      <c r="F101" s="25"/>
      <c r="G101" s="25">
        <f t="shared" si="1"/>
        <v>-0.2000000000007276</v>
      </c>
    </row>
    <row r="102" spans="1:221" s="29" customFormat="1" ht="12.75">
      <c r="A102" s="52" t="s">
        <v>1596</v>
      </c>
      <c r="B102" s="27" t="s">
        <v>1597</v>
      </c>
      <c r="C102" s="44">
        <f>SUM(C103:C107)</f>
        <v>210290</v>
      </c>
      <c r="D102" s="44">
        <f>SUM(D103:D107)</f>
        <v>98776.1</v>
      </c>
      <c r="E102" s="44">
        <f>SUM(E103:E107)</f>
        <v>25970.92</v>
      </c>
      <c r="F102" s="44">
        <f>SUM(F103:F107)</f>
        <v>0</v>
      </c>
      <c r="G102" s="44">
        <f t="shared" si="1"/>
        <v>85542.98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</row>
    <row r="103" spans="1:7" ht="12.75">
      <c r="A103" s="12" t="s">
        <v>1598</v>
      </c>
      <c r="B103" s="24" t="s">
        <v>1599</v>
      </c>
      <c r="C103" s="25">
        <f>26000+17290+2829</f>
        <v>46119</v>
      </c>
      <c r="D103" s="25">
        <f>17319.1+2829</f>
        <v>20148.1</v>
      </c>
      <c r="E103" s="25">
        <v>25970.92</v>
      </c>
      <c r="F103" s="25"/>
      <c r="G103" s="25">
        <f t="shared" si="1"/>
        <v>-0.01999999999679858</v>
      </c>
    </row>
    <row r="104" spans="1:7" ht="12.75">
      <c r="A104" s="12" t="s">
        <v>1600</v>
      </c>
      <c r="B104" s="24" t="s">
        <v>1601</v>
      </c>
      <c r="C104" s="25">
        <f>107000-2829</f>
        <v>104171</v>
      </c>
      <c r="D104" s="25">
        <f>76965-9910</f>
        <v>67055</v>
      </c>
      <c r="E104" s="25">
        <v>0</v>
      </c>
      <c r="F104" s="25"/>
      <c r="G104" s="25">
        <f t="shared" si="1"/>
        <v>37116</v>
      </c>
    </row>
    <row r="105" spans="1:7" ht="12.75">
      <c r="A105" s="12" t="s">
        <v>1602</v>
      </c>
      <c r="B105" s="24" t="s">
        <v>1603</v>
      </c>
      <c r="C105" s="25">
        <v>25000</v>
      </c>
      <c r="D105" s="25">
        <f>7214+950+3409</f>
        <v>11573</v>
      </c>
      <c r="E105" s="25">
        <v>0</v>
      </c>
      <c r="F105" s="25"/>
      <c r="G105" s="25">
        <f t="shared" si="1"/>
        <v>13427</v>
      </c>
    </row>
    <row r="106" spans="1:7" ht="12.75">
      <c r="A106" s="12" t="s">
        <v>1604</v>
      </c>
      <c r="B106" s="24" t="s">
        <v>1605</v>
      </c>
      <c r="C106" s="25">
        <v>20000</v>
      </c>
      <c r="D106" s="25">
        <v>0</v>
      </c>
      <c r="E106" s="25">
        <v>0</v>
      </c>
      <c r="F106" s="25"/>
      <c r="G106" s="25">
        <f t="shared" si="1"/>
        <v>20000</v>
      </c>
    </row>
    <row r="107" spans="1:7" ht="12.75">
      <c r="A107" s="12" t="s">
        <v>1606</v>
      </c>
      <c r="B107" s="24" t="s">
        <v>1607</v>
      </c>
      <c r="C107" s="25">
        <v>15000</v>
      </c>
      <c r="D107" s="25">
        <v>0</v>
      </c>
      <c r="E107" s="25">
        <v>0</v>
      </c>
      <c r="F107" s="25"/>
      <c r="G107" s="25">
        <f t="shared" si="1"/>
        <v>15000</v>
      </c>
    </row>
    <row r="108" spans="1:221" s="29" customFormat="1" ht="12.75">
      <c r="A108" s="52" t="s">
        <v>1608</v>
      </c>
      <c r="B108" s="27" t="s">
        <v>1609</v>
      </c>
      <c r="C108" s="44">
        <f>SUM(C109:C110)</f>
        <v>70836</v>
      </c>
      <c r="D108" s="44">
        <f>SUM(D109:D110)</f>
        <v>0</v>
      </c>
      <c r="E108" s="44">
        <f>SUM(E109:E110)</f>
        <v>60836.1</v>
      </c>
      <c r="F108" s="44">
        <f>SUM(F109:F110)</f>
        <v>0</v>
      </c>
      <c r="G108" s="44">
        <f t="shared" si="1"/>
        <v>9999.900000000001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</row>
    <row r="109" spans="1:7" ht="12.75">
      <c r="A109" s="12" t="s">
        <v>1610</v>
      </c>
      <c r="B109" s="24" t="s">
        <v>1611</v>
      </c>
      <c r="C109" s="25">
        <f>45021+10000</f>
        <v>55021</v>
      </c>
      <c r="D109" s="25">
        <v>0</v>
      </c>
      <c r="E109" s="25">
        <v>45021.1</v>
      </c>
      <c r="F109" s="25"/>
      <c r="G109" s="25">
        <f t="shared" si="1"/>
        <v>9999.900000000001</v>
      </c>
    </row>
    <row r="110" spans="1:7" ht="12.75">
      <c r="A110" s="12" t="s">
        <v>1612</v>
      </c>
      <c r="B110" s="24" t="s">
        <v>1613</v>
      </c>
      <c r="C110" s="25">
        <v>15815</v>
      </c>
      <c r="D110" s="25">
        <v>0</v>
      </c>
      <c r="E110" s="25">
        <v>15815</v>
      </c>
      <c r="F110" s="25"/>
      <c r="G110" s="25">
        <f t="shared" si="1"/>
        <v>0</v>
      </c>
    </row>
    <row r="111" spans="1:221" s="29" customFormat="1" ht="12.75">
      <c r="A111" s="52" t="s">
        <v>1614</v>
      </c>
      <c r="B111" s="27" t="s">
        <v>1615</v>
      </c>
      <c r="C111" s="44">
        <f>SUM(C112:C113)</f>
        <v>10000</v>
      </c>
      <c r="D111" s="44">
        <f>SUM(D112:D113)</f>
        <v>0</v>
      </c>
      <c r="E111" s="44">
        <f>SUM(E112:E113)</f>
        <v>0</v>
      </c>
      <c r="F111" s="44">
        <f>SUM(F112:F113)</f>
        <v>0</v>
      </c>
      <c r="G111" s="44">
        <f t="shared" si="1"/>
        <v>10000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</row>
    <row r="112" spans="1:7" ht="12.75">
      <c r="A112" s="12" t="s">
        <v>1616</v>
      </c>
      <c r="B112" s="24" t="s">
        <v>1617</v>
      </c>
      <c r="C112" s="25">
        <v>5000</v>
      </c>
      <c r="D112" s="25">
        <v>0</v>
      </c>
      <c r="E112" s="25">
        <v>0</v>
      </c>
      <c r="F112" s="25"/>
      <c r="G112" s="25">
        <f t="shared" si="1"/>
        <v>5000</v>
      </c>
    </row>
    <row r="113" spans="1:7" ht="12.75">
      <c r="A113" s="12" t="s">
        <v>1618</v>
      </c>
      <c r="B113" s="24" t="s">
        <v>1619</v>
      </c>
      <c r="C113" s="25">
        <v>5000</v>
      </c>
      <c r="D113" s="25">
        <v>0</v>
      </c>
      <c r="E113" s="25">
        <v>0</v>
      </c>
      <c r="F113" s="25"/>
      <c r="G113" s="25">
        <f t="shared" si="1"/>
        <v>5000</v>
      </c>
    </row>
    <row r="114" spans="1:221" s="29" customFormat="1" ht="12.75">
      <c r="A114" s="52" t="s">
        <v>1620</v>
      </c>
      <c r="B114" s="27" t="s">
        <v>1621</v>
      </c>
      <c r="C114" s="44">
        <f>SUM(C115:C116)</f>
        <v>60764</v>
      </c>
      <c r="D114" s="44">
        <f>SUM(D115:D116)</f>
        <v>0</v>
      </c>
      <c r="E114" s="44">
        <f>SUM(E115:E116)</f>
        <v>21807.88</v>
      </c>
      <c r="F114" s="44">
        <f>SUM(F115:F116)</f>
        <v>0</v>
      </c>
      <c r="G114" s="44">
        <f t="shared" si="1"/>
        <v>38956.119999999995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</row>
    <row r="115" spans="1:7" ht="12.75">
      <c r="A115" s="12" t="s">
        <v>1622</v>
      </c>
      <c r="B115" s="24" t="s">
        <v>1623</v>
      </c>
      <c r="C115" s="25">
        <f>15764+5000</f>
        <v>20764</v>
      </c>
      <c r="D115" s="25">
        <v>0</v>
      </c>
      <c r="E115" s="25">
        <v>15764.08</v>
      </c>
      <c r="F115" s="25"/>
      <c r="G115" s="25">
        <f t="shared" si="1"/>
        <v>4999.92</v>
      </c>
    </row>
    <row r="116" spans="1:7" ht="12.75">
      <c r="A116" s="12" t="s">
        <v>1624</v>
      </c>
      <c r="B116" s="24" t="s">
        <v>1625</v>
      </c>
      <c r="C116" s="25">
        <v>40000</v>
      </c>
      <c r="D116" s="25">
        <v>0</v>
      </c>
      <c r="E116" s="25">
        <v>6043.8</v>
      </c>
      <c r="F116" s="25"/>
      <c r="G116" s="25">
        <f t="shared" si="1"/>
        <v>33956.2</v>
      </c>
    </row>
    <row r="117" spans="1:221" s="23" customFormat="1" ht="12.75">
      <c r="A117" s="20" t="s">
        <v>1626</v>
      </c>
      <c r="B117" s="21" t="s">
        <v>1627</v>
      </c>
      <c r="C117" s="22">
        <f>C118+C119+C120+C127+C128+C129+C130+C131+C132</f>
        <v>107000</v>
      </c>
      <c r="D117" s="22">
        <f>D118+D119+D120+D127+D128+D129+D130+D131+D132</f>
        <v>67500</v>
      </c>
      <c r="E117" s="22">
        <f>E118+E119+E120+E127+E128+E129+E130+E131+E132</f>
        <v>39000</v>
      </c>
      <c r="F117" s="22">
        <f>F118+F119+F120+F127+F128+F129+F130+F131+F132</f>
        <v>0</v>
      </c>
      <c r="G117" s="22">
        <f t="shared" si="1"/>
        <v>500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</row>
    <row r="118" spans="1:7" ht="12.75">
      <c r="A118" s="12" t="s">
        <v>1628</v>
      </c>
      <c r="B118" s="24" t="s">
        <v>1629</v>
      </c>
      <c r="C118" s="25">
        <v>14000</v>
      </c>
      <c r="D118" s="25">
        <v>7500</v>
      </c>
      <c r="E118" s="25">
        <v>6000</v>
      </c>
      <c r="F118" s="25"/>
      <c r="G118" s="25">
        <f t="shared" si="1"/>
        <v>500</v>
      </c>
    </row>
    <row r="119" spans="1:7" ht="12.75">
      <c r="A119" s="12" t="s">
        <v>1630</v>
      </c>
      <c r="B119" s="24" t="s">
        <v>1631</v>
      </c>
      <c r="C119" s="25">
        <v>2000</v>
      </c>
      <c r="D119" s="25">
        <v>0</v>
      </c>
      <c r="E119" s="25">
        <v>2000</v>
      </c>
      <c r="F119" s="25"/>
      <c r="G119" s="25">
        <f t="shared" si="1"/>
        <v>0</v>
      </c>
    </row>
    <row r="120" spans="1:221" s="29" customFormat="1" ht="12.75">
      <c r="A120" s="26" t="s">
        <v>1632</v>
      </c>
      <c r="B120" s="27" t="s">
        <v>1633</v>
      </c>
      <c r="C120" s="28">
        <f>SUM(C121:C126)</f>
        <v>50000</v>
      </c>
      <c r="D120" s="28">
        <f>SUM(D121:D126)</f>
        <v>38000</v>
      </c>
      <c r="E120" s="28">
        <f>SUM(E121:E126)</f>
        <v>12000</v>
      </c>
      <c r="F120" s="28">
        <f>SUM(F121:F126)</f>
        <v>0</v>
      </c>
      <c r="G120" s="28">
        <f t="shared" si="1"/>
        <v>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</row>
    <row r="121" spans="1:7" ht="12.75">
      <c r="A121" s="12" t="s">
        <v>1634</v>
      </c>
      <c r="B121" s="24" t="s">
        <v>1635</v>
      </c>
      <c r="C121" s="25">
        <v>4000</v>
      </c>
      <c r="D121" s="25">
        <v>3000</v>
      </c>
      <c r="E121" s="25">
        <v>1000</v>
      </c>
      <c r="F121" s="25"/>
      <c r="G121" s="25">
        <f t="shared" si="1"/>
        <v>0</v>
      </c>
    </row>
    <row r="122" spans="1:7" ht="12.75">
      <c r="A122" s="12" t="s">
        <v>1636</v>
      </c>
      <c r="B122" s="24" t="s">
        <v>1637</v>
      </c>
      <c r="C122" s="25">
        <v>4000</v>
      </c>
      <c r="D122" s="25">
        <v>3000</v>
      </c>
      <c r="E122" s="25">
        <v>1000</v>
      </c>
      <c r="F122" s="25"/>
      <c r="G122" s="25">
        <f t="shared" si="1"/>
        <v>0</v>
      </c>
    </row>
    <row r="123" spans="1:7" ht="12.75">
      <c r="A123" s="12" t="s">
        <v>1638</v>
      </c>
      <c r="B123" s="24" t="s">
        <v>1639</v>
      </c>
      <c r="C123" s="25">
        <v>4000</v>
      </c>
      <c r="D123" s="25">
        <v>3000</v>
      </c>
      <c r="E123" s="25">
        <v>1000</v>
      </c>
      <c r="F123" s="25"/>
      <c r="G123" s="25">
        <f t="shared" si="1"/>
        <v>0</v>
      </c>
    </row>
    <row r="124" spans="1:7" ht="12.75">
      <c r="A124" s="12" t="s">
        <v>1640</v>
      </c>
      <c r="B124" s="24" t="s">
        <v>1641</v>
      </c>
      <c r="C124" s="25">
        <v>8000</v>
      </c>
      <c r="D124" s="25">
        <v>6000</v>
      </c>
      <c r="E124" s="25">
        <v>2000</v>
      </c>
      <c r="F124" s="25"/>
      <c r="G124" s="25">
        <f t="shared" si="1"/>
        <v>0</v>
      </c>
    </row>
    <row r="125" spans="1:7" ht="12.75">
      <c r="A125" s="12" t="s">
        <v>1642</v>
      </c>
      <c r="B125" s="24" t="s">
        <v>1643</v>
      </c>
      <c r="C125" s="25">
        <v>20000</v>
      </c>
      <c r="D125" s="25">
        <v>15000</v>
      </c>
      <c r="E125" s="25">
        <v>5000</v>
      </c>
      <c r="F125" s="25"/>
      <c r="G125" s="25">
        <f t="shared" si="1"/>
        <v>0</v>
      </c>
    </row>
    <row r="126" spans="1:7" ht="12.75">
      <c r="A126" s="12" t="s">
        <v>1644</v>
      </c>
      <c r="B126" s="24" t="s">
        <v>1645</v>
      </c>
      <c r="C126" s="25">
        <v>10000</v>
      </c>
      <c r="D126" s="25">
        <v>8000</v>
      </c>
      <c r="E126" s="25">
        <v>2000</v>
      </c>
      <c r="F126" s="25"/>
      <c r="G126" s="25">
        <f t="shared" si="1"/>
        <v>0</v>
      </c>
    </row>
    <row r="127" spans="1:7" ht="12.75">
      <c r="A127" s="12" t="s">
        <v>1646</v>
      </c>
      <c r="B127" s="24" t="s">
        <v>1647</v>
      </c>
      <c r="C127" s="25">
        <v>5000</v>
      </c>
      <c r="D127" s="25">
        <v>5000</v>
      </c>
      <c r="E127" s="25">
        <v>0</v>
      </c>
      <c r="F127" s="25"/>
      <c r="G127" s="25">
        <f t="shared" si="1"/>
        <v>0</v>
      </c>
    </row>
    <row r="128" spans="1:7" ht="12.75">
      <c r="A128" s="12" t="s">
        <v>1648</v>
      </c>
      <c r="B128" s="24" t="s">
        <v>1649</v>
      </c>
      <c r="C128" s="25">
        <v>5000</v>
      </c>
      <c r="D128" s="25">
        <v>5000</v>
      </c>
      <c r="E128" s="25">
        <v>0</v>
      </c>
      <c r="F128" s="25"/>
      <c r="G128" s="25">
        <f t="shared" si="1"/>
        <v>0</v>
      </c>
    </row>
    <row r="129" spans="1:7" ht="12.75">
      <c r="A129" s="12" t="s">
        <v>1650</v>
      </c>
      <c r="B129" s="24" t="s">
        <v>1651</v>
      </c>
      <c r="C129" s="25">
        <v>2000</v>
      </c>
      <c r="D129" s="25">
        <v>2000</v>
      </c>
      <c r="E129" s="25">
        <v>0</v>
      </c>
      <c r="F129" s="25"/>
      <c r="G129" s="25">
        <f t="shared" si="1"/>
        <v>0</v>
      </c>
    </row>
    <row r="130" spans="1:7" ht="12.75">
      <c r="A130" s="12" t="s">
        <v>1652</v>
      </c>
      <c r="B130" s="24" t="s">
        <v>1653</v>
      </c>
      <c r="C130" s="25">
        <v>10000</v>
      </c>
      <c r="D130" s="25">
        <v>10000</v>
      </c>
      <c r="E130" s="25">
        <v>0</v>
      </c>
      <c r="F130" s="25"/>
      <c r="G130" s="25">
        <f t="shared" si="1"/>
        <v>0</v>
      </c>
    </row>
    <row r="131" spans="1:7" ht="12.75">
      <c r="A131" s="12" t="s">
        <v>1654</v>
      </c>
      <c r="B131" s="24" t="s">
        <v>1655</v>
      </c>
      <c r="C131" s="25">
        <v>0</v>
      </c>
      <c r="D131" s="25">
        <v>0</v>
      </c>
      <c r="E131" s="25">
        <v>0</v>
      </c>
      <c r="F131" s="25"/>
      <c r="G131" s="25">
        <f t="shared" si="1"/>
        <v>0</v>
      </c>
    </row>
    <row r="132" spans="1:7" ht="12.75">
      <c r="A132" s="12" t="s">
        <v>1656</v>
      </c>
      <c r="B132" s="24" t="s">
        <v>1657</v>
      </c>
      <c r="C132" s="25">
        <f>59000-40000</f>
        <v>19000</v>
      </c>
      <c r="D132" s="25">
        <v>0</v>
      </c>
      <c r="E132" s="25">
        <v>19000</v>
      </c>
      <c r="F132" s="25"/>
      <c r="G132" s="25">
        <f aca="true" t="shared" si="2" ref="G132:G195">C132-D132-E132</f>
        <v>0</v>
      </c>
    </row>
    <row r="133" spans="1:221" s="23" customFormat="1" ht="12.75">
      <c r="A133" s="20" t="s">
        <v>1658</v>
      </c>
      <c r="B133" s="21" t="s">
        <v>1514</v>
      </c>
      <c r="C133" s="22">
        <f>C134+C139+C143+C144</f>
        <v>393542</v>
      </c>
      <c r="D133" s="22">
        <f>D134+D139+D143+D144</f>
        <v>57366.780000000006</v>
      </c>
      <c r="E133" s="22">
        <f>E134+E139+E143+E144</f>
        <v>301351.082</v>
      </c>
      <c r="F133" s="22">
        <f>F134+F139+F143+F144</f>
        <v>0</v>
      </c>
      <c r="G133" s="22">
        <f t="shared" si="2"/>
        <v>34824.13799999998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</row>
    <row r="134" spans="1:221" s="43" customFormat="1" ht="12.75">
      <c r="A134" s="51" t="s">
        <v>1659</v>
      </c>
      <c r="B134" s="49" t="s">
        <v>1660</v>
      </c>
      <c r="C134" s="42">
        <f>SUM(C135:C138)</f>
        <v>294401</v>
      </c>
      <c r="D134" s="42">
        <f>SUM(D135:D138)</f>
        <v>979.98</v>
      </c>
      <c r="E134" s="42">
        <f>SUM(E135:E138)</f>
        <v>284491.422</v>
      </c>
      <c r="F134" s="42">
        <f>SUM(F135:F138)</f>
        <v>0</v>
      </c>
      <c r="G134" s="42">
        <f t="shared" si="2"/>
        <v>8929.597999999998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</row>
    <row r="135" spans="1:7" ht="12.75">
      <c r="A135" s="12" t="s">
        <v>1661</v>
      </c>
      <c r="B135" s="24" t="s">
        <v>1662</v>
      </c>
      <c r="C135" s="25">
        <f>142036+18645</f>
        <v>160681</v>
      </c>
      <c r="D135" s="25">
        <v>814.98</v>
      </c>
      <c r="E135" s="25">
        <f>142035.944+372.62+17457.85</f>
        <v>159866.414</v>
      </c>
      <c r="F135" s="25"/>
      <c r="G135" s="25">
        <f t="shared" si="2"/>
        <v>-0.39400000000023283</v>
      </c>
    </row>
    <row r="136" spans="1:7" ht="12.75">
      <c r="A136" s="12" t="s">
        <v>1663</v>
      </c>
      <c r="B136" s="24" t="s">
        <v>1664</v>
      </c>
      <c r="C136" s="25">
        <v>52977</v>
      </c>
      <c r="D136" s="25">
        <v>0</v>
      </c>
      <c r="E136" s="25">
        <f>(4435+48542)+0</f>
        <v>52977</v>
      </c>
      <c r="F136" s="25"/>
      <c r="G136" s="25">
        <f t="shared" si="2"/>
        <v>0</v>
      </c>
    </row>
    <row r="137" spans="1:7" ht="12.75">
      <c r="A137" s="12" t="s">
        <v>1665</v>
      </c>
      <c r="B137" s="24" t="s">
        <v>1666</v>
      </c>
      <c r="C137" s="25">
        <v>50000</v>
      </c>
      <c r="D137" s="25">
        <v>0</v>
      </c>
      <c r="E137" s="25">
        <v>41070</v>
      </c>
      <c r="F137" s="25"/>
      <c r="G137" s="25">
        <f t="shared" si="2"/>
        <v>8930</v>
      </c>
    </row>
    <row r="138" spans="1:7" ht="12.75">
      <c r="A138" s="12" t="s">
        <v>1667</v>
      </c>
      <c r="B138" s="24" t="s">
        <v>1668</v>
      </c>
      <c r="C138" s="25">
        <f>30578+165</f>
        <v>30743</v>
      </c>
      <c r="D138" s="25">
        <f>165</f>
        <v>165</v>
      </c>
      <c r="E138" s="25">
        <v>30578.008</v>
      </c>
      <c r="F138" s="25"/>
      <c r="G138" s="25">
        <f t="shared" si="2"/>
        <v>-0.008000000001629815</v>
      </c>
    </row>
    <row r="139" spans="1:221" s="29" customFormat="1" ht="12.75">
      <c r="A139" s="52" t="s">
        <v>1669</v>
      </c>
      <c r="B139" s="27" t="s">
        <v>1670</v>
      </c>
      <c r="C139" s="44">
        <f>SUM(C140:C142)</f>
        <v>84141</v>
      </c>
      <c r="D139" s="44">
        <f>SUM(D140:D142)</f>
        <v>56386.8</v>
      </c>
      <c r="E139" s="44">
        <f>SUM(E140:E142)</f>
        <v>12859.66</v>
      </c>
      <c r="F139" s="44">
        <f>SUM(F140:F142)</f>
        <v>0</v>
      </c>
      <c r="G139" s="44">
        <f t="shared" si="2"/>
        <v>14894.539999999997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</row>
    <row r="140" spans="1:7" ht="12.75">
      <c r="A140" s="12" t="s">
        <v>1671</v>
      </c>
      <c r="B140" s="24" t="s">
        <v>1672</v>
      </c>
      <c r="C140" s="25">
        <f>5000-2000</f>
        <v>3000</v>
      </c>
      <c r="D140" s="25">
        <v>0</v>
      </c>
      <c r="E140" s="25">
        <v>1705.46</v>
      </c>
      <c r="F140" s="25"/>
      <c r="G140" s="25">
        <f t="shared" si="2"/>
        <v>1294.54</v>
      </c>
    </row>
    <row r="141" spans="1:7" ht="12.75">
      <c r="A141" s="12" t="s">
        <v>1673</v>
      </c>
      <c r="B141" s="24" t="s">
        <v>1428</v>
      </c>
      <c r="C141" s="25">
        <v>17500</v>
      </c>
      <c r="D141" s="25">
        <v>3900</v>
      </c>
      <c r="E141" s="25">
        <v>0</v>
      </c>
      <c r="F141" s="25"/>
      <c r="G141" s="25">
        <f t="shared" si="2"/>
        <v>13600</v>
      </c>
    </row>
    <row r="142" spans="1:7" ht="12.75">
      <c r="A142" s="12" t="s">
        <v>1674</v>
      </c>
      <c r="B142" s="24" t="s">
        <v>1675</v>
      </c>
      <c r="C142" s="25">
        <f>13000+50641</f>
        <v>63641</v>
      </c>
      <c r="D142" s="25">
        <f>20025.8+32461</f>
        <v>52486.8</v>
      </c>
      <c r="E142" s="25">
        <v>11154.2</v>
      </c>
      <c r="F142" s="25"/>
      <c r="G142" s="25">
        <f t="shared" si="2"/>
        <v>0</v>
      </c>
    </row>
    <row r="143" spans="1:7" ht="12.75">
      <c r="A143" s="12" t="s">
        <v>1676</v>
      </c>
      <c r="B143" s="24" t="s">
        <v>1677</v>
      </c>
      <c r="C143" s="25">
        <v>5000</v>
      </c>
      <c r="D143" s="25">
        <v>0</v>
      </c>
      <c r="E143" s="25">
        <v>0</v>
      </c>
      <c r="F143" s="25"/>
      <c r="G143" s="25">
        <f t="shared" si="2"/>
        <v>5000</v>
      </c>
    </row>
    <row r="144" spans="1:7" ht="12.75">
      <c r="A144" s="12" t="s">
        <v>1678</v>
      </c>
      <c r="B144" s="24" t="s">
        <v>1679</v>
      </c>
      <c r="C144" s="25">
        <v>10000</v>
      </c>
      <c r="D144" s="25">
        <v>0</v>
      </c>
      <c r="E144" s="25">
        <v>4000</v>
      </c>
      <c r="F144" s="25"/>
      <c r="G144" s="25">
        <f t="shared" si="2"/>
        <v>6000</v>
      </c>
    </row>
    <row r="145" spans="1:221" s="23" customFormat="1" ht="12.75">
      <c r="A145" s="20" t="s">
        <v>1680</v>
      </c>
      <c r="B145" s="21" t="s">
        <v>1681</v>
      </c>
      <c r="C145" s="22">
        <f>SUM(C146:C148)</f>
        <v>28500</v>
      </c>
      <c r="D145" s="22">
        <f>SUM(D146:D148)</f>
        <v>0</v>
      </c>
      <c r="E145" s="22">
        <f>SUM(E146:E148)</f>
        <v>0</v>
      </c>
      <c r="F145" s="22">
        <f>SUM(F146:F148)</f>
        <v>0</v>
      </c>
      <c r="G145" s="22">
        <f t="shared" si="2"/>
        <v>28500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</row>
    <row r="146" spans="1:7" ht="12.75">
      <c r="A146" s="12" t="s">
        <v>1682</v>
      </c>
      <c r="B146" s="24" t="s">
        <v>1683</v>
      </c>
      <c r="C146" s="25">
        <v>10000</v>
      </c>
      <c r="D146" s="25">
        <v>0</v>
      </c>
      <c r="E146" s="25">
        <v>0</v>
      </c>
      <c r="F146" s="25"/>
      <c r="G146" s="25">
        <f t="shared" si="2"/>
        <v>10000</v>
      </c>
    </row>
    <row r="147" spans="1:7" ht="12.75">
      <c r="A147" s="12" t="s">
        <v>1684</v>
      </c>
      <c r="B147" s="24" t="s">
        <v>1685</v>
      </c>
      <c r="C147" s="25">
        <v>10000</v>
      </c>
      <c r="D147" s="25">
        <v>0</v>
      </c>
      <c r="E147" s="25">
        <v>0</v>
      </c>
      <c r="F147" s="25"/>
      <c r="G147" s="25">
        <f t="shared" si="2"/>
        <v>10000</v>
      </c>
    </row>
    <row r="148" spans="1:7" ht="12.75">
      <c r="A148" s="12" t="s">
        <v>1686</v>
      </c>
      <c r="B148" s="24" t="s">
        <v>1687</v>
      </c>
      <c r="C148" s="25">
        <v>8500</v>
      </c>
      <c r="D148" s="25">
        <v>0</v>
      </c>
      <c r="E148" s="25">
        <v>0</v>
      </c>
      <c r="F148" s="25"/>
      <c r="G148" s="25">
        <f t="shared" si="2"/>
        <v>8500</v>
      </c>
    </row>
    <row r="149" spans="1:221" s="19" customFormat="1" ht="12.75">
      <c r="A149" s="16" t="s">
        <v>1689</v>
      </c>
      <c r="B149" s="17" t="s">
        <v>1690</v>
      </c>
      <c r="C149" s="18">
        <f>C150+C153+C158+C160+C169+C182+C186+C187+C193</f>
        <v>238167.84</v>
      </c>
      <c r="D149" s="18">
        <f>D150+D153+D158+D160+D169+D182+D186+D187+D193</f>
        <v>0</v>
      </c>
      <c r="E149" s="18">
        <f>E150+E153+E158+E160+E169+E182+E186+E187+E193</f>
        <v>238176.39</v>
      </c>
      <c r="F149" s="18">
        <f>F150+F153+F158+F160+F169+F182+F186+F187+F193</f>
        <v>0</v>
      </c>
      <c r="G149" s="18">
        <f t="shared" si="2"/>
        <v>-8.550000000017462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</row>
    <row r="150" spans="1:221" s="23" customFormat="1" ht="12.75">
      <c r="A150" s="20" t="s">
        <v>1691</v>
      </c>
      <c r="B150" s="21" t="s">
        <v>1416</v>
      </c>
      <c r="C150" s="22">
        <f>SUM(C151:C152)</f>
        <v>0</v>
      </c>
      <c r="D150" s="22">
        <f>SUM(D151:D152)</f>
        <v>0</v>
      </c>
      <c r="E150" s="22">
        <f>SUM(E151:E152)</f>
        <v>0</v>
      </c>
      <c r="F150" s="22">
        <f>SUM(F151:F152)</f>
        <v>0</v>
      </c>
      <c r="G150" s="22">
        <f t="shared" si="2"/>
        <v>0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</row>
    <row r="151" spans="1:7" ht="12.75">
      <c r="A151" s="12" t="s">
        <v>1692</v>
      </c>
      <c r="B151" s="24" t="s">
        <v>1693</v>
      </c>
      <c r="C151" s="25">
        <v>0</v>
      </c>
      <c r="D151" s="25">
        <v>0</v>
      </c>
      <c r="E151" s="25">
        <v>0</v>
      </c>
      <c r="F151" s="25"/>
      <c r="G151" s="25">
        <f t="shared" si="2"/>
        <v>0</v>
      </c>
    </row>
    <row r="152" spans="1:7" ht="12.75">
      <c r="A152" s="12" t="s">
        <v>1694</v>
      </c>
      <c r="B152" s="24" t="s">
        <v>1695</v>
      </c>
      <c r="C152" s="25">
        <v>0</v>
      </c>
      <c r="D152" s="25">
        <v>0</v>
      </c>
      <c r="E152" s="25">
        <v>0</v>
      </c>
      <c r="F152" s="25"/>
      <c r="G152" s="25">
        <f t="shared" si="2"/>
        <v>0</v>
      </c>
    </row>
    <row r="153" spans="1:221" s="23" customFormat="1" ht="12.75">
      <c r="A153" s="20" t="s">
        <v>1696</v>
      </c>
      <c r="B153" s="21" t="s">
        <v>1697</v>
      </c>
      <c r="C153" s="22">
        <f>SUM(C154:C157)</f>
        <v>35680.34</v>
      </c>
      <c r="D153" s="22">
        <f>SUM(D154:D157)</f>
        <v>0</v>
      </c>
      <c r="E153" s="22">
        <f>SUM(E154:E157)</f>
        <v>35680.34</v>
      </c>
      <c r="F153" s="22">
        <f>SUM(F154:F157)</f>
        <v>0</v>
      </c>
      <c r="G153" s="22">
        <f t="shared" si="2"/>
        <v>0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</row>
    <row r="154" spans="1:7" ht="12.75">
      <c r="A154" s="12" t="s">
        <v>1698</v>
      </c>
      <c r="B154" s="24" t="s">
        <v>1699</v>
      </c>
      <c r="C154" s="25">
        <v>5701</v>
      </c>
      <c r="D154" s="25">
        <v>0</v>
      </c>
      <c r="E154" s="25">
        <v>5701</v>
      </c>
      <c r="F154" s="25"/>
      <c r="G154" s="25">
        <f t="shared" si="2"/>
        <v>0</v>
      </c>
    </row>
    <row r="155" spans="1:7" ht="12.75">
      <c r="A155" s="12" t="s">
        <v>1700</v>
      </c>
      <c r="B155" s="24" t="s">
        <v>1701</v>
      </c>
      <c r="C155" s="25">
        <v>3179.34</v>
      </c>
      <c r="D155" s="25">
        <v>0</v>
      </c>
      <c r="E155" s="25">
        <v>3179.34</v>
      </c>
      <c r="F155" s="25"/>
      <c r="G155" s="25">
        <f t="shared" si="2"/>
        <v>0</v>
      </c>
    </row>
    <row r="156" spans="1:7" ht="12.75">
      <c r="A156" s="12" t="s">
        <v>1702</v>
      </c>
      <c r="B156" s="24" t="s">
        <v>1703</v>
      </c>
      <c r="C156" s="25">
        <v>11200</v>
      </c>
      <c r="D156" s="25">
        <v>0</v>
      </c>
      <c r="E156" s="25">
        <v>11200</v>
      </c>
      <c r="F156" s="25"/>
      <c r="G156" s="25">
        <f t="shared" si="2"/>
        <v>0</v>
      </c>
    </row>
    <row r="157" spans="1:7" ht="12.75">
      <c r="A157" s="12" t="s">
        <v>1704</v>
      </c>
      <c r="B157" s="24" t="s">
        <v>1705</v>
      </c>
      <c r="C157" s="25">
        <v>15600</v>
      </c>
      <c r="D157" s="25">
        <v>0</v>
      </c>
      <c r="E157" s="25">
        <v>15600</v>
      </c>
      <c r="F157" s="25"/>
      <c r="G157" s="25">
        <f t="shared" si="2"/>
        <v>0</v>
      </c>
    </row>
    <row r="158" spans="1:221" s="23" customFormat="1" ht="12.75">
      <c r="A158" s="20" t="s">
        <v>1706</v>
      </c>
      <c r="B158" s="21" t="s">
        <v>1707</v>
      </c>
      <c r="C158" s="22">
        <f>SUM(C159:C159)</f>
        <v>10000</v>
      </c>
      <c r="D158" s="22">
        <f>SUM(D159:D159)</f>
        <v>0</v>
      </c>
      <c r="E158" s="22">
        <f>SUM(E159:E159)</f>
        <v>10000</v>
      </c>
      <c r="F158" s="22">
        <f>SUM(F159:F159)</f>
        <v>0</v>
      </c>
      <c r="G158" s="22">
        <f t="shared" si="2"/>
        <v>0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</row>
    <row r="159" spans="1:7" ht="12.75">
      <c r="A159" s="12" t="s">
        <v>1708</v>
      </c>
      <c r="B159" s="24" t="s">
        <v>1709</v>
      </c>
      <c r="C159" s="25">
        <v>10000</v>
      </c>
      <c r="D159" s="25">
        <v>0</v>
      </c>
      <c r="E159" s="25">
        <v>10000</v>
      </c>
      <c r="F159" s="25"/>
      <c r="G159" s="25">
        <f t="shared" si="2"/>
        <v>0</v>
      </c>
    </row>
    <row r="160" spans="1:221" s="23" customFormat="1" ht="12.75">
      <c r="A160" s="20" t="s">
        <v>1710</v>
      </c>
      <c r="B160" s="21" t="s">
        <v>1711</v>
      </c>
      <c r="C160" s="22">
        <f>SUM(C161:C168)</f>
        <v>50117</v>
      </c>
      <c r="D160" s="22">
        <f>SUM(D161:D168)</f>
        <v>0</v>
      </c>
      <c r="E160" s="22">
        <f>SUM(E161:E168)</f>
        <v>50117.13</v>
      </c>
      <c r="F160" s="22">
        <f>SUM(F161:F168)</f>
        <v>0</v>
      </c>
      <c r="G160" s="22">
        <f t="shared" si="2"/>
        <v>-0.12999999999738066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</row>
    <row r="161" spans="1:7" ht="12.75">
      <c r="A161" s="12" t="s">
        <v>1712</v>
      </c>
      <c r="B161" s="24" t="s">
        <v>1713</v>
      </c>
      <c r="C161" s="25">
        <v>24660</v>
      </c>
      <c r="D161" s="25">
        <v>0</v>
      </c>
      <c r="E161" s="25">
        <v>24660</v>
      </c>
      <c r="F161" s="25"/>
      <c r="G161" s="25">
        <f t="shared" si="2"/>
        <v>0</v>
      </c>
    </row>
    <row r="162" spans="1:7" ht="12.75">
      <c r="A162" s="12" t="s">
        <v>1714</v>
      </c>
      <c r="B162" s="24" t="s">
        <v>1715</v>
      </c>
      <c r="C162" s="25">
        <v>5000</v>
      </c>
      <c r="D162" s="25">
        <v>0</v>
      </c>
      <c r="E162" s="25">
        <v>5000</v>
      </c>
      <c r="F162" s="25"/>
      <c r="G162" s="25">
        <f t="shared" si="2"/>
        <v>0</v>
      </c>
    </row>
    <row r="163" spans="1:7" ht="12.75">
      <c r="A163" s="12" t="s">
        <v>1716</v>
      </c>
      <c r="B163" s="24" t="s">
        <v>1717</v>
      </c>
      <c r="C163" s="25">
        <v>7540</v>
      </c>
      <c r="D163" s="25">
        <v>0</v>
      </c>
      <c r="E163" s="25">
        <v>7540</v>
      </c>
      <c r="F163" s="25"/>
      <c r="G163" s="25">
        <f t="shared" si="2"/>
        <v>0</v>
      </c>
    </row>
    <row r="164" spans="1:7" ht="12.75">
      <c r="A164" s="12" t="s">
        <v>1718</v>
      </c>
      <c r="B164" s="24" t="s">
        <v>1719</v>
      </c>
      <c r="C164" s="25">
        <v>2467</v>
      </c>
      <c r="D164" s="25">
        <v>0</v>
      </c>
      <c r="E164" s="25">
        <v>2467.13</v>
      </c>
      <c r="F164" s="25"/>
      <c r="G164" s="25">
        <f t="shared" si="2"/>
        <v>-0.13000000000010914</v>
      </c>
    </row>
    <row r="165" spans="1:7" ht="12.75">
      <c r="A165" s="12" t="s">
        <v>1720</v>
      </c>
      <c r="B165" s="24" t="s">
        <v>1721</v>
      </c>
      <c r="C165" s="25">
        <v>1000</v>
      </c>
      <c r="D165" s="25">
        <v>0</v>
      </c>
      <c r="E165" s="25">
        <v>1000</v>
      </c>
      <c r="F165" s="25"/>
      <c r="G165" s="25">
        <f t="shared" si="2"/>
        <v>0</v>
      </c>
    </row>
    <row r="166" spans="1:7" ht="12.75">
      <c r="A166" s="12" t="s">
        <v>1722</v>
      </c>
      <c r="B166" s="24" t="s">
        <v>1723</v>
      </c>
      <c r="C166" s="25">
        <v>6000</v>
      </c>
      <c r="D166" s="25">
        <v>0</v>
      </c>
      <c r="E166" s="25">
        <v>6000</v>
      </c>
      <c r="F166" s="25"/>
      <c r="G166" s="25">
        <f t="shared" si="2"/>
        <v>0</v>
      </c>
    </row>
    <row r="167" spans="1:7" ht="12.75">
      <c r="A167" s="12" t="s">
        <v>1724</v>
      </c>
      <c r="B167" s="24" t="s">
        <v>1725</v>
      </c>
      <c r="C167" s="25">
        <v>1450</v>
      </c>
      <c r="D167" s="25">
        <v>0</v>
      </c>
      <c r="E167" s="25">
        <v>1450</v>
      </c>
      <c r="F167" s="25"/>
      <c r="G167" s="25">
        <f t="shared" si="2"/>
        <v>0</v>
      </c>
    </row>
    <row r="168" spans="1:7" ht="12.75">
      <c r="A168" s="12" t="s">
        <v>1726</v>
      </c>
      <c r="B168" s="24" t="s">
        <v>1727</v>
      </c>
      <c r="C168" s="25">
        <v>2000</v>
      </c>
      <c r="D168" s="25">
        <v>0</v>
      </c>
      <c r="E168" s="25">
        <v>2000</v>
      </c>
      <c r="F168" s="25"/>
      <c r="G168" s="25">
        <f t="shared" si="2"/>
        <v>0</v>
      </c>
    </row>
    <row r="169" spans="1:221" s="23" customFormat="1" ht="12.75">
      <c r="A169" s="20" t="s">
        <v>1728</v>
      </c>
      <c r="B169" s="21" t="s">
        <v>1729</v>
      </c>
      <c r="C169" s="22">
        <f>SUM(C170:C181)</f>
        <v>99306.5</v>
      </c>
      <c r="D169" s="22">
        <f>SUM(D170:D181)</f>
        <v>0</v>
      </c>
      <c r="E169" s="22">
        <f>SUM(E170:E181)</f>
        <v>99306.74</v>
      </c>
      <c r="F169" s="22">
        <f>SUM(F170:F181)</f>
        <v>0</v>
      </c>
      <c r="G169" s="22">
        <f t="shared" si="2"/>
        <v>-0.2400000000052387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</row>
    <row r="170" spans="1:7" ht="12.75">
      <c r="A170" s="12" t="s">
        <v>1730</v>
      </c>
      <c r="B170" s="24" t="s">
        <v>1731</v>
      </c>
      <c r="C170" s="25">
        <v>28064.5</v>
      </c>
      <c r="D170" s="25">
        <v>0</v>
      </c>
      <c r="E170" s="25">
        <v>28064.5</v>
      </c>
      <c r="F170" s="25"/>
      <c r="G170" s="25">
        <f t="shared" si="2"/>
        <v>0</v>
      </c>
    </row>
    <row r="171" spans="1:7" ht="12.75">
      <c r="A171" s="12" t="s">
        <v>1732</v>
      </c>
      <c r="B171" s="24" t="s">
        <v>1733</v>
      </c>
      <c r="C171" s="25">
        <v>4155</v>
      </c>
      <c r="D171" s="25">
        <v>0</v>
      </c>
      <c r="E171" s="25">
        <v>4155</v>
      </c>
      <c r="F171" s="25"/>
      <c r="G171" s="25">
        <f t="shared" si="2"/>
        <v>0</v>
      </c>
    </row>
    <row r="172" spans="1:7" ht="12.75">
      <c r="A172" s="12" t="s">
        <v>1734</v>
      </c>
      <c r="B172" s="24" t="s">
        <v>1735</v>
      </c>
      <c r="C172" s="25">
        <v>17180</v>
      </c>
      <c r="D172" s="25">
        <v>0</v>
      </c>
      <c r="E172" s="25">
        <v>17180</v>
      </c>
      <c r="F172" s="25"/>
      <c r="G172" s="25">
        <f t="shared" si="2"/>
        <v>0</v>
      </c>
    </row>
    <row r="173" spans="1:7" ht="12.75">
      <c r="A173" s="12" t="s">
        <v>1736</v>
      </c>
      <c r="B173" s="24" t="s">
        <v>1737</v>
      </c>
      <c r="C173" s="25">
        <v>9221</v>
      </c>
      <c r="D173" s="25">
        <v>0</v>
      </c>
      <c r="E173" s="25">
        <v>9220.79</v>
      </c>
      <c r="F173" s="25"/>
      <c r="G173" s="25">
        <f t="shared" si="2"/>
        <v>0.20999999999912689</v>
      </c>
    </row>
    <row r="174" spans="1:7" ht="12.75">
      <c r="A174" s="12" t="s">
        <v>1738</v>
      </c>
      <c r="B174" s="24" t="s">
        <v>1739</v>
      </c>
      <c r="C174" s="25">
        <v>4000</v>
      </c>
      <c r="D174" s="25">
        <v>0</v>
      </c>
      <c r="E174" s="25">
        <v>4000</v>
      </c>
      <c r="F174" s="25"/>
      <c r="G174" s="25">
        <f t="shared" si="2"/>
        <v>0</v>
      </c>
    </row>
    <row r="175" spans="1:7" ht="12.75">
      <c r="A175" s="12" t="s">
        <v>1740</v>
      </c>
      <c r="B175" s="24" t="s">
        <v>0</v>
      </c>
      <c r="C175" s="25">
        <v>4000</v>
      </c>
      <c r="D175" s="25">
        <v>0</v>
      </c>
      <c r="E175" s="25">
        <v>4000</v>
      </c>
      <c r="F175" s="25"/>
      <c r="G175" s="25">
        <f t="shared" si="2"/>
        <v>0</v>
      </c>
    </row>
    <row r="176" spans="1:7" ht="12.75">
      <c r="A176" s="12" t="s">
        <v>1</v>
      </c>
      <c r="B176" s="24" t="s">
        <v>2</v>
      </c>
      <c r="C176" s="25">
        <v>3283</v>
      </c>
      <c r="D176" s="25">
        <v>0</v>
      </c>
      <c r="E176" s="25">
        <v>3283</v>
      </c>
      <c r="F176" s="25"/>
      <c r="G176" s="25">
        <f t="shared" si="2"/>
        <v>0</v>
      </c>
    </row>
    <row r="177" spans="1:7" ht="12.75">
      <c r="A177" s="12" t="s">
        <v>3</v>
      </c>
      <c r="B177" s="24" t="s">
        <v>4</v>
      </c>
      <c r="C177" s="25">
        <v>14021</v>
      </c>
      <c r="D177" s="25">
        <v>0</v>
      </c>
      <c r="E177" s="25">
        <v>14021</v>
      </c>
      <c r="F177" s="25"/>
      <c r="G177" s="25">
        <f t="shared" si="2"/>
        <v>0</v>
      </c>
    </row>
    <row r="178" spans="1:7" ht="12.75">
      <c r="A178" s="12" t="s">
        <v>5</v>
      </c>
      <c r="B178" s="24" t="s">
        <v>6</v>
      </c>
      <c r="C178" s="25">
        <v>7112</v>
      </c>
      <c r="D178" s="25">
        <v>0</v>
      </c>
      <c r="E178" s="25">
        <v>7112</v>
      </c>
      <c r="F178" s="25"/>
      <c r="G178" s="25">
        <f t="shared" si="2"/>
        <v>0</v>
      </c>
    </row>
    <row r="179" spans="1:7" ht="12.75">
      <c r="A179" s="12" t="s">
        <v>7</v>
      </c>
      <c r="B179" s="24" t="s">
        <v>8</v>
      </c>
      <c r="C179" s="25">
        <v>3392</v>
      </c>
      <c r="D179" s="25">
        <v>0</v>
      </c>
      <c r="E179" s="25">
        <v>3392.45</v>
      </c>
      <c r="F179" s="25"/>
      <c r="G179" s="25">
        <f t="shared" si="2"/>
        <v>-0.4499999999998181</v>
      </c>
    </row>
    <row r="180" spans="1:7" ht="12.75">
      <c r="A180" s="12" t="s">
        <v>9</v>
      </c>
      <c r="B180" s="24" t="s">
        <v>10</v>
      </c>
      <c r="C180" s="25">
        <v>3633</v>
      </c>
      <c r="D180" s="25">
        <v>0</v>
      </c>
      <c r="E180" s="25">
        <v>3633</v>
      </c>
      <c r="F180" s="25"/>
      <c r="G180" s="25">
        <f t="shared" si="2"/>
        <v>0</v>
      </c>
    </row>
    <row r="181" spans="1:7" ht="12.75">
      <c r="A181" s="12" t="s">
        <v>11</v>
      </c>
      <c r="B181" s="24" t="s">
        <v>1725</v>
      </c>
      <c r="C181" s="25">
        <v>1245</v>
      </c>
      <c r="D181" s="25">
        <v>0</v>
      </c>
      <c r="E181" s="25">
        <v>1245</v>
      </c>
      <c r="F181" s="25"/>
      <c r="G181" s="25">
        <f t="shared" si="2"/>
        <v>0</v>
      </c>
    </row>
    <row r="182" spans="1:221" s="23" customFormat="1" ht="12.75">
      <c r="A182" s="20" t="s">
        <v>12</v>
      </c>
      <c r="B182" s="21" t="s">
        <v>1561</v>
      </c>
      <c r="C182" s="22">
        <f>SUM(C183:C185)</f>
        <v>17242</v>
      </c>
      <c r="D182" s="22">
        <f>SUM(D183:D185)</f>
        <v>0</v>
      </c>
      <c r="E182" s="22">
        <f>SUM(E183:E185)</f>
        <v>17250</v>
      </c>
      <c r="F182" s="22">
        <f>SUM(F183:F185)</f>
        <v>0</v>
      </c>
      <c r="G182" s="22">
        <f t="shared" si="2"/>
        <v>-8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7" ht="12.75">
      <c r="A183" s="12" t="s">
        <v>13</v>
      </c>
      <c r="B183" s="24" t="s">
        <v>14</v>
      </c>
      <c r="C183" s="25">
        <v>1350</v>
      </c>
      <c r="D183" s="25">
        <v>0</v>
      </c>
      <c r="E183" s="25">
        <v>1350</v>
      </c>
      <c r="F183" s="25"/>
      <c r="G183" s="25">
        <f t="shared" si="2"/>
        <v>0</v>
      </c>
    </row>
    <row r="184" spans="1:7" ht="12.75">
      <c r="A184" s="12" t="s">
        <v>15</v>
      </c>
      <c r="B184" s="24" t="s">
        <v>16</v>
      </c>
      <c r="C184" s="25">
        <v>7540</v>
      </c>
      <c r="D184" s="25">
        <v>0</v>
      </c>
      <c r="E184" s="25">
        <v>7540</v>
      </c>
      <c r="F184" s="25"/>
      <c r="G184" s="25">
        <f t="shared" si="2"/>
        <v>0</v>
      </c>
    </row>
    <row r="185" spans="1:7" ht="12.75">
      <c r="A185" s="12" t="s">
        <v>17</v>
      </c>
      <c r="B185" s="24" t="s">
        <v>18</v>
      </c>
      <c r="C185" s="25">
        <v>8352</v>
      </c>
      <c r="D185" s="25">
        <v>0</v>
      </c>
      <c r="E185" s="25">
        <v>8360</v>
      </c>
      <c r="F185" s="25"/>
      <c r="G185" s="25">
        <f t="shared" si="2"/>
        <v>-8</v>
      </c>
    </row>
    <row r="186" spans="1:221" s="37" customFormat="1" ht="12.75">
      <c r="A186" s="35" t="s">
        <v>19</v>
      </c>
      <c r="B186" s="36" t="s">
        <v>20</v>
      </c>
      <c r="C186" s="25">
        <v>0</v>
      </c>
      <c r="D186" s="25">
        <v>0</v>
      </c>
      <c r="E186" s="25">
        <v>0</v>
      </c>
      <c r="F186" s="25"/>
      <c r="G186" s="25">
        <f t="shared" si="2"/>
        <v>0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23" customFormat="1" ht="12.75">
      <c r="A187" s="20" t="s">
        <v>21</v>
      </c>
      <c r="B187" s="21" t="s">
        <v>1627</v>
      </c>
      <c r="C187" s="22">
        <f>SUM(C188:C192)</f>
        <v>20042</v>
      </c>
      <c r="D187" s="22">
        <f>SUM(D188:D192)</f>
        <v>0</v>
      </c>
      <c r="E187" s="22">
        <f>SUM(E188:E192)</f>
        <v>20042</v>
      </c>
      <c r="F187" s="22">
        <f>SUM(F188:F192)</f>
        <v>0</v>
      </c>
      <c r="G187" s="22">
        <f t="shared" si="2"/>
        <v>0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7" ht="12.75">
      <c r="A188" s="12" t="s">
        <v>22</v>
      </c>
      <c r="B188" s="24" t="s">
        <v>23</v>
      </c>
      <c r="C188" s="25">
        <v>10000</v>
      </c>
      <c r="D188" s="25">
        <v>0</v>
      </c>
      <c r="E188" s="25">
        <v>10000</v>
      </c>
      <c r="F188" s="25"/>
      <c r="G188" s="25">
        <f t="shared" si="2"/>
        <v>0</v>
      </c>
    </row>
    <row r="189" spans="1:7" ht="12.75">
      <c r="A189" s="12" t="s">
        <v>24</v>
      </c>
      <c r="B189" s="24" t="s">
        <v>25</v>
      </c>
      <c r="C189" s="25">
        <v>42</v>
      </c>
      <c r="D189" s="25">
        <v>0</v>
      </c>
      <c r="E189" s="25">
        <v>42</v>
      </c>
      <c r="F189" s="25"/>
      <c r="G189" s="25">
        <f t="shared" si="2"/>
        <v>0</v>
      </c>
    </row>
    <row r="190" spans="1:7" ht="12.75">
      <c r="A190" s="12" t="s">
        <v>26</v>
      </c>
      <c r="B190" s="24" t="s">
        <v>27</v>
      </c>
      <c r="C190" s="25">
        <v>2000</v>
      </c>
      <c r="D190" s="25">
        <v>0</v>
      </c>
      <c r="E190" s="25">
        <v>2000</v>
      </c>
      <c r="F190" s="25"/>
      <c r="G190" s="25">
        <f t="shared" si="2"/>
        <v>0</v>
      </c>
    </row>
    <row r="191" spans="1:7" ht="12.75">
      <c r="A191" s="12" t="s">
        <v>28</v>
      </c>
      <c r="B191" s="24" t="s">
        <v>29</v>
      </c>
      <c r="C191" s="25">
        <v>3000</v>
      </c>
      <c r="D191" s="25">
        <v>0</v>
      </c>
      <c r="E191" s="25">
        <v>3000</v>
      </c>
      <c r="F191" s="25"/>
      <c r="G191" s="25">
        <f t="shared" si="2"/>
        <v>0</v>
      </c>
    </row>
    <row r="192" spans="1:7" ht="12.75">
      <c r="A192" s="12" t="s">
        <v>30</v>
      </c>
      <c r="B192" s="24" t="s">
        <v>31</v>
      </c>
      <c r="C192" s="25">
        <v>5000</v>
      </c>
      <c r="D192" s="25">
        <v>0</v>
      </c>
      <c r="E192" s="25">
        <v>5000</v>
      </c>
      <c r="F192" s="25"/>
      <c r="G192" s="25">
        <f t="shared" si="2"/>
        <v>0</v>
      </c>
    </row>
    <row r="193" spans="1:221" s="23" customFormat="1" ht="12.75">
      <c r="A193" s="20" t="s">
        <v>32</v>
      </c>
      <c r="B193" s="21" t="s">
        <v>1681</v>
      </c>
      <c r="C193" s="22">
        <f>SUM(C194:C195)</f>
        <v>5780</v>
      </c>
      <c r="D193" s="22">
        <f>SUM(D194:D195)</f>
        <v>0</v>
      </c>
      <c r="E193" s="22">
        <f>SUM(E194:E195)</f>
        <v>5780.18</v>
      </c>
      <c r="F193" s="22">
        <f>SUM(F194:F195)</f>
        <v>0</v>
      </c>
      <c r="G193" s="22">
        <f t="shared" si="2"/>
        <v>-0.18000000000029104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7" ht="12.75">
      <c r="A194" s="12" t="s">
        <v>33</v>
      </c>
      <c r="B194" s="24" t="s">
        <v>34</v>
      </c>
      <c r="C194" s="25">
        <f>4028+47</f>
        <v>4075</v>
      </c>
      <c r="D194" s="25">
        <v>0</v>
      </c>
      <c r="E194" s="25">
        <v>4075.18</v>
      </c>
      <c r="F194" s="25"/>
      <c r="G194" s="25">
        <f t="shared" si="2"/>
        <v>-0.1799999999998363</v>
      </c>
    </row>
    <row r="195" spans="1:7" ht="12.75">
      <c r="A195" s="12" t="s">
        <v>35</v>
      </c>
      <c r="B195" s="24" t="s">
        <v>36</v>
      </c>
      <c r="C195" s="25">
        <v>1705</v>
      </c>
      <c r="D195" s="25">
        <v>0</v>
      </c>
      <c r="E195" s="25">
        <v>1705</v>
      </c>
      <c r="F195" s="25"/>
      <c r="G195" s="25">
        <f t="shared" si="2"/>
        <v>0</v>
      </c>
    </row>
    <row r="196" spans="1:221" s="19" customFormat="1" ht="12.75">
      <c r="A196" s="16" t="s">
        <v>37</v>
      </c>
      <c r="B196" s="17" t="s">
        <v>38</v>
      </c>
      <c r="C196" s="18">
        <f>C197+C199+C205+C208+C214+C221+C228+C229+C236</f>
        <v>524313</v>
      </c>
      <c r="D196" s="18">
        <f>D197+D199+D205+D208+D214+D221+D228+D229+D236</f>
        <v>13000</v>
      </c>
      <c r="E196" s="18">
        <f>E197+E199+E205+E208+E214+E221+E228+E229+E236</f>
        <v>500313.395</v>
      </c>
      <c r="F196" s="18">
        <f>F197+F199+F205+F208+F214+F221+F228+F229+F236</f>
        <v>0</v>
      </c>
      <c r="G196" s="18">
        <f aca="true" t="shared" si="3" ref="G196:G259">C196-D196-E196</f>
        <v>10999.604999999981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23" customFormat="1" ht="12.75">
      <c r="A197" s="20" t="s">
        <v>39</v>
      </c>
      <c r="B197" s="21" t="s">
        <v>1416</v>
      </c>
      <c r="C197" s="22">
        <f>C198</f>
        <v>0</v>
      </c>
      <c r="D197" s="22">
        <f>D198</f>
        <v>0</v>
      </c>
      <c r="E197" s="22">
        <f>E198</f>
        <v>0</v>
      </c>
      <c r="F197" s="22">
        <f>F198</f>
        <v>0</v>
      </c>
      <c r="G197" s="22">
        <f t="shared" si="3"/>
        <v>0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7" ht="12.75">
      <c r="A198" s="12" t="s">
        <v>40</v>
      </c>
      <c r="B198" s="24" t="s">
        <v>41</v>
      </c>
      <c r="C198" s="25">
        <v>0</v>
      </c>
      <c r="D198" s="25">
        <v>0</v>
      </c>
      <c r="E198" s="25">
        <v>0</v>
      </c>
      <c r="F198" s="25"/>
      <c r="G198" s="25">
        <f t="shared" si="3"/>
        <v>0</v>
      </c>
    </row>
    <row r="199" spans="1:221" s="23" customFormat="1" ht="12.75">
      <c r="A199" s="20" t="s">
        <v>42</v>
      </c>
      <c r="B199" s="21" t="s">
        <v>1697</v>
      </c>
      <c r="C199" s="22">
        <f>SUM(C200:C204)</f>
        <v>42342</v>
      </c>
      <c r="D199" s="22">
        <f>SUM(D200:D204)</f>
        <v>0</v>
      </c>
      <c r="E199" s="22">
        <f>SUM(E200:E204)</f>
        <v>42342.59</v>
      </c>
      <c r="F199" s="22">
        <f>SUM(F200:F204)</f>
        <v>0</v>
      </c>
      <c r="G199" s="22">
        <f t="shared" si="3"/>
        <v>-0.5899999999965075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7" ht="12.75">
      <c r="A200" s="12" t="s">
        <v>43</v>
      </c>
      <c r="B200" s="24" t="s">
        <v>1699</v>
      </c>
      <c r="C200" s="25">
        <v>8377</v>
      </c>
      <c r="D200" s="25">
        <v>0</v>
      </c>
      <c r="E200" s="25">
        <v>8377</v>
      </c>
      <c r="F200" s="25"/>
      <c r="G200" s="25">
        <f t="shared" si="3"/>
        <v>0</v>
      </c>
    </row>
    <row r="201" spans="1:7" ht="12.75">
      <c r="A201" s="12" t="s">
        <v>44</v>
      </c>
      <c r="B201" s="24" t="s">
        <v>45</v>
      </c>
      <c r="C201" s="25">
        <f>9814+8</f>
        <v>9822</v>
      </c>
      <c r="D201" s="25">
        <v>0</v>
      </c>
      <c r="E201" s="25">
        <v>9822.1</v>
      </c>
      <c r="F201" s="25"/>
      <c r="G201" s="25">
        <f t="shared" si="3"/>
        <v>-0.1000000000003638</v>
      </c>
    </row>
    <row r="202" spans="1:7" ht="12.75">
      <c r="A202" s="12" t="s">
        <v>46</v>
      </c>
      <c r="B202" s="24" t="s">
        <v>1701</v>
      </c>
      <c r="C202" s="25">
        <f>6000+689</f>
        <v>6689</v>
      </c>
      <c r="D202" s="25">
        <v>0</v>
      </c>
      <c r="E202" s="25">
        <f>(7553-984.52)+120.93</f>
        <v>6689.41</v>
      </c>
      <c r="F202" s="25"/>
      <c r="G202" s="25">
        <f t="shared" si="3"/>
        <v>-0.4099999999998545</v>
      </c>
    </row>
    <row r="203" spans="1:7" ht="12.75">
      <c r="A203" s="12" t="s">
        <v>47</v>
      </c>
      <c r="B203" s="24" t="s">
        <v>1703</v>
      </c>
      <c r="C203" s="25">
        <v>4412</v>
      </c>
      <c r="D203" s="25">
        <v>0</v>
      </c>
      <c r="E203" s="25">
        <v>4412</v>
      </c>
      <c r="F203" s="25"/>
      <c r="G203" s="25">
        <f t="shared" si="3"/>
        <v>0</v>
      </c>
    </row>
    <row r="204" spans="1:7" ht="12.75">
      <c r="A204" s="12" t="s">
        <v>48</v>
      </c>
      <c r="B204" s="24" t="s">
        <v>49</v>
      </c>
      <c r="C204" s="25">
        <v>13042</v>
      </c>
      <c r="D204" s="25">
        <v>0</v>
      </c>
      <c r="E204" s="25">
        <v>13042.08</v>
      </c>
      <c r="F204" s="25"/>
      <c r="G204" s="25">
        <f t="shared" si="3"/>
        <v>-0.07999999999992724</v>
      </c>
    </row>
    <row r="205" spans="1:221" s="23" customFormat="1" ht="12.75">
      <c r="A205" s="20" t="s">
        <v>50</v>
      </c>
      <c r="B205" s="21" t="s">
        <v>1707</v>
      </c>
      <c r="C205" s="22">
        <f>SUM(C206:C207)</f>
        <v>990</v>
      </c>
      <c r="D205" s="22">
        <f>SUM(D206:D207)</f>
        <v>0</v>
      </c>
      <c r="E205" s="22">
        <f>SUM(E206:E207)</f>
        <v>989.995</v>
      </c>
      <c r="F205" s="22">
        <f>SUM(F206:F207)</f>
        <v>0</v>
      </c>
      <c r="G205" s="22">
        <f t="shared" si="3"/>
        <v>0.0049999999999954525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7" ht="12.75">
      <c r="A206" s="12" t="s">
        <v>51</v>
      </c>
      <c r="B206" s="24" t="s">
        <v>52</v>
      </c>
      <c r="C206" s="25">
        <f>1000-10</f>
        <v>990</v>
      </c>
      <c r="D206" s="25">
        <v>0</v>
      </c>
      <c r="E206" s="25">
        <v>989.995</v>
      </c>
      <c r="F206" s="25"/>
      <c r="G206" s="25">
        <f t="shared" si="3"/>
        <v>0.0049999999999954525</v>
      </c>
    </row>
    <row r="207" spans="1:7" ht="12.75">
      <c r="A207" s="12" t="s">
        <v>53</v>
      </c>
      <c r="B207" s="24" t="s">
        <v>1727</v>
      </c>
      <c r="C207" s="25">
        <v>0</v>
      </c>
      <c r="D207" s="25">
        <v>0</v>
      </c>
      <c r="E207" s="25">
        <v>0</v>
      </c>
      <c r="F207" s="25"/>
      <c r="G207" s="25">
        <f t="shared" si="3"/>
        <v>0</v>
      </c>
    </row>
    <row r="208" spans="1:221" s="23" customFormat="1" ht="12.75">
      <c r="A208" s="20" t="s">
        <v>54</v>
      </c>
      <c r="B208" s="21" t="s">
        <v>1711</v>
      </c>
      <c r="C208" s="22">
        <f>SUM(C209:C213)</f>
        <v>36906</v>
      </c>
      <c r="D208" s="22">
        <f>SUM(D209:D213)</f>
        <v>0</v>
      </c>
      <c r="E208" s="22">
        <f>SUM(E209:E213)</f>
        <v>36906.2</v>
      </c>
      <c r="F208" s="22">
        <f>SUM(F209:F213)</f>
        <v>0</v>
      </c>
      <c r="G208" s="22">
        <f t="shared" si="3"/>
        <v>-0.19999999999708962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7" ht="12.75">
      <c r="A209" s="12" t="s">
        <v>55</v>
      </c>
      <c r="B209" s="24" t="s">
        <v>1713</v>
      </c>
      <c r="C209" s="25">
        <v>15631</v>
      </c>
      <c r="D209" s="25">
        <v>0</v>
      </c>
      <c r="E209" s="25">
        <v>15631.2</v>
      </c>
      <c r="F209" s="25"/>
      <c r="G209" s="25">
        <f t="shared" si="3"/>
        <v>-0.2000000000007276</v>
      </c>
    </row>
    <row r="210" spans="1:7" ht="12.75">
      <c r="A210" s="12" t="s">
        <v>56</v>
      </c>
      <c r="B210" s="24" t="s">
        <v>57</v>
      </c>
      <c r="C210" s="25">
        <v>0</v>
      </c>
      <c r="D210" s="25">
        <v>0</v>
      </c>
      <c r="E210" s="25">
        <v>0</v>
      </c>
      <c r="F210" s="25"/>
      <c r="G210" s="25">
        <f t="shared" si="3"/>
        <v>0</v>
      </c>
    </row>
    <row r="211" spans="1:7" ht="12.75">
      <c r="A211" s="12" t="s">
        <v>58</v>
      </c>
      <c r="B211" s="24" t="s">
        <v>59</v>
      </c>
      <c r="C211" s="25">
        <v>14715</v>
      </c>
      <c r="D211" s="25">
        <v>0</v>
      </c>
      <c r="E211" s="25">
        <v>14715</v>
      </c>
      <c r="F211" s="25"/>
      <c r="G211" s="25">
        <f t="shared" si="3"/>
        <v>0</v>
      </c>
    </row>
    <row r="212" spans="1:7" ht="12.75">
      <c r="A212" s="12" t="s">
        <v>60</v>
      </c>
      <c r="B212" s="24" t="s">
        <v>61</v>
      </c>
      <c r="C212" s="25">
        <v>6560</v>
      </c>
      <c r="D212" s="25">
        <v>0</v>
      </c>
      <c r="E212" s="25">
        <v>6560</v>
      </c>
      <c r="F212" s="25"/>
      <c r="G212" s="25">
        <f t="shared" si="3"/>
        <v>0</v>
      </c>
    </row>
    <row r="213" spans="1:7" ht="12.75">
      <c r="A213" s="12" t="s">
        <v>62</v>
      </c>
      <c r="B213" s="24" t="s">
        <v>63</v>
      </c>
      <c r="C213" s="25">
        <v>0</v>
      </c>
      <c r="D213" s="25">
        <v>0</v>
      </c>
      <c r="E213" s="25">
        <v>0</v>
      </c>
      <c r="F213" s="25"/>
      <c r="G213" s="25">
        <f t="shared" si="3"/>
        <v>0</v>
      </c>
    </row>
    <row r="214" spans="1:221" s="23" customFormat="1" ht="12.75">
      <c r="A214" s="20" t="s">
        <v>64</v>
      </c>
      <c r="B214" s="21" t="s">
        <v>65</v>
      </c>
      <c r="C214" s="22">
        <f>SUM(C215:C220)</f>
        <v>50200</v>
      </c>
      <c r="D214" s="22">
        <f>SUM(D215:D220)</f>
        <v>0</v>
      </c>
      <c r="E214" s="22">
        <f>SUM(E215:E220)</f>
        <v>50200</v>
      </c>
      <c r="F214" s="22">
        <f>SUM(F215:F220)</f>
        <v>0</v>
      </c>
      <c r="G214" s="22">
        <f t="shared" si="3"/>
        <v>0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7" ht="12.75">
      <c r="A215" s="12" t="s">
        <v>66</v>
      </c>
      <c r="B215" s="24" t="s">
        <v>67</v>
      </c>
      <c r="C215" s="25">
        <v>10000</v>
      </c>
      <c r="D215" s="25">
        <v>0</v>
      </c>
      <c r="E215" s="25">
        <v>10000</v>
      </c>
      <c r="F215" s="25"/>
      <c r="G215" s="25">
        <f t="shared" si="3"/>
        <v>0</v>
      </c>
    </row>
    <row r="216" spans="1:7" ht="12.75">
      <c r="A216" s="12" t="s">
        <v>68</v>
      </c>
      <c r="B216" s="24" t="s">
        <v>69</v>
      </c>
      <c r="C216" s="25">
        <v>3000</v>
      </c>
      <c r="D216" s="25">
        <v>0</v>
      </c>
      <c r="E216" s="25">
        <v>3000</v>
      </c>
      <c r="F216" s="25"/>
      <c r="G216" s="25">
        <f t="shared" si="3"/>
        <v>0</v>
      </c>
    </row>
    <row r="217" spans="1:7" ht="12.75">
      <c r="A217" s="12" t="s">
        <v>70</v>
      </c>
      <c r="B217" s="24" t="s">
        <v>71</v>
      </c>
      <c r="C217" s="25">
        <v>5000</v>
      </c>
      <c r="D217" s="25">
        <v>0</v>
      </c>
      <c r="E217" s="25">
        <v>5000</v>
      </c>
      <c r="F217" s="25"/>
      <c r="G217" s="25">
        <f t="shared" si="3"/>
        <v>0</v>
      </c>
    </row>
    <row r="218" spans="1:7" ht="12.75">
      <c r="A218" s="12" t="s">
        <v>72</v>
      </c>
      <c r="B218" s="24" t="s">
        <v>10</v>
      </c>
      <c r="C218" s="25">
        <v>5000</v>
      </c>
      <c r="D218" s="25">
        <v>0</v>
      </c>
      <c r="E218" s="25">
        <v>5000</v>
      </c>
      <c r="F218" s="25"/>
      <c r="G218" s="25">
        <f t="shared" si="3"/>
        <v>0</v>
      </c>
    </row>
    <row r="219" spans="1:7" ht="12.75">
      <c r="A219" s="12" t="s">
        <v>73</v>
      </c>
      <c r="B219" s="24" t="s">
        <v>74</v>
      </c>
      <c r="C219" s="25">
        <v>20000</v>
      </c>
      <c r="D219" s="25">
        <v>0</v>
      </c>
      <c r="E219" s="25">
        <v>20000</v>
      </c>
      <c r="F219" s="25"/>
      <c r="G219" s="25">
        <f t="shared" si="3"/>
        <v>0</v>
      </c>
    </row>
    <row r="220" spans="1:7" ht="12.75">
      <c r="A220" s="12" t="s">
        <v>75</v>
      </c>
      <c r="B220" s="24" t="s">
        <v>76</v>
      </c>
      <c r="C220" s="25">
        <v>7200</v>
      </c>
      <c r="D220" s="25">
        <v>0</v>
      </c>
      <c r="E220" s="25">
        <v>7200</v>
      </c>
      <c r="F220" s="25"/>
      <c r="G220" s="25">
        <f t="shared" si="3"/>
        <v>0</v>
      </c>
    </row>
    <row r="221" spans="1:221" s="23" customFormat="1" ht="12.75">
      <c r="A221" s="20" t="s">
        <v>77</v>
      </c>
      <c r="B221" s="21" t="s">
        <v>1561</v>
      </c>
      <c r="C221" s="22">
        <f>SUM(C222:C227)</f>
        <v>263685</v>
      </c>
      <c r="D221" s="22">
        <f>SUM(D222:D227)</f>
        <v>13000</v>
      </c>
      <c r="E221" s="22">
        <f>SUM(E222:E227)</f>
        <v>250685</v>
      </c>
      <c r="F221" s="22">
        <f>SUM(F222:F227)</f>
        <v>0</v>
      </c>
      <c r="G221" s="22">
        <f t="shared" si="3"/>
        <v>0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7" ht="12.75">
      <c r="A222" s="12" t="s">
        <v>78</v>
      </c>
      <c r="B222" s="24" t="s">
        <v>14</v>
      </c>
      <c r="C222" s="25">
        <v>237020</v>
      </c>
      <c r="D222" s="25">
        <v>0</v>
      </c>
      <c r="E222" s="25">
        <v>237020</v>
      </c>
      <c r="F222" s="25"/>
      <c r="G222" s="25">
        <f t="shared" si="3"/>
        <v>0</v>
      </c>
    </row>
    <row r="223" spans="1:7" ht="12.75">
      <c r="A223" s="12" t="s">
        <v>79</v>
      </c>
      <c r="B223" s="24" t="s">
        <v>80</v>
      </c>
      <c r="C223" s="25">
        <v>13665</v>
      </c>
      <c r="D223" s="25">
        <v>0</v>
      </c>
      <c r="E223" s="25">
        <v>13665</v>
      </c>
      <c r="F223" s="25"/>
      <c r="G223" s="25">
        <f t="shared" si="3"/>
        <v>0</v>
      </c>
    </row>
    <row r="224" spans="1:7" ht="12.75">
      <c r="A224" s="12" t="s">
        <v>81</v>
      </c>
      <c r="B224" s="24" t="s">
        <v>82</v>
      </c>
      <c r="C224" s="25">
        <f>375-375</f>
        <v>0</v>
      </c>
      <c r="D224" s="25">
        <v>0</v>
      </c>
      <c r="E224" s="25">
        <v>0</v>
      </c>
      <c r="F224" s="25"/>
      <c r="G224" s="25">
        <f t="shared" si="3"/>
        <v>0</v>
      </c>
    </row>
    <row r="225" spans="1:7" ht="12.75">
      <c r="A225" s="12" t="s">
        <v>83</v>
      </c>
      <c r="B225" s="24" t="s">
        <v>84</v>
      </c>
      <c r="C225" s="25">
        <v>0</v>
      </c>
      <c r="D225" s="25">
        <v>0</v>
      </c>
      <c r="E225" s="25">
        <v>0</v>
      </c>
      <c r="F225" s="25"/>
      <c r="G225" s="25">
        <f t="shared" si="3"/>
        <v>0</v>
      </c>
    </row>
    <row r="226" spans="1:7" ht="12.75">
      <c r="A226" s="12" t="s">
        <v>85</v>
      </c>
      <c r="B226" s="24" t="s">
        <v>86</v>
      </c>
      <c r="C226" s="25">
        <v>3000</v>
      </c>
      <c r="D226" s="25">
        <v>3000</v>
      </c>
      <c r="E226" s="25">
        <v>0</v>
      </c>
      <c r="F226" s="25"/>
      <c r="G226" s="25">
        <f t="shared" si="3"/>
        <v>0</v>
      </c>
    </row>
    <row r="227" spans="1:7" ht="12.75">
      <c r="A227" s="12" t="s">
        <v>87</v>
      </c>
      <c r="B227" s="24" t="s">
        <v>88</v>
      </c>
      <c r="C227" s="25">
        <v>10000</v>
      </c>
      <c r="D227" s="25">
        <v>10000</v>
      </c>
      <c r="E227" s="25">
        <v>0</v>
      </c>
      <c r="F227" s="25"/>
      <c r="G227" s="25">
        <f t="shared" si="3"/>
        <v>0</v>
      </c>
    </row>
    <row r="228" spans="1:7" ht="12.75">
      <c r="A228" s="12" t="s">
        <v>89</v>
      </c>
      <c r="B228" s="24" t="s">
        <v>20</v>
      </c>
      <c r="C228" s="25">
        <v>0</v>
      </c>
      <c r="D228" s="25">
        <v>0</v>
      </c>
      <c r="E228" s="25">
        <v>0</v>
      </c>
      <c r="F228" s="25"/>
      <c r="G228" s="25">
        <f t="shared" si="3"/>
        <v>0</v>
      </c>
    </row>
    <row r="229" spans="1:221" s="23" customFormat="1" ht="12.75">
      <c r="A229" s="20" t="s">
        <v>90</v>
      </c>
      <c r="B229" s="21" t="s">
        <v>1627</v>
      </c>
      <c r="C229" s="22">
        <f>SUM(C230:C235)</f>
        <v>42090</v>
      </c>
      <c r="D229" s="22">
        <f>SUM(D230:D235)</f>
        <v>0</v>
      </c>
      <c r="E229" s="22">
        <f>SUM(E230:E235)</f>
        <v>31090</v>
      </c>
      <c r="F229" s="22">
        <f>SUM(F230:F235)</f>
        <v>0</v>
      </c>
      <c r="G229" s="22">
        <f t="shared" si="3"/>
        <v>11000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7" ht="12.75">
      <c r="A230" s="12" t="s">
        <v>91</v>
      </c>
      <c r="B230" s="24" t="s">
        <v>92</v>
      </c>
      <c r="C230" s="25">
        <v>10000</v>
      </c>
      <c r="D230" s="25">
        <v>0</v>
      </c>
      <c r="E230" s="25">
        <v>10000</v>
      </c>
      <c r="F230" s="25"/>
      <c r="G230" s="25">
        <f t="shared" si="3"/>
        <v>0</v>
      </c>
    </row>
    <row r="231" spans="1:7" ht="12.75">
      <c r="A231" s="12" t="s">
        <v>93</v>
      </c>
      <c r="B231" s="24" t="s">
        <v>31</v>
      </c>
      <c r="C231" s="25">
        <v>10000</v>
      </c>
      <c r="D231" s="25">
        <v>0</v>
      </c>
      <c r="E231" s="25">
        <v>10000</v>
      </c>
      <c r="F231" s="25"/>
      <c r="G231" s="25">
        <f t="shared" si="3"/>
        <v>0</v>
      </c>
    </row>
    <row r="232" spans="1:7" ht="12.75">
      <c r="A232" s="12" t="s">
        <v>94</v>
      </c>
      <c r="B232" s="24" t="s">
        <v>95</v>
      </c>
      <c r="C232" s="25">
        <f>3000+90</f>
        <v>3090</v>
      </c>
      <c r="D232" s="25">
        <v>0</v>
      </c>
      <c r="E232" s="25">
        <v>3090</v>
      </c>
      <c r="F232" s="25"/>
      <c r="G232" s="25">
        <f t="shared" si="3"/>
        <v>0</v>
      </c>
    </row>
    <row r="233" spans="1:7" ht="12.75">
      <c r="A233" s="12" t="s">
        <v>96</v>
      </c>
      <c r="B233" s="24" t="s">
        <v>97</v>
      </c>
      <c r="C233" s="25">
        <v>2000</v>
      </c>
      <c r="D233" s="25">
        <v>0</v>
      </c>
      <c r="E233" s="25">
        <v>2000</v>
      </c>
      <c r="F233" s="25"/>
      <c r="G233" s="25">
        <f t="shared" si="3"/>
        <v>0</v>
      </c>
    </row>
    <row r="234" spans="1:7" ht="12.75">
      <c r="A234" s="12" t="s">
        <v>98</v>
      </c>
      <c r="B234" s="24" t="s">
        <v>99</v>
      </c>
      <c r="C234" s="25">
        <v>12000</v>
      </c>
      <c r="D234" s="25">
        <v>0</v>
      </c>
      <c r="E234" s="25">
        <v>6000</v>
      </c>
      <c r="F234" s="25"/>
      <c r="G234" s="25">
        <f t="shared" si="3"/>
        <v>6000</v>
      </c>
    </row>
    <row r="235" spans="1:7" ht="12.75">
      <c r="A235" s="12" t="s">
        <v>941</v>
      </c>
      <c r="B235" s="24" t="s">
        <v>942</v>
      </c>
      <c r="C235" s="25">
        <v>5000</v>
      </c>
      <c r="D235" s="25">
        <v>0</v>
      </c>
      <c r="E235" s="25">
        <v>0</v>
      </c>
      <c r="F235" s="25"/>
      <c r="G235" s="25">
        <f t="shared" si="3"/>
        <v>5000</v>
      </c>
    </row>
    <row r="236" spans="1:221" s="23" customFormat="1" ht="12.75">
      <c r="A236" s="20" t="s">
        <v>100</v>
      </c>
      <c r="B236" s="21" t="s">
        <v>1681</v>
      </c>
      <c r="C236" s="22">
        <f>SUM(C237:C244)</f>
        <v>88100</v>
      </c>
      <c r="D236" s="22">
        <f>SUM(D237:D244)</f>
        <v>0</v>
      </c>
      <c r="E236" s="22">
        <f>SUM(E237:E244)</f>
        <v>88099.61</v>
      </c>
      <c r="F236" s="22">
        <f>SUM(F237:F244)</f>
        <v>0</v>
      </c>
      <c r="G236" s="22">
        <f t="shared" si="3"/>
        <v>0.3899999999994179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7" ht="12.75">
      <c r="A237" s="12" t="s">
        <v>101</v>
      </c>
      <c r="B237" s="24" t="s">
        <v>102</v>
      </c>
      <c r="C237" s="25">
        <v>15350</v>
      </c>
      <c r="D237" s="25">
        <v>0</v>
      </c>
      <c r="E237" s="25">
        <v>15349.61</v>
      </c>
      <c r="F237" s="25"/>
      <c r="G237" s="25">
        <f t="shared" si="3"/>
        <v>0.3899999999994179</v>
      </c>
    </row>
    <row r="238" spans="1:7" ht="12.75">
      <c r="A238" s="12" t="s">
        <v>103</v>
      </c>
      <c r="B238" s="24" t="s">
        <v>104</v>
      </c>
      <c r="C238" s="25">
        <v>14000</v>
      </c>
      <c r="D238" s="25">
        <v>0</v>
      </c>
      <c r="E238" s="25">
        <v>14000</v>
      </c>
      <c r="F238" s="25"/>
      <c r="G238" s="25">
        <f t="shared" si="3"/>
        <v>0</v>
      </c>
    </row>
    <row r="239" spans="1:7" ht="12.75">
      <c r="A239" s="12" t="s">
        <v>105</v>
      </c>
      <c r="B239" s="24" t="s">
        <v>106</v>
      </c>
      <c r="C239" s="25">
        <v>6000</v>
      </c>
      <c r="D239" s="25">
        <v>0</v>
      </c>
      <c r="E239" s="25">
        <v>6000</v>
      </c>
      <c r="F239" s="25"/>
      <c r="G239" s="25">
        <f t="shared" si="3"/>
        <v>0</v>
      </c>
    </row>
    <row r="240" spans="1:7" ht="12.75">
      <c r="A240" s="12" t="s">
        <v>107</v>
      </c>
      <c r="B240" s="24" t="s">
        <v>108</v>
      </c>
      <c r="C240" s="25">
        <v>6000</v>
      </c>
      <c r="D240" s="25">
        <v>0</v>
      </c>
      <c r="E240" s="25">
        <v>6000</v>
      </c>
      <c r="F240" s="25"/>
      <c r="G240" s="25">
        <f t="shared" si="3"/>
        <v>0</v>
      </c>
    </row>
    <row r="241" spans="1:7" ht="12.75">
      <c r="A241" s="12" t="s">
        <v>109</v>
      </c>
      <c r="B241" s="24" t="s">
        <v>110</v>
      </c>
      <c r="C241" s="25">
        <v>6000</v>
      </c>
      <c r="D241" s="25">
        <v>0</v>
      </c>
      <c r="E241" s="25">
        <v>6000</v>
      </c>
      <c r="F241" s="25"/>
      <c r="G241" s="25">
        <f t="shared" si="3"/>
        <v>0</v>
      </c>
    </row>
    <row r="242" spans="1:7" ht="12.75">
      <c r="A242" s="12" t="s">
        <v>111</v>
      </c>
      <c r="B242" s="24" t="s">
        <v>112</v>
      </c>
      <c r="C242" s="25">
        <v>3750</v>
      </c>
      <c r="D242" s="25">
        <v>0</v>
      </c>
      <c r="E242" s="25">
        <v>3750</v>
      </c>
      <c r="F242" s="25"/>
      <c r="G242" s="25">
        <f t="shared" si="3"/>
        <v>0</v>
      </c>
    </row>
    <row r="243" spans="1:7" ht="12.75">
      <c r="A243" s="12" t="s">
        <v>113</v>
      </c>
      <c r="B243" s="24" t="s">
        <v>114</v>
      </c>
      <c r="C243" s="25">
        <v>25000</v>
      </c>
      <c r="D243" s="25">
        <v>0</v>
      </c>
      <c r="E243" s="25">
        <v>25000</v>
      </c>
      <c r="F243" s="25"/>
      <c r="G243" s="25">
        <f t="shared" si="3"/>
        <v>0</v>
      </c>
    </row>
    <row r="244" spans="1:7" ht="12.75">
      <c r="A244" s="12" t="s">
        <v>115</v>
      </c>
      <c r="B244" s="24" t="s">
        <v>116</v>
      </c>
      <c r="C244" s="25">
        <v>12000</v>
      </c>
      <c r="D244" s="25">
        <v>0</v>
      </c>
      <c r="E244" s="25">
        <v>12000</v>
      </c>
      <c r="F244" s="25"/>
      <c r="G244" s="25">
        <f t="shared" si="3"/>
        <v>0</v>
      </c>
    </row>
    <row r="245" spans="1:221" s="19" customFormat="1" ht="12.75">
      <c r="A245" s="16" t="s">
        <v>117</v>
      </c>
      <c r="B245" s="17" t="s">
        <v>118</v>
      </c>
      <c r="C245" s="18">
        <f>C246+C247+C263</f>
        <v>3693708.3</v>
      </c>
      <c r="D245" s="18">
        <f>D246+D247+D263</f>
        <v>368235.08</v>
      </c>
      <c r="E245" s="18">
        <f>E246+E247+E263</f>
        <v>2902061.92</v>
      </c>
      <c r="F245" s="18">
        <f>F246+F247+F263</f>
        <v>0</v>
      </c>
      <c r="G245" s="18">
        <f t="shared" si="3"/>
        <v>423411.2999999998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7" ht="12.75">
      <c r="A246" s="12" t="s">
        <v>119</v>
      </c>
      <c r="B246" s="24" t="s">
        <v>1416</v>
      </c>
      <c r="C246" s="25">
        <v>180</v>
      </c>
      <c r="D246" s="25">
        <v>180</v>
      </c>
      <c r="E246" s="25">
        <v>0</v>
      </c>
      <c r="F246" s="25"/>
      <c r="G246" s="25">
        <f t="shared" si="3"/>
        <v>0</v>
      </c>
    </row>
    <row r="247" spans="1:221" s="23" customFormat="1" ht="12.75">
      <c r="A247" s="20" t="s">
        <v>120</v>
      </c>
      <c r="B247" s="21" t="s">
        <v>121</v>
      </c>
      <c r="C247" s="22">
        <f>C248+C254+C256</f>
        <v>1311716.3</v>
      </c>
      <c r="D247" s="22">
        <f>D248+D254+D256</f>
        <v>86557.64</v>
      </c>
      <c r="E247" s="22">
        <f>E248+E254+E256</f>
        <v>1162917.955</v>
      </c>
      <c r="F247" s="22">
        <f>F248+F254+F256</f>
        <v>0</v>
      </c>
      <c r="G247" s="22">
        <f t="shared" si="3"/>
        <v>62240.705000000075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29" customFormat="1" ht="12.75">
      <c r="A248" s="26" t="s">
        <v>122</v>
      </c>
      <c r="B248" s="27" t="s">
        <v>123</v>
      </c>
      <c r="C248" s="28">
        <f>SUM(C249:C253)</f>
        <v>444122</v>
      </c>
      <c r="D248" s="28">
        <f>SUM(D249:D253)</f>
        <v>37492.85</v>
      </c>
      <c r="E248" s="28">
        <f>SUM(E249:E253)</f>
        <v>398138.255</v>
      </c>
      <c r="F248" s="28">
        <f>SUM(F249:F253)</f>
        <v>0</v>
      </c>
      <c r="G248" s="28">
        <f t="shared" si="3"/>
        <v>8490.895000000019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7" ht="12.75">
      <c r="A249" s="12" t="s">
        <v>124</v>
      </c>
      <c r="B249" s="24" t="s">
        <v>125</v>
      </c>
      <c r="C249" s="25">
        <f>384791+13432+1420</f>
        <v>399643</v>
      </c>
      <c r="D249" s="25">
        <f>13432+1420</f>
        <v>14852</v>
      </c>
      <c r="E249" s="25">
        <v>384791.255</v>
      </c>
      <c r="F249" s="25"/>
      <c r="G249" s="25">
        <f t="shared" si="3"/>
        <v>-0.2550000000046566</v>
      </c>
    </row>
    <row r="250" spans="1:7" ht="12.75">
      <c r="A250" s="12" t="s">
        <v>126</v>
      </c>
      <c r="B250" s="24" t="s">
        <v>127</v>
      </c>
      <c r="C250" s="25">
        <v>13056</v>
      </c>
      <c r="D250" s="25">
        <v>0</v>
      </c>
      <c r="E250" s="25">
        <v>13056</v>
      </c>
      <c r="F250" s="25"/>
      <c r="G250" s="25">
        <f t="shared" si="3"/>
        <v>0</v>
      </c>
    </row>
    <row r="251" spans="1:7" ht="12.75">
      <c r="A251" s="12" t="s">
        <v>128</v>
      </c>
      <c r="B251" s="24" t="s">
        <v>129</v>
      </c>
      <c r="C251" s="25">
        <f>22500-6432</f>
        <v>16068</v>
      </c>
      <c r="D251" s="25">
        <f>5115+4462</f>
        <v>9577</v>
      </c>
      <c r="E251" s="25">
        <v>0</v>
      </c>
      <c r="F251" s="25"/>
      <c r="G251" s="25">
        <f t="shared" si="3"/>
        <v>6491</v>
      </c>
    </row>
    <row r="252" spans="1:7" ht="12.75">
      <c r="A252" s="12" t="s">
        <v>130</v>
      </c>
      <c r="B252" s="24" t="s">
        <v>131</v>
      </c>
      <c r="C252" s="25">
        <f>16291-5000+2064</f>
        <v>13355</v>
      </c>
      <c r="D252" s="25">
        <f>2981.85+4716+5366</f>
        <v>13063.85</v>
      </c>
      <c r="E252" s="25">
        <v>291</v>
      </c>
      <c r="F252" s="25"/>
      <c r="G252" s="25">
        <f t="shared" si="3"/>
        <v>0.1499999999996362</v>
      </c>
    </row>
    <row r="253" spans="1:7" ht="12.75">
      <c r="A253" s="12" t="s">
        <v>132</v>
      </c>
      <c r="B253" s="24" t="s">
        <v>133</v>
      </c>
      <c r="C253" s="25">
        <f>4000-2000</f>
        <v>2000</v>
      </c>
      <c r="D253" s="25">
        <v>0</v>
      </c>
      <c r="E253" s="25">
        <v>0</v>
      </c>
      <c r="F253" s="25"/>
      <c r="G253" s="25">
        <f t="shared" si="3"/>
        <v>2000</v>
      </c>
    </row>
    <row r="254" spans="1:221" s="29" customFormat="1" ht="12.75">
      <c r="A254" s="26" t="s">
        <v>134</v>
      </c>
      <c r="B254" s="27" t="s">
        <v>135</v>
      </c>
      <c r="C254" s="28">
        <f>C255</f>
        <v>24206</v>
      </c>
      <c r="D254" s="28">
        <f>D255</f>
        <v>0</v>
      </c>
      <c r="E254" s="28">
        <f>E255</f>
        <v>18206</v>
      </c>
      <c r="F254" s="28">
        <f>F255</f>
        <v>0</v>
      </c>
      <c r="G254" s="28">
        <f t="shared" si="3"/>
        <v>6000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7" ht="12.75">
      <c r="A255" s="12" t="s">
        <v>136</v>
      </c>
      <c r="B255" s="24" t="s">
        <v>137</v>
      </c>
      <c r="C255" s="25">
        <f>18206+6000</f>
        <v>24206</v>
      </c>
      <c r="D255" s="25">
        <v>0</v>
      </c>
      <c r="E255" s="25">
        <v>18206</v>
      </c>
      <c r="F255" s="25"/>
      <c r="G255" s="25">
        <f t="shared" si="3"/>
        <v>6000</v>
      </c>
    </row>
    <row r="256" spans="1:221" s="29" customFormat="1" ht="12.75">
      <c r="A256" s="26" t="s">
        <v>138</v>
      </c>
      <c r="B256" s="27" t="s">
        <v>139</v>
      </c>
      <c r="C256" s="28">
        <f>SUM(C257:C262)</f>
        <v>843388.3</v>
      </c>
      <c r="D256" s="28">
        <f>SUM(D257:D262)</f>
        <v>49064.79</v>
      </c>
      <c r="E256" s="28">
        <f>SUM(E257:E262)</f>
        <v>746573.7000000001</v>
      </c>
      <c r="F256" s="28">
        <f>SUM(F257:F262)</f>
        <v>0</v>
      </c>
      <c r="G256" s="28">
        <f t="shared" si="3"/>
        <v>47749.80999999994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7" ht="12.75">
      <c r="A257" s="12" t="s">
        <v>140</v>
      </c>
      <c r="B257" s="24" t="s">
        <v>141</v>
      </c>
      <c r="C257" s="25">
        <f>671960+640+4015</f>
        <v>676615</v>
      </c>
      <c r="D257" s="25">
        <f>639.74+4015</f>
        <v>4654.74</v>
      </c>
      <c r="E257" s="25">
        <v>671960.15</v>
      </c>
      <c r="F257" s="25"/>
      <c r="G257" s="25">
        <f t="shared" si="3"/>
        <v>0.10999999998603016</v>
      </c>
    </row>
    <row r="258" spans="1:7" ht="12.75">
      <c r="A258" s="12" t="s">
        <v>142</v>
      </c>
      <c r="B258" s="24" t="s">
        <v>143</v>
      </c>
      <c r="C258" s="25">
        <f>14195+6000</f>
        <v>20195</v>
      </c>
      <c r="D258" s="25">
        <v>3488</v>
      </c>
      <c r="E258" s="25">
        <v>14195.15</v>
      </c>
      <c r="F258" s="25"/>
      <c r="G258" s="25">
        <f t="shared" si="3"/>
        <v>2511.8500000000004</v>
      </c>
    </row>
    <row r="259" spans="1:7" ht="12.75">
      <c r="A259" s="12" t="s">
        <v>144</v>
      </c>
      <c r="B259" s="24" t="s">
        <v>145</v>
      </c>
      <c r="C259" s="25">
        <f>18230+19127+5600</f>
        <v>42957</v>
      </c>
      <c r="D259" s="25">
        <f>35514.3+5362</f>
        <v>40876.3</v>
      </c>
      <c r="E259" s="25">
        <v>1842.85</v>
      </c>
      <c r="F259" s="25"/>
      <c r="G259" s="25">
        <f t="shared" si="3"/>
        <v>237.84999999999718</v>
      </c>
    </row>
    <row r="260" spans="1:7" ht="12.75">
      <c r="A260" s="12" t="s">
        <v>146</v>
      </c>
      <c r="B260" s="24" t="s">
        <v>147</v>
      </c>
      <c r="C260" s="25">
        <f>55728+45.5</f>
        <v>55773.5</v>
      </c>
      <c r="D260" s="25">
        <f>45.75</f>
        <v>45.75</v>
      </c>
      <c r="E260" s="25">
        <v>55727.75</v>
      </c>
      <c r="F260" s="25"/>
      <c r="G260" s="25">
        <f aca="true" t="shared" si="4" ref="G260:G323">C260-D260-E260</f>
        <v>0</v>
      </c>
    </row>
    <row r="261" spans="1:7" ht="12.75">
      <c r="A261" s="12" t="s">
        <v>148</v>
      </c>
      <c r="B261" s="24" t="s">
        <v>149</v>
      </c>
      <c r="C261" s="25">
        <v>45000</v>
      </c>
      <c r="D261" s="25">
        <v>0</v>
      </c>
      <c r="E261" s="25">
        <v>0</v>
      </c>
      <c r="F261" s="25"/>
      <c r="G261" s="25">
        <f t="shared" si="4"/>
        <v>45000</v>
      </c>
    </row>
    <row r="262" spans="1:7" ht="12.75">
      <c r="A262" s="12" t="s">
        <v>150</v>
      </c>
      <c r="B262" s="24" t="s">
        <v>151</v>
      </c>
      <c r="C262" s="25">
        <v>2847.8</v>
      </c>
      <c r="D262" s="25">
        <v>0</v>
      </c>
      <c r="E262" s="25">
        <v>2847.8</v>
      </c>
      <c r="F262" s="25"/>
      <c r="G262" s="25">
        <f t="shared" si="4"/>
        <v>0</v>
      </c>
    </row>
    <row r="263" spans="1:221" s="23" customFormat="1" ht="12.75">
      <c r="A263" s="20" t="s">
        <v>152</v>
      </c>
      <c r="B263" s="21" t="s">
        <v>153</v>
      </c>
      <c r="C263" s="22">
        <f>C264+C277+C281+C292+C294+C300+C311+C322</f>
        <v>2381812</v>
      </c>
      <c r="D263" s="22">
        <f>D264+D277+D281+D292+D294+D300+D311+D322</f>
        <v>281497.44</v>
      </c>
      <c r="E263" s="22">
        <f>E264+E277+E281+E292+E294+E300+E311+E322</f>
        <v>1739143.9649999999</v>
      </c>
      <c r="F263" s="22">
        <f>F264+F277+F281+F292+F294+F300+F311+F322</f>
        <v>0</v>
      </c>
      <c r="G263" s="22">
        <f t="shared" si="4"/>
        <v>361170.5950000002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29" customFormat="1" ht="12.75">
      <c r="A264" s="26" t="s">
        <v>154</v>
      </c>
      <c r="B264" s="27" t="s">
        <v>155</v>
      </c>
      <c r="C264" s="28">
        <f>C265+C266+C269+C270+C271+C272+C273+C274+C275+C276</f>
        <v>629853</v>
      </c>
      <c r="D264" s="28">
        <f>D265+D266+D269+D270+D271+D272+D273+D274+D275+D276</f>
        <v>130040.4</v>
      </c>
      <c r="E264" s="28">
        <f>E265+E266+E269+E270+E271+E272+E273+E274+E275+E276</f>
        <v>475916.67500000005</v>
      </c>
      <c r="F264" s="28">
        <f>F265+F266+F269+F270+F271+F272+F273+F274+F275+F276</f>
        <v>0</v>
      </c>
      <c r="G264" s="28">
        <f t="shared" si="4"/>
        <v>23895.92499999993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7" ht="12.75">
      <c r="A265" s="12" t="s">
        <v>156</v>
      </c>
      <c r="B265" s="24" t="s">
        <v>157</v>
      </c>
      <c r="C265" s="25">
        <v>49302</v>
      </c>
      <c r="D265" s="25">
        <v>0</v>
      </c>
      <c r="E265" s="25">
        <v>49302</v>
      </c>
      <c r="F265" s="25"/>
      <c r="G265" s="25">
        <f t="shared" si="4"/>
        <v>0</v>
      </c>
    </row>
    <row r="266" spans="1:221" s="29" customFormat="1" ht="12.75">
      <c r="A266" s="26" t="s">
        <v>158</v>
      </c>
      <c r="B266" s="27" t="s">
        <v>159</v>
      </c>
      <c r="C266" s="28">
        <f>SUM(C267:C268)</f>
        <v>37774</v>
      </c>
      <c r="D266" s="28">
        <f>SUM(D267:D268)</f>
        <v>0</v>
      </c>
      <c r="E266" s="28">
        <f>SUM(E267:E268)</f>
        <v>37774</v>
      </c>
      <c r="F266" s="28">
        <f>SUM(F267:F268)</f>
        <v>0</v>
      </c>
      <c r="G266" s="28">
        <f t="shared" si="4"/>
        <v>0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7" ht="12.75">
      <c r="A267" s="12" t="s">
        <v>599</v>
      </c>
      <c r="B267" s="24" t="s">
        <v>159</v>
      </c>
      <c r="C267" s="25">
        <v>37774</v>
      </c>
      <c r="D267" s="25">
        <v>0</v>
      </c>
      <c r="E267" s="25">
        <v>37774</v>
      </c>
      <c r="F267" s="25"/>
      <c r="G267" s="25">
        <f t="shared" si="4"/>
        <v>0</v>
      </c>
    </row>
    <row r="268" spans="1:7" ht="12.75">
      <c r="A268" s="12" t="s">
        <v>600</v>
      </c>
      <c r="B268" s="24" t="s">
        <v>601</v>
      </c>
      <c r="C268" s="25">
        <v>0</v>
      </c>
      <c r="D268" s="25">
        <v>0</v>
      </c>
      <c r="E268" s="25">
        <v>0</v>
      </c>
      <c r="F268" s="25"/>
      <c r="G268" s="25">
        <f t="shared" si="4"/>
        <v>0</v>
      </c>
    </row>
    <row r="269" spans="1:7" ht="12.75">
      <c r="A269" s="12" t="s">
        <v>160</v>
      </c>
      <c r="B269" s="24" t="s">
        <v>161</v>
      </c>
      <c r="C269" s="25">
        <f>105600-1042</f>
        <v>104558</v>
      </c>
      <c r="D269" s="25">
        <v>101400</v>
      </c>
      <c r="E269" s="25">
        <v>3158</v>
      </c>
      <c r="F269" s="25"/>
      <c r="G269" s="25">
        <f t="shared" si="4"/>
        <v>0</v>
      </c>
    </row>
    <row r="270" spans="1:7" ht="12.75">
      <c r="A270" s="12" t="s">
        <v>162</v>
      </c>
      <c r="B270" s="24" t="s">
        <v>163</v>
      </c>
      <c r="C270" s="25">
        <f>128859+3000+5995</f>
        <v>137854</v>
      </c>
      <c r="D270" s="25">
        <v>8995</v>
      </c>
      <c r="E270" s="25">
        <v>128859</v>
      </c>
      <c r="F270" s="25"/>
      <c r="G270" s="25">
        <f t="shared" si="4"/>
        <v>0</v>
      </c>
    </row>
    <row r="271" spans="1:7" ht="12.75">
      <c r="A271" s="12" t="s">
        <v>164</v>
      </c>
      <c r="B271" s="24" t="s">
        <v>165</v>
      </c>
      <c r="C271" s="25">
        <f>108400+1042+2970</f>
        <v>112412</v>
      </c>
      <c r="D271" s="25">
        <v>5416.4</v>
      </c>
      <c r="E271" s="25">
        <f>108400-11065.85-3600</f>
        <v>93734.15</v>
      </c>
      <c r="F271" s="25"/>
      <c r="G271" s="25">
        <f t="shared" si="4"/>
        <v>13261.450000000012</v>
      </c>
    </row>
    <row r="272" spans="1:7" ht="12.75">
      <c r="A272" s="12" t="s">
        <v>166</v>
      </c>
      <c r="B272" s="24" t="s">
        <v>167</v>
      </c>
      <c r="C272" s="25">
        <f>60000+5475-2970</f>
        <v>62505</v>
      </c>
      <c r="D272" s="25">
        <v>5475</v>
      </c>
      <c r="E272" s="25">
        <f>60000-2970</f>
        <v>57030</v>
      </c>
      <c r="F272" s="25"/>
      <c r="G272" s="25">
        <f t="shared" si="4"/>
        <v>0</v>
      </c>
    </row>
    <row r="273" spans="1:7" ht="12.75">
      <c r="A273" s="12" t="s">
        <v>168</v>
      </c>
      <c r="B273" s="24" t="s">
        <v>169</v>
      </c>
      <c r="C273" s="25">
        <v>33810</v>
      </c>
      <c r="D273" s="25">
        <v>0</v>
      </c>
      <c r="E273" s="25">
        <v>33809.525</v>
      </c>
      <c r="F273" s="25"/>
      <c r="G273" s="25">
        <f t="shared" si="4"/>
        <v>0.4749999999985448</v>
      </c>
    </row>
    <row r="274" spans="1:7" ht="12.75">
      <c r="A274" s="12" t="s">
        <v>170</v>
      </c>
      <c r="B274" s="24" t="s">
        <v>1688</v>
      </c>
      <c r="C274" s="25">
        <f>60000-4040</f>
        <v>55960</v>
      </c>
      <c r="D274" s="25">
        <v>0</v>
      </c>
      <c r="E274" s="25">
        <f>60000-4040</f>
        <v>55960</v>
      </c>
      <c r="F274" s="25"/>
      <c r="G274" s="25">
        <f t="shared" si="4"/>
        <v>0</v>
      </c>
    </row>
    <row r="275" spans="1:7" ht="12.75">
      <c r="A275" s="12" t="s">
        <v>171</v>
      </c>
      <c r="B275" s="24" t="s">
        <v>172</v>
      </c>
      <c r="C275" s="25">
        <f>17600-3800+4040</f>
        <v>17840</v>
      </c>
      <c r="D275" s="25">
        <v>7206</v>
      </c>
      <c r="E275" s="25">
        <v>0</v>
      </c>
      <c r="F275" s="25"/>
      <c r="G275" s="25">
        <f t="shared" si="4"/>
        <v>10634</v>
      </c>
    </row>
    <row r="276" spans="1:7" ht="12.75">
      <c r="A276" s="12" t="s">
        <v>173</v>
      </c>
      <c r="B276" s="24" t="s">
        <v>127</v>
      </c>
      <c r="C276" s="25">
        <f>16290+1548</f>
        <v>17838</v>
      </c>
      <c r="D276" s="25">
        <v>1548</v>
      </c>
      <c r="E276" s="25">
        <v>16290</v>
      </c>
      <c r="F276" s="25"/>
      <c r="G276" s="25">
        <f t="shared" si="4"/>
        <v>0</v>
      </c>
    </row>
    <row r="277" spans="1:221" s="29" customFormat="1" ht="12.75">
      <c r="A277" s="26" t="s">
        <v>174</v>
      </c>
      <c r="B277" s="27" t="s">
        <v>175</v>
      </c>
      <c r="C277" s="28">
        <f>SUM(C278:C280)</f>
        <v>323896</v>
      </c>
      <c r="D277" s="28">
        <f>SUM(D278:D280)</f>
        <v>0</v>
      </c>
      <c r="E277" s="28">
        <f>SUM(E278:E280)</f>
        <v>323896.05</v>
      </c>
      <c r="F277" s="28">
        <f>SUM(F278:F280)</f>
        <v>0</v>
      </c>
      <c r="G277" s="28">
        <f t="shared" si="4"/>
        <v>-0.04999999998835847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7" ht="12.75">
      <c r="A278" s="12" t="s">
        <v>176</v>
      </c>
      <c r="B278" s="24" t="s">
        <v>177</v>
      </c>
      <c r="C278" s="25">
        <v>237896</v>
      </c>
      <c r="D278" s="25">
        <v>0</v>
      </c>
      <c r="E278" s="25">
        <v>237896.05</v>
      </c>
      <c r="F278" s="25"/>
      <c r="G278" s="25">
        <f t="shared" si="4"/>
        <v>-0.04999999998835847</v>
      </c>
    </row>
    <row r="279" spans="1:7" ht="12.75">
      <c r="A279" s="12" t="s">
        <v>178</v>
      </c>
      <c r="B279" s="24" t="s">
        <v>179</v>
      </c>
      <c r="C279" s="25">
        <v>0</v>
      </c>
      <c r="D279" s="25">
        <v>0</v>
      </c>
      <c r="E279" s="25">
        <v>0</v>
      </c>
      <c r="F279" s="25"/>
      <c r="G279" s="25">
        <f t="shared" si="4"/>
        <v>0</v>
      </c>
    </row>
    <row r="280" spans="1:7" ht="12.75">
      <c r="A280" s="12" t="s">
        <v>180</v>
      </c>
      <c r="B280" s="24" t="s">
        <v>181</v>
      </c>
      <c r="C280" s="25">
        <v>86000</v>
      </c>
      <c r="D280" s="25">
        <v>0</v>
      </c>
      <c r="E280" s="25">
        <v>86000</v>
      </c>
      <c r="F280" s="25"/>
      <c r="G280" s="25">
        <f t="shared" si="4"/>
        <v>0</v>
      </c>
    </row>
    <row r="281" spans="1:221" s="29" customFormat="1" ht="12.75">
      <c r="A281" s="26" t="s">
        <v>182</v>
      </c>
      <c r="B281" s="27" t="s">
        <v>183</v>
      </c>
      <c r="C281" s="28">
        <f>SUM(C282:C291)</f>
        <v>396224</v>
      </c>
      <c r="D281" s="28">
        <f>SUM(D282:D291)</f>
        <v>6584.54</v>
      </c>
      <c r="E281" s="28">
        <f>SUM(E282:E291)</f>
        <v>390838.525</v>
      </c>
      <c r="F281" s="28">
        <f>SUM(F282:F291)</f>
        <v>0</v>
      </c>
      <c r="G281" s="28">
        <f t="shared" si="4"/>
        <v>-1199.0650000000023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7" ht="12.75">
      <c r="A282" s="12" t="s">
        <v>184</v>
      </c>
      <c r="B282" s="24" t="s">
        <v>185</v>
      </c>
      <c r="C282" s="25">
        <v>46221</v>
      </c>
      <c r="D282" s="25">
        <v>0</v>
      </c>
      <c r="E282" s="25">
        <v>46221</v>
      </c>
      <c r="F282" s="25"/>
      <c r="G282" s="25">
        <f t="shared" si="4"/>
        <v>0</v>
      </c>
    </row>
    <row r="283" spans="1:7" ht="12.75">
      <c r="A283" s="12" t="s">
        <v>186</v>
      </c>
      <c r="B283" s="24" t="s">
        <v>163</v>
      </c>
      <c r="C283" s="25">
        <v>120805</v>
      </c>
      <c r="D283" s="25">
        <v>0</v>
      </c>
      <c r="E283" s="25">
        <v>120805</v>
      </c>
      <c r="F283" s="25"/>
      <c r="G283" s="25">
        <f t="shared" si="4"/>
        <v>0</v>
      </c>
    </row>
    <row r="284" spans="1:7" ht="12.75">
      <c r="A284" s="12" t="s">
        <v>187</v>
      </c>
      <c r="B284" s="24" t="s">
        <v>165</v>
      </c>
      <c r="C284" s="25">
        <f>44500+3805+5200</f>
        <v>53505</v>
      </c>
      <c r="D284" s="25">
        <v>3804.54</v>
      </c>
      <c r="E284" s="25">
        <f>44500+5200</f>
        <v>49700</v>
      </c>
      <c r="F284" s="25"/>
      <c r="G284" s="25">
        <f t="shared" si="4"/>
        <v>0.4599999999991269</v>
      </c>
    </row>
    <row r="285" spans="1:7" ht="12.75">
      <c r="A285" s="12" t="s">
        <v>188</v>
      </c>
      <c r="B285" s="24" t="s">
        <v>167</v>
      </c>
      <c r="C285" s="25">
        <f>42597+5200</f>
        <v>47797</v>
      </c>
      <c r="D285" s="25">
        <v>0</v>
      </c>
      <c r="E285" s="25">
        <f>42597+5200</f>
        <v>47797</v>
      </c>
      <c r="F285" s="25"/>
      <c r="G285" s="25">
        <f t="shared" si="4"/>
        <v>0</v>
      </c>
    </row>
    <row r="286" spans="1:7" ht="12.75">
      <c r="A286" s="12" t="s">
        <v>189</v>
      </c>
      <c r="B286" s="24" t="s">
        <v>169</v>
      </c>
      <c r="C286" s="25">
        <v>30429</v>
      </c>
      <c r="D286" s="25">
        <v>0</v>
      </c>
      <c r="E286" s="25">
        <v>30428.525</v>
      </c>
      <c r="F286" s="25"/>
      <c r="G286" s="25">
        <f t="shared" si="4"/>
        <v>0.4749999999985448</v>
      </c>
    </row>
    <row r="287" spans="1:7" ht="12.75">
      <c r="A287" s="12" t="s">
        <v>190</v>
      </c>
      <c r="B287" s="24" t="s">
        <v>1688</v>
      </c>
      <c r="C287" s="25">
        <f>39000+4000</f>
        <v>43000</v>
      </c>
      <c r="D287" s="25">
        <v>0</v>
      </c>
      <c r="E287" s="25">
        <f>39000+5200</f>
        <v>44200</v>
      </c>
      <c r="F287" s="25"/>
      <c r="G287" s="25">
        <f t="shared" si="4"/>
        <v>-1200</v>
      </c>
    </row>
    <row r="288" spans="1:7" ht="12.75">
      <c r="A288" s="12" t="s">
        <v>191</v>
      </c>
      <c r="B288" s="24" t="s">
        <v>192</v>
      </c>
      <c r="C288" s="25">
        <v>0</v>
      </c>
      <c r="D288" s="25">
        <v>0</v>
      </c>
      <c r="E288" s="25">
        <v>0</v>
      </c>
      <c r="F288" s="25"/>
      <c r="G288" s="25">
        <f t="shared" si="4"/>
        <v>0</v>
      </c>
    </row>
    <row r="289" spans="1:7" ht="12.75">
      <c r="A289" s="12" t="s">
        <v>193</v>
      </c>
      <c r="B289" s="24" t="s">
        <v>172</v>
      </c>
      <c r="C289" s="25">
        <v>0</v>
      </c>
      <c r="D289" s="25">
        <v>0</v>
      </c>
      <c r="E289" s="25">
        <v>0</v>
      </c>
      <c r="F289" s="25"/>
      <c r="G289" s="25">
        <f t="shared" si="4"/>
        <v>0</v>
      </c>
    </row>
    <row r="290" spans="1:7" ht="12.75">
      <c r="A290" s="12" t="s">
        <v>194</v>
      </c>
      <c r="B290" s="24" t="s">
        <v>127</v>
      </c>
      <c r="C290" s="25">
        <f>16290+2780</f>
        <v>19070</v>
      </c>
      <c r="D290" s="25">
        <v>2780</v>
      </c>
      <c r="E290" s="25">
        <v>16290</v>
      </c>
      <c r="F290" s="25"/>
      <c r="G290" s="25">
        <f t="shared" si="4"/>
        <v>0</v>
      </c>
    </row>
    <row r="291" spans="1:7" ht="12.75">
      <c r="A291" s="12" t="s">
        <v>195</v>
      </c>
      <c r="B291" s="24" t="s">
        <v>159</v>
      </c>
      <c r="C291" s="25">
        <v>35397</v>
      </c>
      <c r="D291" s="25">
        <v>0</v>
      </c>
      <c r="E291" s="25">
        <v>35397</v>
      </c>
      <c r="F291" s="25"/>
      <c r="G291" s="25">
        <f t="shared" si="4"/>
        <v>0</v>
      </c>
    </row>
    <row r="292" spans="1:221" s="29" customFormat="1" ht="12.75">
      <c r="A292" s="26" t="s">
        <v>196</v>
      </c>
      <c r="B292" s="27" t="s">
        <v>197</v>
      </c>
      <c r="C292" s="28">
        <f>C293</f>
        <v>3996</v>
      </c>
      <c r="D292" s="28">
        <f>D293</f>
        <v>0</v>
      </c>
      <c r="E292" s="28">
        <f>E293</f>
        <v>3996</v>
      </c>
      <c r="F292" s="28">
        <f>F293</f>
        <v>0</v>
      </c>
      <c r="G292" s="28">
        <f t="shared" si="4"/>
        <v>0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7" ht="12.75">
      <c r="A293" s="12" t="s">
        <v>198</v>
      </c>
      <c r="B293" s="24" t="s">
        <v>199</v>
      </c>
      <c r="C293" s="25">
        <v>3996</v>
      </c>
      <c r="D293" s="25">
        <v>0</v>
      </c>
      <c r="E293" s="25">
        <v>3996</v>
      </c>
      <c r="F293" s="25"/>
      <c r="G293" s="25">
        <f t="shared" si="4"/>
        <v>0</v>
      </c>
    </row>
    <row r="294" spans="1:221" s="29" customFormat="1" ht="12.75">
      <c r="A294" s="26" t="s">
        <v>200</v>
      </c>
      <c r="B294" s="27" t="s">
        <v>139</v>
      </c>
      <c r="C294" s="28">
        <f>SUM(C295:C299)</f>
        <v>177704</v>
      </c>
      <c r="D294" s="28">
        <f>SUM(D295:D299)</f>
        <v>126</v>
      </c>
      <c r="E294" s="28">
        <f>SUM(E295:E299)</f>
        <v>177577.93999999997</v>
      </c>
      <c r="F294" s="28">
        <f>SUM(F295:F299)</f>
        <v>0</v>
      </c>
      <c r="G294" s="28">
        <f t="shared" si="4"/>
        <v>0.060000000026775524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7" ht="12.75">
      <c r="A295" s="12" t="s">
        <v>201</v>
      </c>
      <c r="B295" s="24" t="s">
        <v>141</v>
      </c>
      <c r="C295" s="25">
        <v>169608</v>
      </c>
      <c r="D295" s="25">
        <v>0</v>
      </c>
      <c r="E295" s="25">
        <v>169607.55</v>
      </c>
      <c r="F295" s="25"/>
      <c r="G295" s="25">
        <f t="shared" si="4"/>
        <v>0.45000000001164153</v>
      </c>
    </row>
    <row r="296" spans="1:7" ht="12.75">
      <c r="A296" s="12" t="s">
        <v>202</v>
      </c>
      <c r="B296" s="24" t="s">
        <v>143</v>
      </c>
      <c r="C296" s="25">
        <f>1500+25</f>
        <v>1525</v>
      </c>
      <c r="D296" s="25">
        <v>0</v>
      </c>
      <c r="E296" s="25">
        <v>1525</v>
      </c>
      <c r="F296" s="25"/>
      <c r="G296" s="25">
        <f t="shared" si="4"/>
        <v>0</v>
      </c>
    </row>
    <row r="297" spans="1:7" ht="12.75">
      <c r="A297" s="12" t="s">
        <v>203</v>
      </c>
      <c r="B297" s="24" t="s">
        <v>145</v>
      </c>
      <c r="C297" s="25">
        <f>5646.3-5646.3</f>
        <v>0</v>
      </c>
      <c r="D297" s="25">
        <v>0</v>
      </c>
      <c r="E297" s="25">
        <v>0.3000000000001819</v>
      </c>
      <c r="F297" s="25"/>
      <c r="G297" s="25">
        <f t="shared" si="4"/>
        <v>-0.3000000000001819</v>
      </c>
    </row>
    <row r="298" spans="1:7" ht="12.75">
      <c r="A298" s="12" t="s">
        <v>204</v>
      </c>
      <c r="B298" s="24" t="s">
        <v>133</v>
      </c>
      <c r="C298" s="25">
        <f>3000-1819</f>
        <v>1181</v>
      </c>
      <c r="D298" s="25">
        <v>126</v>
      </c>
      <c r="E298" s="25">
        <v>1055.09</v>
      </c>
      <c r="F298" s="25"/>
      <c r="G298" s="25">
        <f t="shared" si="4"/>
        <v>-0.08999999999991815</v>
      </c>
    </row>
    <row r="299" spans="1:7" ht="12.75">
      <c r="A299" s="12" t="s">
        <v>205</v>
      </c>
      <c r="B299" s="24" t="s">
        <v>149</v>
      </c>
      <c r="C299" s="25">
        <f>9000-3610</f>
        <v>5390</v>
      </c>
      <c r="D299" s="25">
        <v>0</v>
      </c>
      <c r="E299" s="25">
        <v>5390</v>
      </c>
      <c r="F299" s="25"/>
      <c r="G299" s="25">
        <f t="shared" si="4"/>
        <v>0</v>
      </c>
    </row>
    <row r="300" spans="1:221" s="29" customFormat="1" ht="12.75">
      <c r="A300" s="26" t="s">
        <v>206</v>
      </c>
      <c r="B300" s="27" t="s">
        <v>207</v>
      </c>
      <c r="C300" s="28">
        <f>SUM(C301:C310)</f>
        <v>536473.5</v>
      </c>
      <c r="D300" s="28">
        <f>SUM(D301:D310)</f>
        <v>142371</v>
      </c>
      <c r="E300" s="28">
        <f>SUM(E301:E310)</f>
        <v>289902.275</v>
      </c>
      <c r="F300" s="28">
        <f>SUM(F301:F310)</f>
        <v>0</v>
      </c>
      <c r="G300" s="28">
        <f t="shared" si="4"/>
        <v>104200.22499999998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7" ht="12.75">
      <c r="A301" s="12" t="s">
        <v>208</v>
      </c>
      <c r="B301" s="24" t="s">
        <v>185</v>
      </c>
      <c r="C301" s="25">
        <v>39416</v>
      </c>
      <c r="D301" s="25">
        <v>0</v>
      </c>
      <c r="E301" s="25">
        <v>39416</v>
      </c>
      <c r="F301" s="25"/>
      <c r="G301" s="25">
        <f t="shared" si="4"/>
        <v>0</v>
      </c>
    </row>
    <row r="302" spans="1:7" ht="12.75">
      <c r="A302" s="12" t="s">
        <v>209</v>
      </c>
      <c r="B302" s="24" t="s">
        <v>159</v>
      </c>
      <c r="C302" s="25">
        <f>30074+5</f>
        <v>30079</v>
      </c>
      <c r="D302" s="25">
        <v>0</v>
      </c>
      <c r="E302" s="25">
        <v>30079</v>
      </c>
      <c r="F302" s="25"/>
      <c r="G302" s="25">
        <f t="shared" si="4"/>
        <v>0</v>
      </c>
    </row>
    <row r="303" spans="1:7" ht="12.75">
      <c r="A303" s="12" t="s">
        <v>210</v>
      </c>
      <c r="B303" s="24" t="s">
        <v>161</v>
      </c>
      <c r="C303" s="25">
        <f>14400-14400</f>
        <v>0</v>
      </c>
      <c r="D303" s="25">
        <v>0</v>
      </c>
      <c r="E303" s="25">
        <v>0</v>
      </c>
      <c r="F303" s="25"/>
      <c r="G303" s="25">
        <f t="shared" si="4"/>
        <v>0</v>
      </c>
    </row>
    <row r="304" spans="1:7" ht="12.75">
      <c r="A304" s="12" t="s">
        <v>211</v>
      </c>
      <c r="B304" s="24" t="s">
        <v>163</v>
      </c>
      <c r="C304" s="25">
        <v>103122</v>
      </c>
      <c r="D304" s="25">
        <v>0</v>
      </c>
      <c r="E304" s="25">
        <v>103122</v>
      </c>
      <c r="F304" s="25"/>
      <c r="G304" s="25">
        <f t="shared" si="4"/>
        <v>0</v>
      </c>
    </row>
    <row r="305" spans="1:7" ht="12.75">
      <c r="A305" s="12" t="s">
        <v>212</v>
      </c>
      <c r="B305" s="24" t="s">
        <v>165</v>
      </c>
      <c r="C305" s="25">
        <f>206962-3000-18454-9499</f>
        <v>176009</v>
      </c>
      <c r="D305" s="25">
        <v>82287</v>
      </c>
      <c r="E305" s="25">
        <f>26962.25-9240</f>
        <v>17722.25</v>
      </c>
      <c r="F305" s="25"/>
      <c r="G305" s="25">
        <f t="shared" si="4"/>
        <v>75999.75</v>
      </c>
    </row>
    <row r="306" spans="1:7" ht="12.75">
      <c r="A306" s="12" t="s">
        <v>213</v>
      </c>
      <c r="B306" s="24" t="s">
        <v>167</v>
      </c>
      <c r="C306" s="25">
        <f>70000+3000-9240</f>
        <v>63760</v>
      </c>
      <c r="D306" s="25">
        <v>52000</v>
      </c>
      <c r="E306" s="25">
        <f>21000-9240</f>
        <v>11760</v>
      </c>
      <c r="F306" s="25"/>
      <c r="G306" s="25">
        <f t="shared" si="4"/>
        <v>0</v>
      </c>
    </row>
    <row r="307" spans="1:7" ht="12.75">
      <c r="A307" s="12" t="s">
        <v>214</v>
      </c>
      <c r="B307" s="24" t="s">
        <v>169</v>
      </c>
      <c r="C307" s="25">
        <v>33810</v>
      </c>
      <c r="D307" s="25">
        <v>0</v>
      </c>
      <c r="E307" s="25">
        <v>33809.525</v>
      </c>
      <c r="F307" s="25"/>
      <c r="G307" s="25">
        <f t="shared" si="4"/>
        <v>0.4749999999985448</v>
      </c>
    </row>
    <row r="308" spans="1:7" ht="12.75">
      <c r="A308" s="12" t="s">
        <v>215</v>
      </c>
      <c r="B308" s="24" t="s">
        <v>1688</v>
      </c>
      <c r="C308" s="25">
        <f>21000+7498+3400+3312</f>
        <v>35210</v>
      </c>
      <c r="D308" s="25">
        <v>0</v>
      </c>
      <c r="E308" s="25">
        <f>21000-6790</f>
        <v>14210</v>
      </c>
      <c r="F308" s="25"/>
      <c r="G308" s="25">
        <f t="shared" si="4"/>
        <v>21000</v>
      </c>
    </row>
    <row r="309" spans="1:7" ht="12.75">
      <c r="A309" s="12" t="s">
        <v>216</v>
      </c>
      <c r="B309" s="24" t="s">
        <v>172</v>
      </c>
      <c r="C309" s="25">
        <v>7200</v>
      </c>
      <c r="D309" s="25">
        <v>0</v>
      </c>
      <c r="E309" s="25">
        <v>0</v>
      </c>
      <c r="F309" s="25"/>
      <c r="G309" s="25">
        <f t="shared" si="4"/>
        <v>7200</v>
      </c>
    </row>
    <row r="310" spans="1:7" ht="12.75">
      <c r="A310" s="12" t="s">
        <v>217</v>
      </c>
      <c r="B310" s="24" t="s">
        <v>127</v>
      </c>
      <c r="C310" s="25">
        <f>17467.5+6720+1364+5646+1819+3610+9499+1742</f>
        <v>47867.5</v>
      </c>
      <c r="D310" s="25">
        <f>6720+1364</f>
        <v>8084</v>
      </c>
      <c r="E310" s="25">
        <f>17467.5+22316</f>
        <v>39783.5</v>
      </c>
      <c r="F310" s="25"/>
      <c r="G310" s="25">
        <f t="shared" si="4"/>
        <v>0</v>
      </c>
    </row>
    <row r="311" spans="1:221" s="29" customFormat="1" ht="12.75">
      <c r="A311" s="26" t="s">
        <v>218</v>
      </c>
      <c r="B311" s="27" t="s">
        <v>219</v>
      </c>
      <c r="C311" s="44">
        <f>SUM(C312:C321)</f>
        <v>197392.5</v>
      </c>
      <c r="D311" s="44">
        <f>SUM(D312:D321)</f>
        <v>2375.5</v>
      </c>
      <c r="E311" s="44">
        <f>SUM(E312:E321)</f>
        <v>77016.5</v>
      </c>
      <c r="F311" s="44">
        <f>SUM(F312:F321)</f>
        <v>0</v>
      </c>
      <c r="G311" s="28">
        <f t="shared" si="4"/>
        <v>118000.5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</row>
    <row r="312" spans="1:7" ht="12.75">
      <c r="A312" s="12" t="s">
        <v>220</v>
      </c>
      <c r="B312" s="24" t="s">
        <v>157</v>
      </c>
      <c r="C312" s="25">
        <v>12326</v>
      </c>
      <c r="D312" s="25">
        <v>0</v>
      </c>
      <c r="E312" s="25">
        <v>12326</v>
      </c>
      <c r="F312" s="25"/>
      <c r="G312" s="25">
        <f t="shared" si="4"/>
        <v>0</v>
      </c>
    </row>
    <row r="313" spans="1:7" ht="12.75">
      <c r="A313" s="12" t="s">
        <v>231</v>
      </c>
      <c r="B313" s="24" t="s">
        <v>159</v>
      </c>
      <c r="C313" s="25">
        <v>9255</v>
      </c>
      <c r="D313" s="25">
        <v>0</v>
      </c>
      <c r="E313" s="25">
        <v>9255</v>
      </c>
      <c r="F313" s="25"/>
      <c r="G313" s="25">
        <f t="shared" si="4"/>
        <v>0</v>
      </c>
    </row>
    <row r="314" spans="1:7" ht="12.75">
      <c r="A314" s="12" t="s">
        <v>232</v>
      </c>
      <c r="B314" s="24" t="s">
        <v>161</v>
      </c>
      <c r="C314" s="25">
        <f>4400-1000-3400</f>
        <v>0</v>
      </c>
      <c r="D314" s="25">
        <v>0</v>
      </c>
      <c r="E314" s="25">
        <v>0</v>
      </c>
      <c r="F314" s="25"/>
      <c r="G314" s="25">
        <f t="shared" si="4"/>
        <v>0</v>
      </c>
    </row>
    <row r="315" spans="1:7" ht="12.75">
      <c r="A315" s="12" t="s">
        <v>233</v>
      </c>
      <c r="B315" s="24" t="s">
        <v>163</v>
      </c>
      <c r="C315" s="25">
        <v>32215</v>
      </c>
      <c r="D315" s="25">
        <v>0</v>
      </c>
      <c r="E315" s="25">
        <v>32215</v>
      </c>
      <c r="F315" s="25"/>
      <c r="G315" s="25">
        <f t="shared" si="4"/>
        <v>0</v>
      </c>
    </row>
    <row r="316" spans="1:7" ht="12.75">
      <c r="A316" s="12" t="s">
        <v>234</v>
      </c>
      <c r="B316" s="24" t="s">
        <v>165</v>
      </c>
      <c r="C316" s="25">
        <f>0+7899+110101</f>
        <v>118000</v>
      </c>
      <c r="D316" s="25">
        <v>0</v>
      </c>
      <c r="E316" s="25">
        <v>0</v>
      </c>
      <c r="F316" s="25"/>
      <c r="G316" s="25">
        <f t="shared" si="4"/>
        <v>118000</v>
      </c>
    </row>
    <row r="317" spans="1:7" ht="12.75">
      <c r="A317" s="12" t="s">
        <v>235</v>
      </c>
      <c r="B317" s="24" t="s">
        <v>167</v>
      </c>
      <c r="C317" s="25">
        <v>0</v>
      </c>
      <c r="D317" s="25">
        <v>0</v>
      </c>
      <c r="E317" s="25">
        <v>0</v>
      </c>
      <c r="F317" s="25"/>
      <c r="G317" s="25">
        <f t="shared" si="4"/>
        <v>0</v>
      </c>
    </row>
    <row r="318" spans="1:7" ht="12.75">
      <c r="A318" s="12" t="s">
        <v>236</v>
      </c>
      <c r="B318" s="24" t="s">
        <v>169</v>
      </c>
      <c r="C318" s="25">
        <v>10143</v>
      </c>
      <c r="D318" s="25">
        <v>0</v>
      </c>
      <c r="E318" s="25">
        <v>10143</v>
      </c>
      <c r="F318" s="25"/>
      <c r="G318" s="25">
        <f t="shared" si="4"/>
        <v>0</v>
      </c>
    </row>
    <row r="319" spans="1:7" ht="12.75">
      <c r="A319" s="12" t="s">
        <v>237</v>
      </c>
      <c r="B319" s="24" t="s">
        <v>1688</v>
      </c>
      <c r="C319" s="25">
        <v>0</v>
      </c>
      <c r="D319" s="25">
        <v>0</v>
      </c>
      <c r="E319" s="25">
        <v>0</v>
      </c>
      <c r="F319" s="25"/>
      <c r="G319" s="25">
        <f t="shared" si="4"/>
        <v>0</v>
      </c>
    </row>
    <row r="320" spans="1:7" ht="12.75">
      <c r="A320" s="12" t="s">
        <v>238</v>
      </c>
      <c r="B320" s="24" t="s">
        <v>172</v>
      </c>
      <c r="C320" s="25">
        <f>0+1012</f>
        <v>1012</v>
      </c>
      <c r="D320" s="25">
        <v>1011.5</v>
      </c>
      <c r="E320" s="25">
        <v>0</v>
      </c>
      <c r="F320" s="25"/>
      <c r="G320" s="25">
        <f t="shared" si="4"/>
        <v>0.5</v>
      </c>
    </row>
    <row r="321" spans="1:7" ht="12.75">
      <c r="A321" s="12" t="s">
        <v>239</v>
      </c>
      <c r="B321" s="24" t="s">
        <v>127</v>
      </c>
      <c r="C321" s="25">
        <f>13077.5+1364</f>
        <v>14441.5</v>
      </c>
      <c r="D321" s="25">
        <v>1364</v>
      </c>
      <c r="E321" s="25">
        <v>13077.5</v>
      </c>
      <c r="F321" s="25"/>
      <c r="G321" s="25">
        <f t="shared" si="4"/>
        <v>0</v>
      </c>
    </row>
    <row r="322" spans="1:221" s="29" customFormat="1" ht="12.75">
      <c r="A322" s="26" t="s">
        <v>521</v>
      </c>
      <c r="B322" s="27" t="s">
        <v>381</v>
      </c>
      <c r="C322" s="44">
        <f>C323+C330+C331+C332+C333</f>
        <v>116273</v>
      </c>
      <c r="D322" s="44">
        <f>D323+D330+D331+D332+D333</f>
        <v>0</v>
      </c>
      <c r="E322" s="44">
        <f>E323+E330+E331+E332+E333</f>
        <v>0</v>
      </c>
      <c r="F322" s="44">
        <f>F323+F330+F331+F332+F333</f>
        <v>0</v>
      </c>
      <c r="G322" s="28">
        <f t="shared" si="4"/>
        <v>116273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</row>
    <row r="323" spans="1:221" s="29" customFormat="1" ht="12.75">
      <c r="A323" s="26" t="s">
        <v>368</v>
      </c>
      <c r="B323" s="27" t="s">
        <v>382</v>
      </c>
      <c r="C323" s="28">
        <f>SUM(C324:C329)</f>
        <v>80953</v>
      </c>
      <c r="D323" s="28">
        <f>SUM(D324:D329)</f>
        <v>0</v>
      </c>
      <c r="E323" s="28">
        <f>SUM(E324:E329)</f>
        <v>0</v>
      </c>
      <c r="F323" s="28">
        <f>SUM(F324:F329)</f>
        <v>0</v>
      </c>
      <c r="G323" s="28">
        <f t="shared" si="4"/>
        <v>80953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</row>
    <row r="324" spans="1:7" ht="12.75">
      <c r="A324" s="12" t="s">
        <v>369</v>
      </c>
      <c r="B324" s="24" t="s">
        <v>383</v>
      </c>
      <c r="C324" s="25">
        <v>13000</v>
      </c>
      <c r="D324" s="25">
        <v>0</v>
      </c>
      <c r="E324" s="25">
        <v>0</v>
      </c>
      <c r="F324" s="25"/>
      <c r="G324" s="25">
        <f aca="true" t="shared" si="5" ref="G324:G387">C324-D324-E324</f>
        <v>13000</v>
      </c>
    </row>
    <row r="325" spans="1:7" ht="12.75">
      <c r="A325" s="12" t="s">
        <v>370</v>
      </c>
      <c r="B325" s="24" t="s">
        <v>384</v>
      </c>
      <c r="C325" s="25">
        <v>8778</v>
      </c>
      <c r="D325" s="25">
        <v>0</v>
      </c>
      <c r="E325" s="25">
        <v>0</v>
      </c>
      <c r="F325" s="25"/>
      <c r="G325" s="25">
        <f t="shared" si="5"/>
        <v>8778</v>
      </c>
    </row>
    <row r="326" spans="1:7" ht="12.75">
      <c r="A326" s="12" t="s">
        <v>371</v>
      </c>
      <c r="B326" s="24" t="s">
        <v>385</v>
      </c>
      <c r="C326" s="25">
        <f>59211-11211</f>
        <v>48000</v>
      </c>
      <c r="D326" s="25">
        <v>0</v>
      </c>
      <c r="E326" s="25">
        <v>0</v>
      </c>
      <c r="F326" s="25"/>
      <c r="G326" s="25">
        <f t="shared" si="5"/>
        <v>48000</v>
      </c>
    </row>
    <row r="327" spans="1:7" ht="12.75">
      <c r="A327" s="12" t="s">
        <v>372</v>
      </c>
      <c r="B327" s="24" t="s">
        <v>1545</v>
      </c>
      <c r="C327" s="25">
        <v>2175</v>
      </c>
      <c r="D327" s="25">
        <v>0</v>
      </c>
      <c r="E327" s="25">
        <v>0</v>
      </c>
      <c r="F327" s="25"/>
      <c r="G327" s="25">
        <f t="shared" si="5"/>
        <v>2175</v>
      </c>
    </row>
    <row r="328" spans="1:7" ht="12.75">
      <c r="A328" s="12" t="s">
        <v>373</v>
      </c>
      <c r="B328" s="24" t="s">
        <v>386</v>
      </c>
      <c r="C328" s="25">
        <v>2400</v>
      </c>
      <c r="D328" s="25">
        <v>0</v>
      </c>
      <c r="E328" s="25">
        <v>0</v>
      </c>
      <c r="F328" s="25"/>
      <c r="G328" s="25">
        <f t="shared" si="5"/>
        <v>2400</v>
      </c>
    </row>
    <row r="329" spans="1:7" ht="12.75">
      <c r="A329" s="12" t="s">
        <v>374</v>
      </c>
      <c r="B329" s="24" t="s">
        <v>1688</v>
      </c>
      <c r="C329" s="25">
        <v>6600</v>
      </c>
      <c r="D329" s="25">
        <v>0</v>
      </c>
      <c r="E329" s="25">
        <v>0</v>
      </c>
      <c r="F329" s="25"/>
      <c r="G329" s="25">
        <f t="shared" si="5"/>
        <v>6600</v>
      </c>
    </row>
    <row r="330" spans="1:7" ht="12.75">
      <c r="A330" s="12" t="s">
        <v>375</v>
      </c>
      <c r="B330" s="24" t="s">
        <v>387</v>
      </c>
      <c r="C330" s="25">
        <v>6000</v>
      </c>
      <c r="D330" s="25">
        <v>0</v>
      </c>
      <c r="E330" s="25">
        <v>0</v>
      </c>
      <c r="F330" s="25"/>
      <c r="G330" s="25">
        <f t="shared" si="5"/>
        <v>6000</v>
      </c>
    </row>
    <row r="331" spans="1:7" ht="12.75">
      <c r="A331" s="12" t="s">
        <v>376</v>
      </c>
      <c r="B331" s="24" t="s">
        <v>388</v>
      </c>
      <c r="C331" s="25">
        <v>3000</v>
      </c>
      <c r="D331" s="25">
        <v>0</v>
      </c>
      <c r="E331" s="25">
        <v>0</v>
      </c>
      <c r="F331" s="25"/>
      <c r="G331" s="25">
        <f t="shared" si="5"/>
        <v>3000</v>
      </c>
    </row>
    <row r="332" spans="1:7" ht="12.75">
      <c r="A332" s="12" t="s">
        <v>377</v>
      </c>
      <c r="B332" s="24" t="s">
        <v>389</v>
      </c>
      <c r="C332" s="25">
        <v>800</v>
      </c>
      <c r="D332" s="25">
        <v>0</v>
      </c>
      <c r="E332" s="25">
        <v>0</v>
      </c>
      <c r="F332" s="25"/>
      <c r="G332" s="25">
        <f t="shared" si="5"/>
        <v>800</v>
      </c>
    </row>
    <row r="333" spans="1:221" s="29" customFormat="1" ht="12.75">
      <c r="A333" s="26" t="s">
        <v>378</v>
      </c>
      <c r="B333" s="27" t="s">
        <v>754</v>
      </c>
      <c r="C333" s="28">
        <f>SUM(C334:C335)</f>
        <v>25520</v>
      </c>
      <c r="D333" s="28">
        <f>SUM(D334:D335)</f>
        <v>0</v>
      </c>
      <c r="E333" s="28">
        <f>SUM(E334:E335)</f>
        <v>0</v>
      </c>
      <c r="F333" s="28">
        <f>SUM(F334:F335)</f>
        <v>0</v>
      </c>
      <c r="G333" s="28">
        <f t="shared" si="5"/>
        <v>25520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</row>
    <row r="334" spans="1:7" ht="12.75">
      <c r="A334" s="12" t="s">
        <v>379</v>
      </c>
      <c r="B334" s="24" t="s">
        <v>390</v>
      </c>
      <c r="C334" s="25">
        <v>14960</v>
      </c>
      <c r="D334" s="25">
        <v>0</v>
      </c>
      <c r="E334" s="25">
        <v>0</v>
      </c>
      <c r="F334" s="25"/>
      <c r="G334" s="25">
        <f t="shared" si="5"/>
        <v>14960</v>
      </c>
    </row>
    <row r="335" spans="1:7" ht="12.75">
      <c r="A335" s="12" t="s">
        <v>380</v>
      </c>
      <c r="B335" s="24" t="s">
        <v>391</v>
      </c>
      <c r="C335" s="25">
        <v>10560</v>
      </c>
      <c r="D335" s="25">
        <v>0</v>
      </c>
      <c r="E335" s="25">
        <v>0</v>
      </c>
      <c r="F335" s="25"/>
      <c r="G335" s="25">
        <f t="shared" si="5"/>
        <v>10560</v>
      </c>
    </row>
    <row r="336" spans="1:7" ht="12.75">
      <c r="A336" s="12" t="s">
        <v>240</v>
      </c>
      <c r="B336" s="15" t="s">
        <v>241</v>
      </c>
      <c r="C336" s="14">
        <f>C337+C493</f>
        <v>4651825.84</v>
      </c>
      <c r="D336" s="14">
        <f>D337+D493</f>
        <v>48091.42</v>
      </c>
      <c r="E336" s="14">
        <f>E337+E493</f>
        <v>4161629.83</v>
      </c>
      <c r="F336" s="14">
        <f>F337+F493</f>
        <v>210000</v>
      </c>
      <c r="G336" s="14">
        <f>G337+G493</f>
        <v>232104.59</v>
      </c>
    </row>
    <row r="337" spans="1:221" s="19" customFormat="1" ht="12.75">
      <c r="A337" s="16" t="s">
        <v>242</v>
      </c>
      <c r="B337" s="17" t="s">
        <v>243</v>
      </c>
      <c r="C337" s="18">
        <f>C338+C399+C472+C473+C479+C492</f>
        <v>4347619.84</v>
      </c>
      <c r="D337" s="18">
        <f>D338+D399+D472+D473+D479+D492</f>
        <v>43807.42</v>
      </c>
      <c r="E337" s="18">
        <f>E338+E399+E472+E473+E479+E492</f>
        <v>3913760.49</v>
      </c>
      <c r="F337" s="18">
        <f>F338+F399+F472+F473+F479+F492</f>
        <v>210000</v>
      </c>
      <c r="G337" s="18">
        <f>G338+G399+G472+G473+G479+G492</f>
        <v>180051.93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</row>
    <row r="338" spans="1:221" s="23" customFormat="1" ht="12.75">
      <c r="A338" s="20" t="s">
        <v>244</v>
      </c>
      <c r="B338" s="21" t="s">
        <v>245</v>
      </c>
      <c r="C338" s="22">
        <f>C339+C340+C372+C382</f>
        <v>1075834.3</v>
      </c>
      <c r="D338" s="22">
        <f>D339+D340+D372+D382</f>
        <v>17465.12</v>
      </c>
      <c r="E338" s="22">
        <f>E339+E340+E372+E382</f>
        <v>1056370.18</v>
      </c>
      <c r="F338" s="22">
        <f>F339+F340+F372+F382</f>
        <v>0</v>
      </c>
      <c r="G338" s="22">
        <f t="shared" si="5"/>
        <v>1999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</row>
    <row r="339" spans="1:7" ht="12.75">
      <c r="A339" s="12" t="s">
        <v>246</v>
      </c>
      <c r="B339" s="24" t="s">
        <v>247</v>
      </c>
      <c r="C339" s="25">
        <v>14137</v>
      </c>
      <c r="D339" s="25">
        <v>0</v>
      </c>
      <c r="E339" s="25">
        <v>14137.3</v>
      </c>
      <c r="F339" s="25"/>
      <c r="G339" s="25">
        <f t="shared" si="5"/>
        <v>-0.2999999999992724</v>
      </c>
    </row>
    <row r="340" spans="1:221" s="29" customFormat="1" ht="12.75">
      <c r="A340" s="26" t="s">
        <v>248</v>
      </c>
      <c r="B340" s="27" t="s">
        <v>249</v>
      </c>
      <c r="C340" s="28">
        <f>C341+C364+C369</f>
        <v>657479</v>
      </c>
      <c r="D340" s="28">
        <f>D341+D364+D369</f>
        <v>0</v>
      </c>
      <c r="E340" s="28">
        <f>E341+E364+E369</f>
        <v>657478.87</v>
      </c>
      <c r="F340" s="28">
        <f>F341+F364+F369</f>
        <v>0</v>
      </c>
      <c r="G340" s="28">
        <f t="shared" si="5"/>
        <v>0.1300000000046566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</row>
    <row r="341" spans="1:221" s="29" customFormat="1" ht="12.75">
      <c r="A341" s="26" t="s">
        <v>250</v>
      </c>
      <c r="B341" s="27" t="s">
        <v>251</v>
      </c>
      <c r="C341" s="28">
        <f>C342+C348+C363</f>
        <v>266479</v>
      </c>
      <c r="D341" s="28">
        <f>D342+D348+D363</f>
        <v>0</v>
      </c>
      <c r="E341" s="28">
        <f>E342+E348+E363</f>
        <v>266479</v>
      </c>
      <c r="F341" s="28">
        <f>F342+F348+F363</f>
        <v>0</v>
      </c>
      <c r="G341" s="28">
        <f t="shared" si="5"/>
        <v>0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</row>
    <row r="342" spans="1:221" s="41" customFormat="1" ht="12.75">
      <c r="A342" s="26" t="s">
        <v>252</v>
      </c>
      <c r="B342" s="48" t="s">
        <v>253</v>
      </c>
      <c r="C342" s="40">
        <f>SUM(C343:C347)</f>
        <v>85690</v>
      </c>
      <c r="D342" s="40">
        <f>SUM(D343:D347)</f>
        <v>0</v>
      </c>
      <c r="E342" s="40">
        <f>SUM(E343:E347)</f>
        <v>85690</v>
      </c>
      <c r="F342" s="40">
        <f>SUM(F343:F347)</f>
        <v>0</v>
      </c>
      <c r="G342" s="40">
        <f t="shared" si="5"/>
        <v>0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</row>
    <row r="343" spans="1:7" ht="12.75">
      <c r="A343" s="12" t="s">
        <v>254</v>
      </c>
      <c r="B343" s="24" t="s">
        <v>255</v>
      </c>
      <c r="C343" s="25">
        <v>3300</v>
      </c>
      <c r="D343" s="25">
        <v>0</v>
      </c>
      <c r="E343" s="25">
        <v>3300</v>
      </c>
      <c r="F343" s="25"/>
      <c r="G343" s="25">
        <f t="shared" si="5"/>
        <v>0</v>
      </c>
    </row>
    <row r="344" spans="1:7" ht="12.75">
      <c r="A344" s="12" t="s">
        <v>256</v>
      </c>
      <c r="B344" s="24" t="s">
        <v>257</v>
      </c>
      <c r="C344" s="25">
        <v>2520</v>
      </c>
      <c r="D344" s="25">
        <v>0</v>
      </c>
      <c r="E344" s="25">
        <v>2520</v>
      </c>
      <c r="F344" s="25"/>
      <c r="G344" s="25">
        <f t="shared" si="5"/>
        <v>0</v>
      </c>
    </row>
    <row r="345" spans="1:7" ht="12.75">
      <c r="A345" s="12" t="s">
        <v>258</v>
      </c>
      <c r="B345" s="24" t="s">
        <v>259</v>
      </c>
      <c r="C345" s="25">
        <v>5040</v>
      </c>
      <c r="D345" s="25">
        <v>0</v>
      </c>
      <c r="E345" s="25">
        <v>5040</v>
      </c>
      <c r="F345" s="25"/>
      <c r="G345" s="25">
        <f t="shared" si="5"/>
        <v>0</v>
      </c>
    </row>
    <row r="346" spans="1:7" ht="12.75">
      <c r="A346" s="12" t="s">
        <v>260</v>
      </c>
      <c r="B346" s="24" t="s">
        <v>261</v>
      </c>
      <c r="C346" s="25">
        <v>36420</v>
      </c>
      <c r="D346" s="25">
        <v>0</v>
      </c>
      <c r="E346" s="25">
        <v>36420</v>
      </c>
      <c r="F346" s="25"/>
      <c r="G346" s="25">
        <f t="shared" si="5"/>
        <v>0</v>
      </c>
    </row>
    <row r="347" spans="1:7" ht="12.75">
      <c r="A347" s="12" t="s">
        <v>262</v>
      </c>
      <c r="B347" s="24" t="s">
        <v>263</v>
      </c>
      <c r="C347" s="25">
        <v>38410</v>
      </c>
      <c r="D347" s="25">
        <v>0</v>
      </c>
      <c r="E347" s="25">
        <f>36960+1450</f>
        <v>38410</v>
      </c>
      <c r="F347" s="25"/>
      <c r="G347" s="25">
        <f t="shared" si="5"/>
        <v>0</v>
      </c>
    </row>
    <row r="348" spans="1:221" s="29" customFormat="1" ht="12.75">
      <c r="A348" s="26" t="s">
        <v>264</v>
      </c>
      <c r="B348" s="27" t="s">
        <v>265</v>
      </c>
      <c r="C348" s="28">
        <f>C349+C350+C353</f>
        <v>83967</v>
      </c>
      <c r="D348" s="28">
        <f>D349+D350+D353</f>
        <v>0</v>
      </c>
      <c r="E348" s="28">
        <f>E349+E350+E353</f>
        <v>83967</v>
      </c>
      <c r="F348" s="28">
        <f>F349+F350+F353</f>
        <v>0</v>
      </c>
      <c r="G348" s="28">
        <f t="shared" si="5"/>
        <v>0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</row>
    <row r="349" spans="1:7" ht="12.75">
      <c r="A349" s="12" t="s">
        <v>266</v>
      </c>
      <c r="B349" s="24" t="s">
        <v>267</v>
      </c>
      <c r="C349" s="25">
        <v>35645</v>
      </c>
      <c r="D349" s="25">
        <v>0</v>
      </c>
      <c r="E349" s="25">
        <f>33820+1825</f>
        <v>35645</v>
      </c>
      <c r="F349" s="25"/>
      <c r="G349" s="25">
        <f t="shared" si="5"/>
        <v>0</v>
      </c>
    </row>
    <row r="350" spans="1:221" s="29" customFormat="1" ht="12.75">
      <c r="A350" s="26" t="s">
        <v>268</v>
      </c>
      <c r="B350" s="27" t="s">
        <v>269</v>
      </c>
      <c r="C350" s="44">
        <f>SUM(C351:C352)</f>
        <v>12491</v>
      </c>
      <c r="D350" s="44">
        <f>SUM(D351:D352)</f>
        <v>0</v>
      </c>
      <c r="E350" s="44">
        <f>SUM(E351:E352)</f>
        <v>12491</v>
      </c>
      <c r="F350" s="44">
        <f>SUM(F351:F352)</f>
        <v>0</v>
      </c>
      <c r="G350" s="44">
        <f t="shared" si="5"/>
        <v>0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</row>
    <row r="351" spans="1:7" ht="12.75">
      <c r="A351" s="12" t="s">
        <v>270</v>
      </c>
      <c r="B351" s="24" t="s">
        <v>271</v>
      </c>
      <c r="C351" s="25">
        <v>3008</v>
      </c>
      <c r="D351" s="25">
        <v>0</v>
      </c>
      <c r="E351" s="25">
        <v>3008</v>
      </c>
      <c r="F351" s="25"/>
      <c r="G351" s="25">
        <f t="shared" si="5"/>
        <v>0</v>
      </c>
    </row>
    <row r="352" spans="1:7" ht="12.75">
      <c r="A352" s="12" t="s">
        <v>272</v>
      </c>
      <c r="B352" s="24" t="s">
        <v>273</v>
      </c>
      <c r="C352" s="25">
        <v>9483</v>
      </c>
      <c r="D352" s="25">
        <v>0</v>
      </c>
      <c r="E352" s="25">
        <v>9483</v>
      </c>
      <c r="F352" s="25"/>
      <c r="G352" s="25">
        <f t="shared" si="5"/>
        <v>0</v>
      </c>
    </row>
    <row r="353" spans="1:221" s="29" customFormat="1" ht="12.75">
      <c r="A353" s="26" t="s">
        <v>274</v>
      </c>
      <c r="B353" s="27" t="s">
        <v>275</v>
      </c>
      <c r="C353" s="44">
        <f>SUM(C354:C362)</f>
        <v>35831</v>
      </c>
      <c r="D353" s="44">
        <f>SUM(D354:D362)</f>
        <v>0</v>
      </c>
      <c r="E353" s="44">
        <f>SUM(E354:E362)</f>
        <v>35831</v>
      </c>
      <c r="F353" s="44">
        <f>SUM(F354:F362)</f>
        <v>0</v>
      </c>
      <c r="G353" s="44">
        <f t="shared" si="5"/>
        <v>0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</row>
    <row r="354" spans="1:7" ht="12.75">
      <c r="A354" s="12" t="s">
        <v>276</v>
      </c>
      <c r="B354" s="24" t="s">
        <v>277</v>
      </c>
      <c r="C354" s="25">
        <v>4410</v>
      </c>
      <c r="D354" s="25">
        <v>0</v>
      </c>
      <c r="E354" s="25">
        <f>4410</f>
        <v>4410</v>
      </c>
      <c r="F354" s="25"/>
      <c r="G354" s="25">
        <f t="shared" si="5"/>
        <v>0</v>
      </c>
    </row>
    <row r="355" spans="1:7" ht="12.75">
      <c r="A355" s="12" t="s">
        <v>278</v>
      </c>
      <c r="B355" s="24" t="s">
        <v>279</v>
      </c>
      <c r="C355" s="25">
        <v>6937</v>
      </c>
      <c r="D355" s="25">
        <v>0</v>
      </c>
      <c r="E355" s="25">
        <f>4674+2263</f>
        <v>6937</v>
      </c>
      <c r="F355" s="25"/>
      <c r="G355" s="25">
        <f t="shared" si="5"/>
        <v>0</v>
      </c>
    </row>
    <row r="356" spans="1:7" ht="12.75">
      <c r="A356" s="12" t="s">
        <v>280</v>
      </c>
      <c r="B356" s="24" t="s">
        <v>281</v>
      </c>
      <c r="C356" s="25">
        <v>1302</v>
      </c>
      <c r="D356" s="25">
        <v>0</v>
      </c>
      <c r="E356" s="25">
        <f>1302</f>
        <v>1302</v>
      </c>
      <c r="F356" s="25"/>
      <c r="G356" s="25">
        <f t="shared" si="5"/>
        <v>0</v>
      </c>
    </row>
    <row r="357" spans="1:7" ht="12.75">
      <c r="A357" s="12" t="s">
        <v>282</v>
      </c>
      <c r="B357" s="24" t="s">
        <v>283</v>
      </c>
      <c r="C357" s="25">
        <v>464</v>
      </c>
      <c r="D357" s="25">
        <v>0</v>
      </c>
      <c r="E357" s="25">
        <f>464</f>
        <v>464</v>
      </c>
      <c r="F357" s="25"/>
      <c r="G357" s="25">
        <f t="shared" si="5"/>
        <v>0</v>
      </c>
    </row>
    <row r="358" spans="1:7" ht="12.75">
      <c r="A358" s="12" t="s">
        <v>284</v>
      </c>
      <c r="B358" s="24" t="s">
        <v>285</v>
      </c>
      <c r="C358" s="25">
        <v>832</v>
      </c>
      <c r="D358" s="25">
        <v>0</v>
      </c>
      <c r="E358" s="25">
        <f>832</f>
        <v>832</v>
      </c>
      <c r="F358" s="25"/>
      <c r="G358" s="25">
        <f t="shared" si="5"/>
        <v>0</v>
      </c>
    </row>
    <row r="359" spans="1:7" ht="12.75">
      <c r="A359" s="12" t="s">
        <v>286</v>
      </c>
      <c r="B359" s="24" t="s">
        <v>287</v>
      </c>
      <c r="C359" s="25">
        <v>440</v>
      </c>
      <c r="D359" s="25">
        <v>0</v>
      </c>
      <c r="E359" s="25">
        <f>440</f>
        <v>440</v>
      </c>
      <c r="F359" s="25"/>
      <c r="G359" s="25">
        <f t="shared" si="5"/>
        <v>0</v>
      </c>
    </row>
    <row r="360" spans="1:7" ht="12.75">
      <c r="A360" s="12" t="s">
        <v>288</v>
      </c>
      <c r="B360" s="24" t="s">
        <v>289</v>
      </c>
      <c r="C360" s="25">
        <v>19746</v>
      </c>
      <c r="D360" s="25">
        <v>0</v>
      </c>
      <c r="E360" s="25">
        <f>17589+2157</f>
        <v>19746</v>
      </c>
      <c r="F360" s="25"/>
      <c r="G360" s="25">
        <f t="shared" si="5"/>
        <v>0</v>
      </c>
    </row>
    <row r="361" spans="1:7" ht="12.75">
      <c r="A361" s="12" t="s">
        <v>290</v>
      </c>
      <c r="B361" s="24" t="s">
        <v>291</v>
      </c>
      <c r="C361" s="25">
        <v>850</v>
      </c>
      <c r="D361" s="25">
        <v>0</v>
      </c>
      <c r="E361" s="25">
        <v>850</v>
      </c>
      <c r="F361" s="25"/>
      <c r="G361" s="25">
        <f t="shared" si="5"/>
        <v>0</v>
      </c>
    </row>
    <row r="362" spans="1:7" ht="12.75">
      <c r="A362" s="12" t="s">
        <v>292</v>
      </c>
      <c r="B362" s="24" t="s">
        <v>293</v>
      </c>
      <c r="C362" s="25">
        <v>850</v>
      </c>
      <c r="D362" s="25">
        <v>0</v>
      </c>
      <c r="E362" s="25">
        <v>850</v>
      </c>
      <c r="F362" s="25"/>
      <c r="G362" s="25">
        <f t="shared" si="5"/>
        <v>0</v>
      </c>
    </row>
    <row r="363" spans="1:7" ht="12.75">
      <c r="A363" s="12" t="s">
        <v>294</v>
      </c>
      <c r="B363" s="24" t="s">
        <v>1545</v>
      </c>
      <c r="C363" s="25">
        <v>96822</v>
      </c>
      <c r="D363" s="25">
        <v>0</v>
      </c>
      <c r="E363" s="25">
        <f>62511+2197+14055+16238+1691+130</f>
        <v>96822</v>
      </c>
      <c r="F363" s="25"/>
      <c r="G363" s="25">
        <f t="shared" si="5"/>
        <v>0</v>
      </c>
    </row>
    <row r="364" spans="1:221" s="29" customFormat="1" ht="12.75">
      <c r="A364" s="26" t="s">
        <v>295</v>
      </c>
      <c r="B364" s="27" t="s">
        <v>296</v>
      </c>
      <c r="C364" s="44">
        <f>SUM(C365:C368)</f>
        <v>366445</v>
      </c>
      <c r="D364" s="44">
        <f>SUM(D365:D368)</f>
        <v>0</v>
      </c>
      <c r="E364" s="44">
        <f>SUM(E365:E368)</f>
        <v>366444.9</v>
      </c>
      <c r="F364" s="44">
        <f>SUM(F365:F368)</f>
        <v>0</v>
      </c>
      <c r="G364" s="44">
        <f t="shared" si="5"/>
        <v>0.09999999997671694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</row>
    <row r="365" spans="1:7" ht="12.75">
      <c r="A365" s="12" t="s">
        <v>297</v>
      </c>
      <c r="B365" s="24" t="s">
        <v>298</v>
      </c>
      <c r="C365" s="25">
        <v>3386</v>
      </c>
      <c r="D365" s="25">
        <v>0</v>
      </c>
      <c r="E365" s="25">
        <v>3385.5</v>
      </c>
      <c r="F365" s="25"/>
      <c r="G365" s="25">
        <f t="shared" si="5"/>
        <v>0.5</v>
      </c>
    </row>
    <row r="366" spans="1:7" ht="12.75">
      <c r="A366" s="12" t="s">
        <v>299</v>
      </c>
      <c r="B366" s="24" t="s">
        <v>300</v>
      </c>
      <c r="C366" s="25">
        <v>3040</v>
      </c>
      <c r="D366" s="25">
        <v>0</v>
      </c>
      <c r="E366" s="25">
        <v>3040</v>
      </c>
      <c r="F366" s="25"/>
      <c r="G366" s="25">
        <f t="shared" si="5"/>
        <v>0</v>
      </c>
    </row>
    <row r="367" spans="1:7" ht="12.75">
      <c r="A367" s="12" t="s">
        <v>301</v>
      </c>
      <c r="B367" s="24" t="s">
        <v>302</v>
      </c>
      <c r="C367" s="25">
        <v>21050</v>
      </c>
      <c r="D367" s="25">
        <v>0</v>
      </c>
      <c r="E367" s="25">
        <v>21050</v>
      </c>
      <c r="F367" s="25"/>
      <c r="G367" s="25">
        <f t="shared" si="5"/>
        <v>0</v>
      </c>
    </row>
    <row r="368" spans="1:7" ht="12.75">
      <c r="A368" s="12" t="s">
        <v>303</v>
      </c>
      <c r="B368" s="24" t="s">
        <v>304</v>
      </c>
      <c r="C368" s="25">
        <v>338969</v>
      </c>
      <c r="D368" s="25">
        <v>0</v>
      </c>
      <c r="E368" s="25">
        <v>338969.4</v>
      </c>
      <c r="F368" s="25"/>
      <c r="G368" s="25">
        <f t="shared" si="5"/>
        <v>-0.40000000002328306</v>
      </c>
    </row>
    <row r="369" spans="1:221" s="29" customFormat="1" ht="12.75">
      <c r="A369" s="26" t="s">
        <v>305</v>
      </c>
      <c r="B369" s="27" t="s">
        <v>306</v>
      </c>
      <c r="C369" s="28">
        <f>SUM(C370:C371)</f>
        <v>24555</v>
      </c>
      <c r="D369" s="28">
        <f>SUM(D370:D371)</f>
        <v>0</v>
      </c>
      <c r="E369" s="28">
        <f>SUM(E370:E371)</f>
        <v>24554.97</v>
      </c>
      <c r="F369" s="28">
        <f>SUM(F370:F371)</f>
        <v>0</v>
      </c>
      <c r="G369" s="28">
        <f t="shared" si="5"/>
        <v>0.029999999998835847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</row>
    <row r="370" spans="1:7" ht="12.75">
      <c r="A370" s="12" t="s">
        <v>307</v>
      </c>
      <c r="B370" s="24" t="s">
        <v>308</v>
      </c>
      <c r="C370" s="25">
        <v>6200</v>
      </c>
      <c r="D370" s="25">
        <v>0</v>
      </c>
      <c r="E370" s="25">
        <v>6200</v>
      </c>
      <c r="F370" s="25"/>
      <c r="G370" s="25">
        <f t="shared" si="5"/>
        <v>0</v>
      </c>
    </row>
    <row r="371" spans="1:7" ht="12.75">
      <c r="A371" s="12" t="s">
        <v>309</v>
      </c>
      <c r="B371" s="24" t="s">
        <v>310</v>
      </c>
      <c r="C371" s="25">
        <v>18355</v>
      </c>
      <c r="D371" s="25">
        <v>0</v>
      </c>
      <c r="E371" s="25">
        <v>18354.97</v>
      </c>
      <c r="F371" s="25"/>
      <c r="G371" s="25">
        <f t="shared" si="5"/>
        <v>0.029999999998835847</v>
      </c>
    </row>
    <row r="372" spans="1:221" s="29" customFormat="1" ht="12.75">
      <c r="A372" s="26" t="s">
        <v>311</v>
      </c>
      <c r="B372" s="27" t="s">
        <v>312</v>
      </c>
      <c r="C372" s="28">
        <f>C373+C374+C375+C376+C381</f>
        <v>279827</v>
      </c>
      <c r="D372" s="28">
        <f>D373+D374+D375+D376+D381</f>
        <v>8736</v>
      </c>
      <c r="E372" s="28">
        <f>E373+E374+E375+E376+E381</f>
        <v>271091</v>
      </c>
      <c r="F372" s="28">
        <f>F373+F374+F375+F376+F381</f>
        <v>0</v>
      </c>
      <c r="G372" s="28">
        <f t="shared" si="5"/>
        <v>0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</row>
    <row r="373" spans="1:7" ht="12.75">
      <c r="A373" s="12" t="s">
        <v>313</v>
      </c>
      <c r="B373" s="24" t="s">
        <v>314</v>
      </c>
      <c r="C373" s="25">
        <v>790</v>
      </c>
      <c r="D373" s="25">
        <v>0</v>
      </c>
      <c r="E373" s="25">
        <v>790</v>
      </c>
      <c r="F373" s="25"/>
      <c r="G373" s="25">
        <f t="shared" si="5"/>
        <v>0</v>
      </c>
    </row>
    <row r="374" spans="1:7" ht="12.75">
      <c r="A374" s="12" t="s">
        <v>315</v>
      </c>
      <c r="B374" s="24" t="s">
        <v>316</v>
      </c>
      <c r="C374" s="25">
        <v>108255</v>
      </c>
      <c r="D374" s="25">
        <v>0</v>
      </c>
      <c r="E374" s="25">
        <v>108255</v>
      </c>
      <c r="F374" s="25"/>
      <c r="G374" s="25">
        <f t="shared" si="5"/>
        <v>0</v>
      </c>
    </row>
    <row r="375" spans="1:7" ht="12.75">
      <c r="A375" s="12" t="s">
        <v>317</v>
      </c>
      <c r="B375" s="24" t="s">
        <v>1688</v>
      </c>
      <c r="C375" s="25">
        <v>19548</v>
      </c>
      <c r="D375" s="25">
        <v>0</v>
      </c>
      <c r="E375" s="25">
        <f>9506+565+9477</f>
        <v>19548</v>
      </c>
      <c r="F375" s="25"/>
      <c r="G375" s="25">
        <f t="shared" si="5"/>
        <v>0</v>
      </c>
    </row>
    <row r="376" spans="1:221" s="29" customFormat="1" ht="12.75">
      <c r="A376" s="26" t="s">
        <v>318</v>
      </c>
      <c r="B376" s="27" t="s">
        <v>251</v>
      </c>
      <c r="C376" s="28">
        <f>SUM(C377:C380)</f>
        <v>145665</v>
      </c>
      <c r="D376" s="28">
        <f>SUM(D377:D380)</f>
        <v>8736</v>
      </c>
      <c r="E376" s="28">
        <f>SUM(E377:E380)</f>
        <v>136929</v>
      </c>
      <c r="F376" s="28">
        <f>SUM(F377:F380)</f>
        <v>0</v>
      </c>
      <c r="G376" s="28">
        <f t="shared" si="5"/>
        <v>0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</row>
    <row r="377" spans="1:7" ht="12.75">
      <c r="A377" s="12" t="s">
        <v>319</v>
      </c>
      <c r="B377" s="24" t="s">
        <v>1545</v>
      </c>
      <c r="C377" s="25">
        <f>85280+8700+36</f>
        <v>94016</v>
      </c>
      <c r="D377" s="25">
        <f>8700+36</f>
        <v>8736</v>
      </c>
      <c r="E377" s="25">
        <f>77480+7800</f>
        <v>85280</v>
      </c>
      <c r="F377" s="25"/>
      <c r="G377" s="25">
        <f t="shared" si="5"/>
        <v>0</v>
      </c>
    </row>
    <row r="378" spans="1:7" ht="12.75">
      <c r="A378" s="12" t="s">
        <v>320</v>
      </c>
      <c r="B378" s="24" t="s">
        <v>321</v>
      </c>
      <c r="C378" s="25">
        <v>29314</v>
      </c>
      <c r="D378" s="25">
        <v>0</v>
      </c>
      <c r="E378" s="25">
        <f>15760+401+13153</f>
        <v>29314</v>
      </c>
      <c r="F378" s="25"/>
      <c r="G378" s="25">
        <f t="shared" si="5"/>
        <v>0</v>
      </c>
    </row>
    <row r="379" spans="1:7" ht="12.75">
      <c r="A379" s="12" t="s">
        <v>322</v>
      </c>
      <c r="B379" s="24" t="s">
        <v>323</v>
      </c>
      <c r="C379" s="25">
        <v>9340</v>
      </c>
      <c r="D379" s="25">
        <v>0</v>
      </c>
      <c r="E379" s="25">
        <f>2640+1891+1909+2497+403</f>
        <v>9340</v>
      </c>
      <c r="F379" s="25"/>
      <c r="G379" s="25">
        <f t="shared" si="5"/>
        <v>0</v>
      </c>
    </row>
    <row r="380" spans="1:7" ht="12.75">
      <c r="A380" s="12" t="s">
        <v>324</v>
      </c>
      <c r="B380" s="24" t="s">
        <v>325</v>
      </c>
      <c r="C380" s="25">
        <v>12995</v>
      </c>
      <c r="D380" s="25">
        <v>0</v>
      </c>
      <c r="E380" s="25">
        <v>12995</v>
      </c>
      <c r="F380" s="25"/>
      <c r="G380" s="25">
        <f t="shared" si="5"/>
        <v>0</v>
      </c>
    </row>
    <row r="381" spans="1:7" ht="12.75">
      <c r="A381" s="12" t="s">
        <v>326</v>
      </c>
      <c r="B381" s="24" t="s">
        <v>327</v>
      </c>
      <c r="C381" s="25">
        <v>5569</v>
      </c>
      <c r="D381" s="25">
        <v>0</v>
      </c>
      <c r="E381" s="25">
        <f>3199+514+466+279+304+90+31+686</f>
        <v>5569</v>
      </c>
      <c r="F381" s="25"/>
      <c r="G381" s="25">
        <f t="shared" si="5"/>
        <v>0</v>
      </c>
    </row>
    <row r="382" spans="1:221" s="29" customFormat="1" ht="12.75">
      <c r="A382" s="26" t="s">
        <v>328</v>
      </c>
      <c r="B382" s="27" t="s">
        <v>329</v>
      </c>
      <c r="C382" s="28">
        <f>SUM(C383:C385)+C398</f>
        <v>124391.3</v>
      </c>
      <c r="D382" s="28">
        <f>SUM(D383:D385)+D398</f>
        <v>8729.119999999999</v>
      </c>
      <c r="E382" s="28">
        <f>SUM(E383:E385)+E398</f>
        <v>113663.01</v>
      </c>
      <c r="F382" s="28">
        <f>SUM(F383:F385)+F398</f>
        <v>0</v>
      </c>
      <c r="G382" s="28">
        <f t="shared" si="5"/>
        <v>1999.1700000000128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</row>
    <row r="383" spans="1:7" ht="12.75">
      <c r="A383" s="12" t="s">
        <v>330</v>
      </c>
      <c r="B383" s="24" t="s">
        <v>331</v>
      </c>
      <c r="C383" s="25">
        <v>81915</v>
      </c>
      <c r="D383" s="25">
        <v>0</v>
      </c>
      <c r="E383" s="25">
        <v>81915.45</v>
      </c>
      <c r="F383" s="25"/>
      <c r="G383" s="25">
        <f t="shared" si="5"/>
        <v>-0.4499999999970896</v>
      </c>
    </row>
    <row r="384" spans="1:7" ht="12.75">
      <c r="A384" s="12" t="s">
        <v>332</v>
      </c>
      <c r="B384" s="24" t="s">
        <v>333</v>
      </c>
      <c r="C384" s="25">
        <f>1268+2351</f>
        <v>3619</v>
      </c>
      <c r="D384" s="25">
        <v>445.84</v>
      </c>
      <c r="E384" s="54">
        <f>1905+128+972+70+17+81</f>
        <v>3173</v>
      </c>
      <c r="F384" s="25"/>
      <c r="G384" s="25">
        <f t="shared" si="5"/>
        <v>0.15999999999985448</v>
      </c>
    </row>
    <row r="385" spans="1:221" s="29" customFormat="1" ht="12.75">
      <c r="A385" s="26" t="s">
        <v>334</v>
      </c>
      <c r="B385" s="27" t="s">
        <v>335</v>
      </c>
      <c r="C385" s="44">
        <f>SUM(C386:C397)</f>
        <v>35132.3</v>
      </c>
      <c r="D385" s="44">
        <f>SUM(D386:D397)</f>
        <v>5948.66</v>
      </c>
      <c r="E385" s="44">
        <f>SUM(E386:E397)</f>
        <v>27184.309999999998</v>
      </c>
      <c r="F385" s="44">
        <f>SUM(F386:F397)</f>
        <v>0</v>
      </c>
      <c r="G385" s="28">
        <f t="shared" si="5"/>
        <v>1999.3300000000054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</row>
    <row r="386" spans="1:7" ht="12.75">
      <c r="A386" s="12" t="s">
        <v>336</v>
      </c>
      <c r="B386" s="24" t="s">
        <v>165</v>
      </c>
      <c r="C386" s="25">
        <f>10004+52</f>
        <v>10056</v>
      </c>
      <c r="D386" s="25">
        <v>51.9</v>
      </c>
      <c r="E386" s="25">
        <v>10004.03</v>
      </c>
      <c r="F386" s="25"/>
      <c r="G386" s="25">
        <f t="shared" si="5"/>
        <v>0.06999999999970896</v>
      </c>
    </row>
    <row r="387" spans="1:7" ht="12.75">
      <c r="A387" s="12" t="s">
        <v>337</v>
      </c>
      <c r="B387" s="24" t="s">
        <v>338</v>
      </c>
      <c r="C387" s="25">
        <v>2043</v>
      </c>
      <c r="D387" s="25">
        <v>0</v>
      </c>
      <c r="E387" s="25">
        <v>2043</v>
      </c>
      <c r="F387" s="25"/>
      <c r="G387" s="25">
        <f t="shared" si="5"/>
        <v>0</v>
      </c>
    </row>
    <row r="388" spans="1:7" ht="12.75">
      <c r="A388" s="12" t="s">
        <v>339</v>
      </c>
      <c r="B388" s="24" t="s">
        <v>340</v>
      </c>
      <c r="C388" s="25">
        <v>1680</v>
      </c>
      <c r="D388" s="25">
        <v>0</v>
      </c>
      <c r="E388" s="25">
        <v>1680</v>
      </c>
      <c r="F388" s="25"/>
      <c r="G388" s="25">
        <f aca="true" t="shared" si="6" ref="G388:G451">C388-D388-E388</f>
        <v>0</v>
      </c>
    </row>
    <row r="389" spans="1:7" ht="12.75">
      <c r="A389" s="12" t="s">
        <v>341</v>
      </c>
      <c r="B389" s="24" t="s">
        <v>342</v>
      </c>
      <c r="C389" s="25">
        <f>1938+2000</f>
        <v>3938</v>
      </c>
      <c r="D389" s="25">
        <v>0</v>
      </c>
      <c r="E389" s="25">
        <v>1938.49</v>
      </c>
      <c r="F389" s="25"/>
      <c r="G389" s="25">
        <f t="shared" si="6"/>
        <v>1999.51</v>
      </c>
    </row>
    <row r="390" spans="1:7" ht="12.75">
      <c r="A390" s="12" t="s">
        <v>343</v>
      </c>
      <c r="B390" s="24" t="s">
        <v>344</v>
      </c>
      <c r="C390" s="25">
        <v>17</v>
      </c>
      <c r="D390" s="25">
        <v>0</v>
      </c>
      <c r="E390" s="25">
        <v>17.25</v>
      </c>
      <c r="F390" s="25"/>
      <c r="G390" s="25">
        <f t="shared" si="6"/>
        <v>-0.25</v>
      </c>
    </row>
    <row r="391" spans="1:7" ht="12.75">
      <c r="A391" s="12" t="s">
        <v>345</v>
      </c>
      <c r="B391" s="24" t="s">
        <v>346</v>
      </c>
      <c r="C391" s="25">
        <f>3496+27</f>
        <v>3523</v>
      </c>
      <c r="D391" s="25">
        <f>26.85</f>
        <v>26.85</v>
      </c>
      <c r="E391" s="25">
        <v>3496.25</v>
      </c>
      <c r="F391" s="25"/>
      <c r="G391" s="25">
        <f t="shared" si="6"/>
        <v>-0.09999999999990905</v>
      </c>
    </row>
    <row r="392" spans="1:7" ht="12.75">
      <c r="A392" s="12" t="s">
        <v>347</v>
      </c>
      <c r="B392" s="24" t="s">
        <v>348</v>
      </c>
      <c r="C392" s="25">
        <v>1510.3</v>
      </c>
      <c r="D392" s="25">
        <v>0</v>
      </c>
      <c r="E392" s="25">
        <v>1510.3</v>
      </c>
      <c r="F392" s="25"/>
      <c r="G392" s="25">
        <f t="shared" si="6"/>
        <v>0</v>
      </c>
    </row>
    <row r="393" spans="1:7" ht="12.75">
      <c r="A393" s="12" t="s">
        <v>349</v>
      </c>
      <c r="B393" s="24" t="s">
        <v>350</v>
      </c>
      <c r="C393" s="25">
        <v>0</v>
      </c>
      <c r="D393" s="25">
        <v>0</v>
      </c>
      <c r="E393" s="25">
        <v>0</v>
      </c>
      <c r="F393" s="25"/>
      <c r="G393" s="25">
        <f t="shared" si="6"/>
        <v>0</v>
      </c>
    </row>
    <row r="394" spans="1:7" ht="12.75">
      <c r="A394" s="12" t="s">
        <v>351</v>
      </c>
      <c r="B394" s="24" t="s">
        <v>352</v>
      </c>
      <c r="C394" s="25">
        <v>712</v>
      </c>
      <c r="D394" s="25">
        <v>0</v>
      </c>
      <c r="E394" s="25">
        <v>712</v>
      </c>
      <c r="F394" s="25"/>
      <c r="G394" s="25">
        <f t="shared" si="6"/>
        <v>0</v>
      </c>
    </row>
    <row r="395" spans="1:7" ht="12.75">
      <c r="A395" s="12" t="s">
        <v>353</v>
      </c>
      <c r="B395" s="24" t="s">
        <v>354</v>
      </c>
      <c r="C395" s="25">
        <v>1439</v>
      </c>
      <c r="D395" s="25">
        <v>0</v>
      </c>
      <c r="E395" s="25">
        <v>1439</v>
      </c>
      <c r="F395" s="25"/>
      <c r="G395" s="25">
        <f t="shared" si="6"/>
        <v>0</v>
      </c>
    </row>
    <row r="396" spans="1:7" ht="12.75">
      <c r="A396" s="12" t="s">
        <v>355</v>
      </c>
      <c r="B396" s="24" t="s">
        <v>356</v>
      </c>
      <c r="C396" s="25">
        <f>5069+2870</f>
        <v>7939</v>
      </c>
      <c r="D396" s="25">
        <v>5869.91</v>
      </c>
      <c r="E396" s="25">
        <v>2068.99</v>
      </c>
      <c r="F396" s="25"/>
      <c r="G396" s="25">
        <f t="shared" si="6"/>
        <v>0.1000000000003638</v>
      </c>
    </row>
    <row r="397" spans="1:7" ht="12.75">
      <c r="A397" s="12" t="s">
        <v>1341</v>
      </c>
      <c r="B397" s="24" t="s">
        <v>1342</v>
      </c>
      <c r="C397" s="25">
        <v>2275</v>
      </c>
      <c r="D397" s="25">
        <v>0</v>
      </c>
      <c r="E397" s="25">
        <v>2275</v>
      </c>
      <c r="F397" s="25"/>
      <c r="G397" s="25">
        <f t="shared" si="6"/>
        <v>0</v>
      </c>
    </row>
    <row r="398" spans="1:7" ht="12.75">
      <c r="A398" s="12" t="s">
        <v>357</v>
      </c>
      <c r="B398" s="24" t="s">
        <v>358</v>
      </c>
      <c r="C398" s="25">
        <f>1390+2335</f>
        <v>3725</v>
      </c>
      <c r="D398" s="25">
        <f>425+875+5.48+6.18+6.84+26.16+187+45+100+125+125+407.96</f>
        <v>2334.62</v>
      </c>
      <c r="E398" s="25">
        <f>1181.25+39+170</f>
        <v>1390.25</v>
      </c>
      <c r="F398" s="25"/>
      <c r="G398" s="25">
        <f t="shared" si="6"/>
        <v>0.13000000000010914</v>
      </c>
    </row>
    <row r="399" spans="1:221" s="23" customFormat="1" ht="12.75">
      <c r="A399" s="20" t="s">
        <v>359</v>
      </c>
      <c r="B399" s="21" t="s">
        <v>360</v>
      </c>
      <c r="C399" s="22">
        <f>C400+C401+C408+C424+C446+C454+C466+C467+C471</f>
        <v>2425634.54</v>
      </c>
      <c r="D399" s="22">
        <f>D400+D401+D408+D424+D446+D454+D466+D467+D471</f>
        <v>26300</v>
      </c>
      <c r="E399" s="22">
        <f>E400+E401+E408+E424+E446+E454+E466+E467+E471</f>
        <v>2279031.81</v>
      </c>
      <c r="F399" s="22">
        <f>F400+F401+F408+F424+F446+F454+F466+F467+F471</f>
        <v>0</v>
      </c>
      <c r="G399" s="22">
        <f>G400+G401+G408+G424+G446+G454+G466+G467+G471</f>
        <v>120302.72999999998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</row>
    <row r="400" spans="1:7" ht="12.75">
      <c r="A400" s="12" t="s">
        <v>361</v>
      </c>
      <c r="B400" s="24" t="s">
        <v>362</v>
      </c>
      <c r="C400" s="25">
        <v>22919.04</v>
      </c>
      <c r="D400" s="25">
        <v>0</v>
      </c>
      <c r="E400" s="25">
        <v>22919.04</v>
      </c>
      <c r="F400" s="25"/>
      <c r="G400" s="25">
        <f t="shared" si="6"/>
        <v>0</v>
      </c>
    </row>
    <row r="401" spans="1:221" s="29" customFormat="1" ht="12.75">
      <c r="A401" s="26" t="s">
        <v>363</v>
      </c>
      <c r="B401" s="27" t="s">
        <v>364</v>
      </c>
      <c r="C401" s="28">
        <f>C402+C406+C407</f>
        <v>672522</v>
      </c>
      <c r="D401" s="28">
        <f>D402+D406+D407</f>
        <v>10683</v>
      </c>
      <c r="E401" s="28">
        <f>E402+E406+E407</f>
        <v>661838.87</v>
      </c>
      <c r="F401" s="28">
        <f>F402+F406+F407</f>
        <v>0</v>
      </c>
      <c r="G401" s="28">
        <f t="shared" si="6"/>
        <v>0.1300000000046566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</row>
    <row r="402" spans="1:221" s="29" customFormat="1" ht="12.75">
      <c r="A402" s="26" t="s">
        <v>365</v>
      </c>
      <c r="B402" s="27" t="s">
        <v>366</v>
      </c>
      <c r="C402" s="28">
        <f>SUM(C403:C405)</f>
        <v>611670</v>
      </c>
      <c r="D402" s="28">
        <f>SUM(D403:D405)</f>
        <v>0</v>
      </c>
      <c r="E402" s="28">
        <f>SUM(E403:E405)</f>
        <v>611670</v>
      </c>
      <c r="F402" s="28">
        <f>SUM(F403:F405)</f>
        <v>0</v>
      </c>
      <c r="G402" s="28">
        <f t="shared" si="6"/>
        <v>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</row>
    <row r="403" spans="1:7" ht="12.75">
      <c r="A403" s="12" t="s">
        <v>367</v>
      </c>
      <c r="B403" s="24" t="s">
        <v>392</v>
      </c>
      <c r="C403" s="25">
        <v>27000</v>
      </c>
      <c r="D403" s="25">
        <v>0</v>
      </c>
      <c r="E403" s="25">
        <v>27000</v>
      </c>
      <c r="F403" s="25"/>
      <c r="G403" s="25">
        <f t="shared" si="6"/>
        <v>0</v>
      </c>
    </row>
    <row r="404" spans="1:7" ht="12.75">
      <c r="A404" s="12" t="s">
        <v>393</v>
      </c>
      <c r="B404" s="24" t="s">
        <v>394</v>
      </c>
      <c r="C404" s="25">
        <v>529270</v>
      </c>
      <c r="D404" s="25">
        <v>0</v>
      </c>
      <c r="E404" s="25">
        <v>529270</v>
      </c>
      <c r="F404" s="25"/>
      <c r="G404" s="25">
        <f t="shared" si="6"/>
        <v>0</v>
      </c>
    </row>
    <row r="405" spans="1:7" ht="12.75">
      <c r="A405" s="12" t="s">
        <v>395</v>
      </c>
      <c r="B405" s="24" t="s">
        <v>396</v>
      </c>
      <c r="C405" s="25">
        <v>55400</v>
      </c>
      <c r="D405" s="25">
        <v>0</v>
      </c>
      <c r="E405" s="25">
        <v>55400</v>
      </c>
      <c r="F405" s="25"/>
      <c r="G405" s="25">
        <f t="shared" si="6"/>
        <v>0</v>
      </c>
    </row>
    <row r="406" spans="1:7" ht="12.75">
      <c r="A406" s="12" t="s">
        <v>397</v>
      </c>
      <c r="B406" s="24" t="s">
        <v>398</v>
      </c>
      <c r="C406" s="25">
        <f>41096+6650+4033</f>
        <v>51779</v>
      </c>
      <c r="D406" s="25">
        <f>6650+4033</f>
        <v>10683</v>
      </c>
      <c r="E406" s="25">
        <v>41095.8</v>
      </c>
      <c r="F406" s="25"/>
      <c r="G406" s="25">
        <f t="shared" si="6"/>
        <v>0.19999999999708962</v>
      </c>
    </row>
    <row r="407" spans="1:7" ht="12.75">
      <c r="A407" s="12" t="s">
        <v>399</v>
      </c>
      <c r="B407" s="24" t="s">
        <v>310</v>
      </c>
      <c r="C407" s="25">
        <v>9073</v>
      </c>
      <c r="D407" s="25">
        <v>0</v>
      </c>
      <c r="E407" s="25">
        <v>9073.07</v>
      </c>
      <c r="F407" s="25"/>
      <c r="G407" s="25">
        <f t="shared" si="6"/>
        <v>-0.06999999999970896</v>
      </c>
    </row>
    <row r="408" spans="1:221" s="29" customFormat="1" ht="12.75">
      <c r="A408" s="26" t="s">
        <v>400</v>
      </c>
      <c r="B408" s="27" t="s">
        <v>401</v>
      </c>
      <c r="C408" s="28">
        <f>C409+C414+C418+C422+C423</f>
        <v>801066</v>
      </c>
      <c r="D408" s="28">
        <f>D409+D414+D418+D422+D423</f>
        <v>0</v>
      </c>
      <c r="E408" s="28">
        <f>E409+E414+E418+E422+E423</f>
        <v>801066</v>
      </c>
      <c r="F408" s="28">
        <f>F409+F414+F418+F422+F423</f>
        <v>0</v>
      </c>
      <c r="G408" s="28">
        <f t="shared" si="6"/>
        <v>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</row>
    <row r="409" spans="1:221" s="29" customFormat="1" ht="12.75">
      <c r="A409" s="26" t="s">
        <v>402</v>
      </c>
      <c r="B409" s="27" t="s">
        <v>403</v>
      </c>
      <c r="C409" s="28">
        <f>SUM(C410:C413)</f>
        <v>148885</v>
      </c>
      <c r="D409" s="28">
        <f>SUM(D410:D413)</f>
        <v>0</v>
      </c>
      <c r="E409" s="28">
        <f>SUM(E410:E413)</f>
        <v>148885</v>
      </c>
      <c r="F409" s="28">
        <f>SUM(F410:F413)</f>
        <v>0</v>
      </c>
      <c r="G409" s="28">
        <f t="shared" si="6"/>
        <v>0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</row>
    <row r="410" spans="1:7" ht="12.75">
      <c r="A410" s="12" t="s">
        <v>404</v>
      </c>
      <c r="B410" s="24" t="s">
        <v>405</v>
      </c>
      <c r="C410" s="25">
        <v>72085</v>
      </c>
      <c r="D410" s="25">
        <v>0</v>
      </c>
      <c r="E410" s="54">
        <f>60360+11725</f>
        <v>72085</v>
      </c>
      <c r="F410" s="25"/>
      <c r="G410" s="25">
        <f t="shared" si="6"/>
        <v>0</v>
      </c>
    </row>
    <row r="411" spans="1:7" ht="12.75">
      <c r="A411" s="12" t="s">
        <v>406</v>
      </c>
      <c r="B411" s="24" t="s">
        <v>407</v>
      </c>
      <c r="C411" s="25">
        <v>48000</v>
      </c>
      <c r="D411" s="25">
        <v>0</v>
      </c>
      <c r="E411" s="54">
        <v>48000</v>
      </c>
      <c r="F411" s="25"/>
      <c r="G411" s="25">
        <f t="shared" si="6"/>
        <v>0</v>
      </c>
    </row>
    <row r="412" spans="1:7" ht="12.75">
      <c r="A412" s="12" t="s">
        <v>408</v>
      </c>
      <c r="B412" s="24" t="s">
        <v>409</v>
      </c>
      <c r="C412" s="25">
        <v>9600</v>
      </c>
      <c r="D412" s="25">
        <v>0</v>
      </c>
      <c r="E412" s="54">
        <f>3297+6303</f>
        <v>9600</v>
      </c>
      <c r="F412" s="25"/>
      <c r="G412" s="25">
        <f t="shared" si="6"/>
        <v>0</v>
      </c>
    </row>
    <row r="413" spans="1:7" ht="12.75">
      <c r="A413" s="12" t="s">
        <v>410</v>
      </c>
      <c r="B413" s="24" t="s">
        <v>411</v>
      </c>
      <c r="C413" s="25">
        <v>19200</v>
      </c>
      <c r="D413" s="25">
        <v>0</v>
      </c>
      <c r="E413" s="54">
        <f>9009+10191</f>
        <v>19200</v>
      </c>
      <c r="F413" s="25"/>
      <c r="G413" s="25">
        <f t="shared" si="6"/>
        <v>0</v>
      </c>
    </row>
    <row r="414" spans="1:221" s="29" customFormat="1" ht="12.75">
      <c r="A414" s="26" t="s">
        <v>412</v>
      </c>
      <c r="B414" s="27" t="s">
        <v>413</v>
      </c>
      <c r="C414" s="28">
        <f>SUM(C415:C417)</f>
        <v>223200</v>
      </c>
      <c r="D414" s="28">
        <f>SUM(D415:D417)</f>
        <v>0</v>
      </c>
      <c r="E414" s="28">
        <f>SUM(E415:E417)</f>
        <v>223200</v>
      </c>
      <c r="F414" s="28">
        <f>SUM(F415:F417)</f>
        <v>0</v>
      </c>
      <c r="G414" s="28">
        <f t="shared" si="6"/>
        <v>0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</row>
    <row r="415" spans="1:7" ht="12.75">
      <c r="A415" s="12" t="s">
        <v>414</v>
      </c>
      <c r="B415" s="24" t="s">
        <v>415</v>
      </c>
      <c r="C415" s="25">
        <v>194400</v>
      </c>
      <c r="D415" s="25">
        <v>0</v>
      </c>
      <c r="E415" s="25">
        <v>194400</v>
      </c>
      <c r="F415" s="25"/>
      <c r="G415" s="25">
        <f t="shared" si="6"/>
        <v>0</v>
      </c>
    </row>
    <row r="416" spans="1:7" ht="12.75">
      <c r="A416" s="12" t="s">
        <v>416</v>
      </c>
      <c r="B416" s="24" t="s">
        <v>407</v>
      </c>
      <c r="C416" s="25">
        <v>24000</v>
      </c>
      <c r="D416" s="25">
        <v>0</v>
      </c>
      <c r="E416" s="54">
        <v>24000</v>
      </c>
      <c r="F416" s="25"/>
      <c r="G416" s="25">
        <f t="shared" si="6"/>
        <v>0</v>
      </c>
    </row>
    <row r="417" spans="1:7" ht="12.75">
      <c r="A417" s="12" t="s">
        <v>417</v>
      </c>
      <c r="B417" s="24" t="s">
        <v>409</v>
      </c>
      <c r="C417" s="25">
        <v>4800</v>
      </c>
      <c r="D417" s="25">
        <v>0</v>
      </c>
      <c r="E417" s="54">
        <v>4800</v>
      </c>
      <c r="F417" s="25"/>
      <c r="G417" s="25">
        <f t="shared" si="6"/>
        <v>0</v>
      </c>
    </row>
    <row r="418" spans="1:221" s="29" customFormat="1" ht="12.75">
      <c r="A418" s="26" t="s">
        <v>418</v>
      </c>
      <c r="B418" s="27" t="s">
        <v>419</v>
      </c>
      <c r="C418" s="28">
        <f>SUM(C419:C421)</f>
        <v>21000</v>
      </c>
      <c r="D418" s="28">
        <f>SUM(D419:D421)</f>
        <v>0</v>
      </c>
      <c r="E418" s="28">
        <f>SUM(E419:E421)</f>
        <v>21000</v>
      </c>
      <c r="F418" s="28">
        <f>SUM(F419:F421)</f>
        <v>0</v>
      </c>
      <c r="G418" s="28">
        <f t="shared" si="6"/>
        <v>0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</row>
    <row r="419" spans="1:7" ht="12.75">
      <c r="A419" s="12" t="s">
        <v>420</v>
      </c>
      <c r="B419" s="24" t="s">
        <v>405</v>
      </c>
      <c r="C419" s="25">
        <v>9000</v>
      </c>
      <c r="D419" s="25">
        <v>0</v>
      </c>
      <c r="E419" s="54">
        <v>9000</v>
      </c>
      <c r="F419" s="25"/>
      <c r="G419" s="25">
        <f t="shared" si="6"/>
        <v>0</v>
      </c>
    </row>
    <row r="420" spans="1:7" ht="12.75">
      <c r="A420" s="12" t="s">
        <v>421</v>
      </c>
      <c r="B420" s="24" t="s">
        <v>409</v>
      </c>
      <c r="C420" s="25">
        <v>2400</v>
      </c>
      <c r="D420" s="25">
        <v>0</v>
      </c>
      <c r="E420" s="54">
        <f>1600+800</f>
        <v>2400</v>
      </c>
      <c r="F420" s="25"/>
      <c r="G420" s="25">
        <f t="shared" si="6"/>
        <v>0</v>
      </c>
    </row>
    <row r="421" spans="1:7" ht="12.75">
      <c r="A421" s="12" t="s">
        <v>422</v>
      </c>
      <c r="B421" s="24" t="s">
        <v>411</v>
      </c>
      <c r="C421" s="25">
        <v>9600</v>
      </c>
      <c r="D421" s="25">
        <v>0</v>
      </c>
      <c r="E421" s="54">
        <v>9600</v>
      </c>
      <c r="F421" s="25"/>
      <c r="G421" s="25">
        <f t="shared" si="6"/>
        <v>0</v>
      </c>
    </row>
    <row r="422" spans="1:7" ht="12.75">
      <c r="A422" s="12" t="s">
        <v>423</v>
      </c>
      <c r="B422" s="24" t="s">
        <v>424</v>
      </c>
      <c r="C422" s="25">
        <v>405000</v>
      </c>
      <c r="D422" s="25">
        <v>0</v>
      </c>
      <c r="E422" s="54">
        <v>405000</v>
      </c>
      <c r="F422" s="25"/>
      <c r="G422" s="25">
        <f t="shared" si="6"/>
        <v>0</v>
      </c>
    </row>
    <row r="423" spans="1:7" ht="12.75">
      <c r="A423" s="12" t="s">
        <v>425</v>
      </c>
      <c r="B423" s="24" t="s">
        <v>426</v>
      </c>
      <c r="C423" s="25">
        <v>2981</v>
      </c>
      <c r="D423" s="25">
        <v>0</v>
      </c>
      <c r="E423" s="54">
        <v>2981</v>
      </c>
      <c r="F423" s="25"/>
      <c r="G423" s="25">
        <f t="shared" si="6"/>
        <v>0</v>
      </c>
    </row>
    <row r="424" spans="1:221" s="29" customFormat="1" ht="12.75">
      <c r="A424" s="26" t="s">
        <v>427</v>
      </c>
      <c r="B424" s="27" t="s">
        <v>428</v>
      </c>
      <c r="C424" s="28">
        <f>C425+C426+C431+C436+C440+C441+C442+C443+C444+C445</f>
        <v>326009</v>
      </c>
      <c r="D424" s="28">
        <f>D425+D426+D431+D436+D440+D441+D442+D443+D444+D445</f>
        <v>14943</v>
      </c>
      <c r="E424" s="28">
        <f>E425+E426+E431+E436+E440+E441+E442+E443+E444+E445</f>
        <v>311066</v>
      </c>
      <c r="F424" s="28">
        <f>F425+F426+F431+F436+F440+F441+F442+F443+F444+F445</f>
        <v>0</v>
      </c>
      <c r="G424" s="28">
        <f t="shared" si="6"/>
        <v>0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</row>
    <row r="425" spans="1:7" ht="12.75">
      <c r="A425" s="26" t="s">
        <v>429</v>
      </c>
      <c r="B425" s="24" t="s">
        <v>430</v>
      </c>
      <c r="C425" s="25">
        <f>60000+1116</f>
        <v>61116</v>
      </c>
      <c r="D425" s="25">
        <v>0</v>
      </c>
      <c r="E425" s="54">
        <v>61116</v>
      </c>
      <c r="F425" s="25"/>
      <c r="G425" s="25">
        <f t="shared" si="6"/>
        <v>0</v>
      </c>
    </row>
    <row r="426" spans="1:221" s="29" customFormat="1" ht="12.75">
      <c r="A426" s="26" t="s">
        <v>431</v>
      </c>
      <c r="B426" s="27" t="s">
        <v>432</v>
      </c>
      <c r="C426" s="28">
        <f>SUM(C427:C430)</f>
        <v>74600</v>
      </c>
      <c r="D426" s="28">
        <f>SUM(D427:D430)</f>
        <v>0</v>
      </c>
      <c r="E426" s="28">
        <f>SUM(E427:E430)</f>
        <v>74600</v>
      </c>
      <c r="F426" s="28">
        <f>SUM(F427:F430)</f>
        <v>0</v>
      </c>
      <c r="G426" s="28">
        <f t="shared" si="6"/>
        <v>0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</row>
    <row r="427" spans="1:7" ht="12.75">
      <c r="A427" s="12" t="s">
        <v>433</v>
      </c>
      <c r="B427" s="24" t="s">
        <v>434</v>
      </c>
      <c r="C427" s="25">
        <f>10780+8900</f>
        <v>19680</v>
      </c>
      <c r="D427" s="25">
        <v>0</v>
      </c>
      <c r="E427" s="54">
        <v>19680</v>
      </c>
      <c r="F427" s="25"/>
      <c r="G427" s="25">
        <f t="shared" si="6"/>
        <v>0</v>
      </c>
    </row>
    <row r="428" spans="1:7" ht="12.75">
      <c r="A428" s="12" t="s">
        <v>435</v>
      </c>
      <c r="B428" s="24" t="s">
        <v>436</v>
      </c>
      <c r="C428" s="25">
        <f>9470+5800</f>
        <v>15270</v>
      </c>
      <c r="D428" s="25">
        <v>0</v>
      </c>
      <c r="E428" s="54">
        <v>15270</v>
      </c>
      <c r="F428" s="25"/>
      <c r="G428" s="25">
        <f t="shared" si="6"/>
        <v>0</v>
      </c>
    </row>
    <row r="429" spans="1:7" ht="12.75">
      <c r="A429" s="12" t="s">
        <v>437</v>
      </c>
      <c r="B429" s="24" t="s">
        <v>438</v>
      </c>
      <c r="C429" s="25">
        <f>8050-300</f>
        <v>7750</v>
      </c>
      <c r="D429" s="25">
        <v>0</v>
      </c>
      <c r="E429" s="54">
        <v>7750</v>
      </c>
      <c r="F429" s="25"/>
      <c r="G429" s="25">
        <f t="shared" si="6"/>
        <v>0</v>
      </c>
    </row>
    <row r="430" spans="1:7" ht="12.75">
      <c r="A430" s="12" t="s">
        <v>439</v>
      </c>
      <c r="B430" s="24" t="s">
        <v>440</v>
      </c>
      <c r="C430" s="25">
        <v>31900</v>
      </c>
      <c r="D430" s="25">
        <v>0</v>
      </c>
      <c r="E430" s="25">
        <v>31900</v>
      </c>
      <c r="F430" s="25"/>
      <c r="G430" s="25">
        <f t="shared" si="6"/>
        <v>0</v>
      </c>
    </row>
    <row r="431" spans="1:221" s="29" customFormat="1" ht="12.75">
      <c r="A431" s="26" t="s">
        <v>441</v>
      </c>
      <c r="B431" s="27" t="s">
        <v>265</v>
      </c>
      <c r="C431" s="28">
        <f>SUM(C432:C435)</f>
        <v>35580</v>
      </c>
      <c r="D431" s="28">
        <f>SUM(D432:D435)</f>
        <v>13980</v>
      </c>
      <c r="E431" s="28">
        <f>SUM(E432:E435)</f>
        <v>21600</v>
      </c>
      <c r="F431" s="28">
        <f>SUM(F432:F435)</f>
        <v>0</v>
      </c>
      <c r="G431" s="28">
        <f t="shared" si="6"/>
        <v>0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</row>
    <row r="432" spans="1:7" ht="12.75">
      <c r="A432" s="12" t="s">
        <v>442</v>
      </c>
      <c r="B432" s="24" t="s">
        <v>443</v>
      </c>
      <c r="C432" s="25">
        <v>4200</v>
      </c>
      <c r="D432" s="25">
        <v>0</v>
      </c>
      <c r="E432" s="54">
        <v>4200</v>
      </c>
      <c r="F432" s="25"/>
      <c r="G432" s="25">
        <f t="shared" si="6"/>
        <v>0</v>
      </c>
    </row>
    <row r="433" spans="1:7" ht="12.75">
      <c r="A433" s="12" t="s">
        <v>444</v>
      </c>
      <c r="B433" s="24" t="s">
        <v>445</v>
      </c>
      <c r="C433" s="25">
        <f>7000+12000</f>
        <v>19000</v>
      </c>
      <c r="D433" s="25">
        <v>12000</v>
      </c>
      <c r="E433" s="54">
        <v>7000</v>
      </c>
      <c r="F433" s="25"/>
      <c r="G433" s="25">
        <f t="shared" si="6"/>
        <v>0</v>
      </c>
    </row>
    <row r="434" spans="1:7" ht="12.75">
      <c r="A434" s="12" t="s">
        <v>446</v>
      </c>
      <c r="B434" s="24" t="s">
        <v>411</v>
      </c>
      <c r="C434" s="25">
        <f>8400+1980</f>
        <v>10380</v>
      </c>
      <c r="D434" s="25">
        <v>1980</v>
      </c>
      <c r="E434" s="54">
        <v>8400</v>
      </c>
      <c r="F434" s="25"/>
      <c r="G434" s="25">
        <f t="shared" si="6"/>
        <v>0</v>
      </c>
    </row>
    <row r="435" spans="1:7" ht="12.75">
      <c r="A435" s="12" t="s">
        <v>447</v>
      </c>
      <c r="B435" s="24" t="s">
        <v>448</v>
      </c>
      <c r="C435" s="25">
        <v>2000</v>
      </c>
      <c r="D435" s="25">
        <v>0</v>
      </c>
      <c r="E435" s="54">
        <v>2000</v>
      </c>
      <c r="F435" s="25"/>
      <c r="G435" s="25">
        <f t="shared" si="6"/>
        <v>0</v>
      </c>
    </row>
    <row r="436" spans="1:221" s="29" customFormat="1" ht="12.75">
      <c r="A436" s="26" t="s">
        <v>449</v>
      </c>
      <c r="B436" s="27" t="s">
        <v>450</v>
      </c>
      <c r="C436" s="28">
        <f>SUM(C437:C439)</f>
        <v>25963</v>
      </c>
      <c r="D436" s="28">
        <f>SUM(D437:D439)</f>
        <v>963</v>
      </c>
      <c r="E436" s="28">
        <f>SUM(E437:E439)</f>
        <v>25000</v>
      </c>
      <c r="F436" s="28">
        <f>SUM(F437:F439)</f>
        <v>0</v>
      </c>
      <c r="G436" s="28">
        <f t="shared" si="6"/>
        <v>0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</row>
    <row r="437" spans="1:7" ht="12.75">
      <c r="A437" s="12" t="s">
        <v>451</v>
      </c>
      <c r="B437" s="24" t="s">
        <v>452</v>
      </c>
      <c r="C437" s="25">
        <v>21600</v>
      </c>
      <c r="D437" s="25">
        <v>0</v>
      </c>
      <c r="E437" s="25">
        <v>21600</v>
      </c>
      <c r="F437" s="25"/>
      <c r="G437" s="25">
        <f t="shared" si="6"/>
        <v>0</v>
      </c>
    </row>
    <row r="438" spans="1:7" ht="12.75">
      <c r="A438" s="12" t="s">
        <v>453</v>
      </c>
      <c r="B438" s="24" t="s">
        <v>454</v>
      </c>
      <c r="C438" s="25">
        <f>675-155+720</f>
        <v>1240</v>
      </c>
      <c r="D438" s="25">
        <v>720</v>
      </c>
      <c r="E438" s="54">
        <v>520</v>
      </c>
      <c r="F438" s="25"/>
      <c r="G438" s="25">
        <f t="shared" si="6"/>
        <v>0</v>
      </c>
    </row>
    <row r="439" spans="1:7" ht="12.75">
      <c r="A439" s="12" t="s">
        <v>455</v>
      </c>
      <c r="B439" s="24" t="s">
        <v>456</v>
      </c>
      <c r="C439" s="25">
        <f>2880+243</f>
        <v>3123</v>
      </c>
      <c r="D439" s="25">
        <v>243</v>
      </c>
      <c r="E439" s="54">
        <v>2880</v>
      </c>
      <c r="F439" s="25"/>
      <c r="G439" s="25">
        <f t="shared" si="6"/>
        <v>0</v>
      </c>
    </row>
    <row r="440" spans="1:7" ht="12.75">
      <c r="A440" s="12" t="s">
        <v>457</v>
      </c>
      <c r="B440" s="24" t="s">
        <v>458</v>
      </c>
      <c r="C440" s="25">
        <v>7800</v>
      </c>
      <c r="D440" s="25">
        <v>0</v>
      </c>
      <c r="E440" s="25">
        <v>7800</v>
      </c>
      <c r="F440" s="25"/>
      <c r="G440" s="25">
        <f t="shared" si="6"/>
        <v>0</v>
      </c>
    </row>
    <row r="441" spans="1:7" ht="12.75">
      <c r="A441" s="12" t="s">
        <v>459</v>
      </c>
      <c r="B441" s="24" t="s">
        <v>460</v>
      </c>
      <c r="C441" s="25">
        <v>97200</v>
      </c>
      <c r="D441" s="25">
        <v>0</v>
      </c>
      <c r="E441" s="25">
        <v>97200</v>
      </c>
      <c r="F441" s="25"/>
      <c r="G441" s="25">
        <f t="shared" si="6"/>
        <v>0</v>
      </c>
    </row>
    <row r="442" spans="1:7" ht="12.75" customHeight="1">
      <c r="A442" s="12" t="s">
        <v>461</v>
      </c>
      <c r="B442" s="24" t="s">
        <v>462</v>
      </c>
      <c r="C442" s="25">
        <v>10800</v>
      </c>
      <c r="D442" s="25">
        <v>0</v>
      </c>
      <c r="E442" s="25">
        <v>10800</v>
      </c>
      <c r="F442" s="25"/>
      <c r="G442" s="25">
        <f t="shared" si="6"/>
        <v>0</v>
      </c>
    </row>
    <row r="443" spans="1:7" ht="12.75">
      <c r="A443" s="12" t="s">
        <v>463</v>
      </c>
      <c r="B443" s="24" t="s">
        <v>464</v>
      </c>
      <c r="C443" s="25">
        <v>2900</v>
      </c>
      <c r="D443" s="25">
        <v>0</v>
      </c>
      <c r="E443" s="25">
        <v>2900</v>
      </c>
      <c r="F443" s="25"/>
      <c r="G443" s="25">
        <f t="shared" si="6"/>
        <v>0</v>
      </c>
    </row>
    <row r="444" spans="1:7" ht="12.75">
      <c r="A444" s="12" t="s">
        <v>465</v>
      </c>
      <c r="B444" s="24" t="s">
        <v>466</v>
      </c>
      <c r="C444" s="25">
        <v>3150</v>
      </c>
      <c r="D444" s="25">
        <v>0</v>
      </c>
      <c r="E444" s="25">
        <v>3150</v>
      </c>
      <c r="F444" s="25"/>
      <c r="G444" s="25">
        <f t="shared" si="6"/>
        <v>0</v>
      </c>
    </row>
    <row r="445" spans="1:7" ht="12.75">
      <c r="A445" s="12" t="s">
        <v>467</v>
      </c>
      <c r="B445" s="24" t="s">
        <v>468</v>
      </c>
      <c r="C445" s="25">
        <v>6900</v>
      </c>
      <c r="D445" s="25">
        <v>0</v>
      </c>
      <c r="E445" s="25">
        <v>6900</v>
      </c>
      <c r="F445" s="25"/>
      <c r="G445" s="25">
        <f t="shared" si="6"/>
        <v>0</v>
      </c>
    </row>
    <row r="446" spans="1:221" s="29" customFormat="1" ht="12.75">
      <c r="A446" s="26" t="s">
        <v>469</v>
      </c>
      <c r="B446" s="27" t="s">
        <v>470</v>
      </c>
      <c r="C446" s="28">
        <f>C447+C448+C451+C452+C453</f>
        <v>38556</v>
      </c>
      <c r="D446" s="28">
        <f>D447+D448+D451+D452+D453</f>
        <v>0</v>
      </c>
      <c r="E446" s="28">
        <f>E447+E448+E451+E452+E453</f>
        <v>38556.25</v>
      </c>
      <c r="F446" s="28">
        <f>F447+F448+F451+F452+F453</f>
        <v>0</v>
      </c>
      <c r="G446" s="28">
        <f t="shared" si="6"/>
        <v>-0.25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</row>
    <row r="447" spans="1:7" ht="12.75">
      <c r="A447" s="12" t="s">
        <v>471</v>
      </c>
      <c r="B447" s="24" t="s">
        <v>468</v>
      </c>
      <c r="C447" s="25">
        <v>3680</v>
      </c>
      <c r="D447" s="25">
        <v>0</v>
      </c>
      <c r="E447" s="25">
        <v>3680</v>
      </c>
      <c r="F447" s="25"/>
      <c r="G447" s="25">
        <f t="shared" si="6"/>
        <v>0</v>
      </c>
    </row>
    <row r="448" spans="1:221" s="29" customFormat="1" ht="12.75">
      <c r="A448" s="26" t="s">
        <v>472</v>
      </c>
      <c r="B448" s="27" t="s">
        <v>265</v>
      </c>
      <c r="C448" s="28">
        <f>SUM(C449:C450)</f>
        <v>6975</v>
      </c>
      <c r="D448" s="28">
        <f>SUM(D449:D450)</f>
        <v>0</v>
      </c>
      <c r="E448" s="28">
        <f>SUM(E449:E450)</f>
        <v>6975</v>
      </c>
      <c r="F448" s="28">
        <f>SUM(F449:F450)</f>
        <v>0</v>
      </c>
      <c r="G448" s="28">
        <f t="shared" si="6"/>
        <v>0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</row>
    <row r="449" spans="1:7" ht="12.75">
      <c r="A449" s="12" t="s">
        <v>473</v>
      </c>
      <c r="B449" s="24" t="s">
        <v>445</v>
      </c>
      <c r="C449" s="25">
        <f>300+2475</f>
        <v>2775</v>
      </c>
      <c r="D449" s="25">
        <v>0</v>
      </c>
      <c r="E449" s="54">
        <v>2775</v>
      </c>
      <c r="F449" s="25"/>
      <c r="G449" s="25">
        <f t="shared" si="6"/>
        <v>0</v>
      </c>
    </row>
    <row r="450" spans="1:7" ht="12.75">
      <c r="A450" s="12" t="s">
        <v>474</v>
      </c>
      <c r="B450" s="24" t="s">
        <v>411</v>
      </c>
      <c r="C450" s="25">
        <v>4200</v>
      </c>
      <c r="D450" s="25">
        <v>0</v>
      </c>
      <c r="E450" s="54">
        <v>4200</v>
      </c>
      <c r="F450" s="25"/>
      <c r="G450" s="25">
        <f t="shared" si="6"/>
        <v>0</v>
      </c>
    </row>
    <row r="451" spans="1:7" ht="12.75">
      <c r="A451" s="12" t="s">
        <v>475</v>
      </c>
      <c r="B451" s="24" t="s">
        <v>476</v>
      </c>
      <c r="C451" s="25">
        <f>2500+1700</f>
        <v>4200</v>
      </c>
      <c r="D451" s="25">
        <v>0</v>
      </c>
      <c r="E451" s="54">
        <v>4200</v>
      </c>
      <c r="F451" s="25"/>
      <c r="G451" s="25">
        <f t="shared" si="6"/>
        <v>0</v>
      </c>
    </row>
    <row r="452" spans="1:7" ht="12.75">
      <c r="A452" s="12" t="s">
        <v>477</v>
      </c>
      <c r="B452" s="24" t="s">
        <v>424</v>
      </c>
      <c r="C452" s="25">
        <f>22500+701</f>
        <v>23201</v>
      </c>
      <c r="D452" s="25">
        <v>0</v>
      </c>
      <c r="E452" s="54">
        <v>23201.25</v>
      </c>
      <c r="F452" s="25"/>
      <c r="G452" s="25">
        <f aca="true" t="shared" si="7" ref="G452:G515">C452-D452-E452</f>
        <v>-0.25</v>
      </c>
    </row>
    <row r="453" spans="1:7" ht="12.75">
      <c r="A453" s="12" t="s">
        <v>478</v>
      </c>
      <c r="B453" s="24" t="s">
        <v>426</v>
      </c>
      <c r="C453" s="25">
        <f>497+3</f>
        <v>500</v>
      </c>
      <c r="D453" s="25">
        <v>0</v>
      </c>
      <c r="E453" s="54">
        <v>500</v>
      </c>
      <c r="F453" s="25"/>
      <c r="G453" s="25">
        <f t="shared" si="7"/>
        <v>0</v>
      </c>
    </row>
    <row r="454" spans="1:221" s="29" customFormat="1" ht="12.75">
      <c r="A454" s="26" t="s">
        <v>479</v>
      </c>
      <c r="B454" s="27" t="s">
        <v>480</v>
      </c>
      <c r="C454" s="28">
        <f>C455+C462+C463+C464+C465</f>
        <v>403809.5</v>
      </c>
      <c r="D454" s="28">
        <f>D455+D462+D463+D464+D465</f>
        <v>674</v>
      </c>
      <c r="E454" s="28">
        <f>E455+E462+E463+E464+E465</f>
        <v>403135.65</v>
      </c>
      <c r="F454" s="28">
        <f>F455+F462+F463+F464+F465</f>
        <v>0</v>
      </c>
      <c r="G454" s="28">
        <f t="shared" si="7"/>
        <v>-0.15000000002328306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</row>
    <row r="455" spans="1:221" s="29" customFormat="1" ht="12.75">
      <c r="A455" s="26" t="s">
        <v>481</v>
      </c>
      <c r="B455" s="27" t="s">
        <v>1545</v>
      </c>
      <c r="C455" s="28">
        <f>SUM(C456:C461)</f>
        <v>150530.5</v>
      </c>
      <c r="D455" s="28">
        <f>SUM(D456:D461)</f>
        <v>0</v>
      </c>
      <c r="E455" s="28">
        <f>SUM(E456:E461)</f>
        <v>150530.5</v>
      </c>
      <c r="F455" s="28">
        <f>SUM(F456:F461)</f>
        <v>0</v>
      </c>
      <c r="G455" s="28">
        <f t="shared" si="7"/>
        <v>0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</row>
    <row r="456" spans="1:7" ht="12.75">
      <c r="A456" s="12" t="s">
        <v>482</v>
      </c>
      <c r="B456" s="24" t="s">
        <v>483</v>
      </c>
      <c r="C456" s="25">
        <v>3750</v>
      </c>
      <c r="D456" s="25">
        <v>0</v>
      </c>
      <c r="E456" s="54">
        <f>3499+251</f>
        <v>3750</v>
      </c>
      <c r="F456" s="25"/>
      <c r="G456" s="25">
        <f t="shared" si="7"/>
        <v>0</v>
      </c>
    </row>
    <row r="457" spans="1:7" ht="12.75">
      <c r="A457" s="12" t="s">
        <v>484</v>
      </c>
      <c r="B457" s="24" t="s">
        <v>485</v>
      </c>
      <c r="C457" s="25">
        <f>5000+8248</f>
        <v>13248</v>
      </c>
      <c r="D457" s="25">
        <v>0</v>
      </c>
      <c r="E457" s="54">
        <f>3499+9749</f>
        <v>13248</v>
      </c>
      <c r="F457" s="25"/>
      <c r="G457" s="25">
        <f t="shared" si="7"/>
        <v>0</v>
      </c>
    </row>
    <row r="458" spans="1:7" ht="12.75">
      <c r="A458" s="12" t="s">
        <v>486</v>
      </c>
      <c r="B458" s="24" t="s">
        <v>487</v>
      </c>
      <c r="C458" s="25">
        <f>37800+11587.5</f>
        <v>49387.5</v>
      </c>
      <c r="D458" s="25">
        <v>0</v>
      </c>
      <c r="E458" s="54">
        <v>49387.5</v>
      </c>
      <c r="F458" s="25"/>
      <c r="G458" s="25">
        <f t="shared" si="7"/>
        <v>0</v>
      </c>
    </row>
    <row r="459" spans="1:7" ht="12.75">
      <c r="A459" s="12" t="s">
        <v>488</v>
      </c>
      <c r="B459" s="24" t="s">
        <v>489</v>
      </c>
      <c r="C459" s="25">
        <f>17850+25300</f>
        <v>43150</v>
      </c>
      <c r="D459" s="25">
        <v>0</v>
      </c>
      <c r="E459" s="54">
        <v>43150</v>
      </c>
      <c r="F459" s="25"/>
      <c r="G459" s="25">
        <f t="shared" si="7"/>
        <v>0</v>
      </c>
    </row>
    <row r="460" spans="1:7" ht="12.75">
      <c r="A460" s="12" t="s">
        <v>490</v>
      </c>
      <c r="B460" s="24" t="s">
        <v>491</v>
      </c>
      <c r="C460" s="25">
        <f>15680+11650</f>
        <v>27330</v>
      </c>
      <c r="D460" s="25">
        <v>0</v>
      </c>
      <c r="E460" s="54">
        <v>27330</v>
      </c>
      <c r="F460" s="25"/>
      <c r="G460" s="25">
        <f t="shared" si="7"/>
        <v>0</v>
      </c>
    </row>
    <row r="461" spans="1:7" ht="12.75">
      <c r="A461" s="12" t="s">
        <v>492</v>
      </c>
      <c r="B461" s="24" t="s">
        <v>493</v>
      </c>
      <c r="C461" s="25">
        <f>13330+335</f>
        <v>13665</v>
      </c>
      <c r="D461" s="25">
        <v>0</v>
      </c>
      <c r="E461" s="54">
        <v>13665</v>
      </c>
      <c r="F461" s="25"/>
      <c r="G461" s="25">
        <f t="shared" si="7"/>
        <v>0</v>
      </c>
    </row>
    <row r="462" spans="1:7" ht="12.75">
      <c r="A462" s="12" t="s">
        <v>494</v>
      </c>
      <c r="B462" s="24" t="s">
        <v>495</v>
      </c>
      <c r="C462" s="25">
        <f>5000+11138+554</f>
        <v>16692</v>
      </c>
      <c r="D462" s="25">
        <v>554</v>
      </c>
      <c r="E462" s="54">
        <v>16138</v>
      </c>
      <c r="F462" s="25"/>
      <c r="G462" s="25">
        <f t="shared" si="7"/>
        <v>0</v>
      </c>
    </row>
    <row r="463" spans="1:7" ht="12.75">
      <c r="A463" s="12" t="s">
        <v>496</v>
      </c>
      <c r="B463" s="24" t="s">
        <v>497</v>
      </c>
      <c r="C463" s="25">
        <v>15000</v>
      </c>
      <c r="D463" s="25">
        <v>0</v>
      </c>
      <c r="E463" s="54">
        <v>15000</v>
      </c>
      <c r="F463" s="25"/>
      <c r="G463" s="25">
        <f t="shared" si="7"/>
        <v>0</v>
      </c>
    </row>
    <row r="464" spans="1:7" ht="12.75">
      <c r="A464" s="12" t="s">
        <v>498</v>
      </c>
      <c r="B464" s="24" t="s">
        <v>499</v>
      </c>
      <c r="C464" s="25">
        <f>12500+20025+120</f>
        <v>32645</v>
      </c>
      <c r="D464" s="25">
        <v>120</v>
      </c>
      <c r="E464" s="54">
        <f>27525.15+5000</f>
        <v>32525.15</v>
      </c>
      <c r="F464" s="25"/>
      <c r="G464" s="25">
        <f t="shared" si="7"/>
        <v>-0.1500000000014552</v>
      </c>
    </row>
    <row r="465" spans="1:7" ht="12.75">
      <c r="A465" s="12" t="s">
        <v>500</v>
      </c>
      <c r="B465" s="24" t="s">
        <v>501</v>
      </c>
      <c r="C465" s="25">
        <f>187500+1442</f>
        <v>188942</v>
      </c>
      <c r="D465" s="25">
        <v>0</v>
      </c>
      <c r="E465" s="54">
        <f>46102+142840</f>
        <v>188942</v>
      </c>
      <c r="F465" s="25"/>
      <c r="G465" s="25">
        <f t="shared" si="7"/>
        <v>0</v>
      </c>
    </row>
    <row r="466" spans="1:7" ht="12.75">
      <c r="A466" s="12" t="s">
        <v>502</v>
      </c>
      <c r="B466" s="24" t="s">
        <v>127</v>
      </c>
      <c r="C466" s="25">
        <f>19531+110000-24778</f>
        <v>104753</v>
      </c>
      <c r="D466" s="25">
        <v>0</v>
      </c>
      <c r="E466" s="54">
        <f>20000+152+168+130</f>
        <v>20450</v>
      </c>
      <c r="F466" s="25"/>
      <c r="G466" s="25">
        <f t="shared" si="7"/>
        <v>84303</v>
      </c>
    </row>
    <row r="467" spans="1:221" s="29" customFormat="1" ht="12.75">
      <c r="A467" s="26" t="s">
        <v>503</v>
      </c>
      <c r="B467" s="27" t="s">
        <v>504</v>
      </c>
      <c r="C467" s="28">
        <f>SUM(C468:C470)</f>
        <v>36000</v>
      </c>
      <c r="D467" s="28">
        <f>SUM(D468:D470)</f>
        <v>0</v>
      </c>
      <c r="E467" s="28">
        <f>SUM(E468:E470)</f>
        <v>0</v>
      </c>
      <c r="F467" s="28">
        <f>SUM(F468:F470)</f>
        <v>0</v>
      </c>
      <c r="G467" s="28">
        <f t="shared" si="7"/>
        <v>36000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</row>
    <row r="468" spans="1:7" ht="12.75">
      <c r="A468" s="12" t="s">
        <v>505</v>
      </c>
      <c r="B468" s="24" t="s">
        <v>525</v>
      </c>
      <c r="C468" s="25">
        <f>32000-2000</f>
        <v>30000</v>
      </c>
      <c r="D468" s="25">
        <v>0</v>
      </c>
      <c r="E468" s="25">
        <v>0</v>
      </c>
      <c r="F468" s="25"/>
      <c r="G468" s="25">
        <f t="shared" si="7"/>
        <v>30000</v>
      </c>
    </row>
    <row r="469" spans="1:7" ht="12.75">
      <c r="A469" s="12" t="s">
        <v>526</v>
      </c>
      <c r="B469" s="24" t="s">
        <v>527</v>
      </c>
      <c r="C469" s="25">
        <v>4800</v>
      </c>
      <c r="D469" s="25">
        <v>0</v>
      </c>
      <c r="E469" s="25">
        <v>0</v>
      </c>
      <c r="F469" s="25"/>
      <c r="G469" s="25">
        <f t="shared" si="7"/>
        <v>4800</v>
      </c>
    </row>
    <row r="470" spans="1:7" ht="12.75">
      <c r="A470" s="12" t="s">
        <v>528</v>
      </c>
      <c r="B470" s="24" t="s">
        <v>529</v>
      </c>
      <c r="C470" s="25">
        <v>1200</v>
      </c>
      <c r="D470" s="25">
        <v>0</v>
      </c>
      <c r="E470" s="25">
        <v>0</v>
      </c>
      <c r="F470" s="25"/>
      <c r="G470" s="25">
        <f t="shared" si="7"/>
        <v>1200</v>
      </c>
    </row>
    <row r="471" spans="1:7" ht="12.75">
      <c r="A471" s="12" t="s">
        <v>530</v>
      </c>
      <c r="B471" s="24" t="s">
        <v>531</v>
      </c>
      <c r="C471" s="25">
        <f>117188-97188</f>
        <v>20000</v>
      </c>
      <c r="D471" s="25">
        <v>0</v>
      </c>
      <c r="E471" s="54">
        <v>20000</v>
      </c>
      <c r="F471" s="25"/>
      <c r="G471" s="25">
        <f t="shared" si="7"/>
        <v>0</v>
      </c>
    </row>
    <row r="472" spans="1:7" ht="12.75">
      <c r="A472" s="12" t="s">
        <v>532</v>
      </c>
      <c r="B472" s="24" t="s">
        <v>533</v>
      </c>
      <c r="C472" s="25">
        <v>0</v>
      </c>
      <c r="D472" s="25">
        <v>0</v>
      </c>
      <c r="E472" s="25">
        <v>0</v>
      </c>
      <c r="F472" s="25"/>
      <c r="G472" s="25">
        <f t="shared" si="7"/>
        <v>0</v>
      </c>
    </row>
    <row r="473" spans="1:221" s="23" customFormat="1" ht="12.75">
      <c r="A473" s="20" t="s">
        <v>534</v>
      </c>
      <c r="B473" s="21" t="s">
        <v>535</v>
      </c>
      <c r="C473" s="22">
        <f>SUM(C474:C478)</f>
        <v>77750</v>
      </c>
      <c r="D473" s="22">
        <f>SUM(D474:D478)</f>
        <v>0</v>
      </c>
      <c r="E473" s="22">
        <f>SUM(E474:E478)</f>
        <v>20000</v>
      </c>
      <c r="F473" s="22">
        <f>SUM(F474:F478)</f>
        <v>0</v>
      </c>
      <c r="G473" s="22">
        <f t="shared" si="7"/>
        <v>57750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</row>
    <row r="474" spans="1:7" ht="12.75">
      <c r="A474" s="12" t="s">
        <v>536</v>
      </c>
      <c r="B474" s="24" t="s">
        <v>537</v>
      </c>
      <c r="C474" s="25">
        <v>41250</v>
      </c>
      <c r="D474" s="25">
        <v>0</v>
      </c>
      <c r="E474" s="54">
        <v>10000</v>
      </c>
      <c r="F474" s="25"/>
      <c r="G474" s="25">
        <f t="shared" si="7"/>
        <v>31250</v>
      </c>
    </row>
    <row r="475" spans="1:7" ht="12.75">
      <c r="A475" s="12" t="s">
        <v>538</v>
      </c>
      <c r="B475" s="24" t="s">
        <v>539</v>
      </c>
      <c r="C475" s="25">
        <v>24000</v>
      </c>
      <c r="D475" s="25">
        <v>0</v>
      </c>
      <c r="E475" s="54">
        <v>5000</v>
      </c>
      <c r="F475" s="25"/>
      <c r="G475" s="25">
        <f t="shared" si="7"/>
        <v>19000</v>
      </c>
    </row>
    <row r="476" spans="1:7" ht="12.75">
      <c r="A476" s="12" t="s">
        <v>540</v>
      </c>
      <c r="B476" s="24" t="s">
        <v>541</v>
      </c>
      <c r="C476" s="25">
        <v>3000</v>
      </c>
      <c r="D476" s="25">
        <v>0</v>
      </c>
      <c r="E476" s="54">
        <v>3000</v>
      </c>
      <c r="F476" s="25"/>
      <c r="G476" s="25">
        <f t="shared" si="7"/>
        <v>0</v>
      </c>
    </row>
    <row r="477" spans="1:7" ht="12.75">
      <c r="A477" s="12" t="s">
        <v>542</v>
      </c>
      <c r="B477" s="24" t="s">
        <v>543</v>
      </c>
      <c r="C477" s="25">
        <v>4500</v>
      </c>
      <c r="D477" s="25">
        <v>0</v>
      </c>
      <c r="E477" s="54">
        <v>2000</v>
      </c>
      <c r="F477" s="25"/>
      <c r="G477" s="25">
        <f t="shared" si="7"/>
        <v>2500</v>
      </c>
    </row>
    <row r="478" spans="1:7" ht="12.75">
      <c r="A478" s="12" t="s">
        <v>544</v>
      </c>
      <c r="B478" s="24" t="s">
        <v>545</v>
      </c>
      <c r="C478" s="25">
        <v>5000</v>
      </c>
      <c r="D478" s="25">
        <v>0</v>
      </c>
      <c r="E478" s="25">
        <v>0</v>
      </c>
      <c r="F478" s="25"/>
      <c r="G478" s="25">
        <f t="shared" si="7"/>
        <v>5000</v>
      </c>
    </row>
    <row r="479" spans="1:221" s="23" customFormat="1" ht="12.75">
      <c r="A479" s="20" t="s">
        <v>546</v>
      </c>
      <c r="B479" s="21" t="s">
        <v>568</v>
      </c>
      <c r="C479" s="22">
        <f>C480+C486</f>
        <v>211155</v>
      </c>
      <c r="D479" s="22">
        <f>D480+D486</f>
        <v>42.3</v>
      </c>
      <c r="E479" s="22">
        <f>E480+E486</f>
        <v>1112.5</v>
      </c>
      <c r="F479" s="22">
        <f>F480+F486</f>
        <v>210000</v>
      </c>
      <c r="G479" s="22">
        <f>G480+G486</f>
        <v>0.2000000000007276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</row>
    <row r="480" spans="1:221" s="29" customFormat="1" ht="12.75">
      <c r="A480" s="26" t="s">
        <v>556</v>
      </c>
      <c r="B480" s="27" t="s">
        <v>569</v>
      </c>
      <c r="C480" s="28">
        <f>SUM(C481:C485)</f>
        <v>116155</v>
      </c>
      <c r="D480" s="28">
        <f>SUM(D481:D485)</f>
        <v>42.3</v>
      </c>
      <c r="E480" s="28">
        <f>SUM(E481:E485)</f>
        <v>1112.5</v>
      </c>
      <c r="F480" s="28">
        <f>SUM(F481:F485)</f>
        <v>115000</v>
      </c>
      <c r="G480" s="28">
        <f>SUM(G481:G485)</f>
        <v>0.2000000000007276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</row>
    <row r="481" spans="1:7" ht="12.75">
      <c r="A481" s="45" t="s">
        <v>557</v>
      </c>
      <c r="B481" s="45" t="s">
        <v>1071</v>
      </c>
      <c r="C481" s="25">
        <v>20000</v>
      </c>
      <c r="D481" s="25">
        <v>0</v>
      </c>
      <c r="E481" s="25">
        <v>0</v>
      </c>
      <c r="F481" s="25">
        <v>20000</v>
      </c>
      <c r="G481" s="25">
        <f>C481-D481-E481-F481</f>
        <v>0</v>
      </c>
    </row>
    <row r="482" spans="1:7" ht="12.75">
      <c r="A482" s="45" t="s">
        <v>558</v>
      </c>
      <c r="B482" s="45" t="s">
        <v>1211</v>
      </c>
      <c r="C482" s="25">
        <f>30000+16</f>
        <v>30016</v>
      </c>
      <c r="D482" s="25">
        <v>16.02</v>
      </c>
      <c r="E482" s="25">
        <v>0</v>
      </c>
      <c r="F482" s="25">
        <v>30000</v>
      </c>
      <c r="G482" s="25">
        <f>C482-D482-E482-F482</f>
        <v>-0.020000000000436557</v>
      </c>
    </row>
    <row r="483" spans="1:7" ht="12.75">
      <c r="A483" s="45" t="s">
        <v>559</v>
      </c>
      <c r="B483" s="45" t="s">
        <v>570</v>
      </c>
      <c r="C483" s="25">
        <v>10000</v>
      </c>
      <c r="D483" s="25">
        <v>0</v>
      </c>
      <c r="E483" s="25">
        <v>0</v>
      </c>
      <c r="F483" s="25">
        <v>10000</v>
      </c>
      <c r="G483" s="25">
        <f>C483-D483-E483-F483</f>
        <v>0</v>
      </c>
    </row>
    <row r="484" spans="1:7" ht="12.75">
      <c r="A484" s="45" t="s">
        <v>560</v>
      </c>
      <c r="B484" s="45" t="s">
        <v>129</v>
      </c>
      <c r="C484" s="25">
        <f>50000+1139</f>
        <v>51139</v>
      </c>
      <c r="D484" s="25">
        <v>26.28</v>
      </c>
      <c r="E484" s="25">
        <v>1112.5</v>
      </c>
      <c r="F484" s="25">
        <v>50000</v>
      </c>
      <c r="G484" s="25">
        <f>C484-D484-E484-F484</f>
        <v>0.22000000000116415</v>
      </c>
    </row>
    <row r="485" spans="1:7" ht="12.75">
      <c r="A485" s="45" t="s">
        <v>561</v>
      </c>
      <c r="B485" s="45" t="s">
        <v>571</v>
      </c>
      <c r="C485" s="25">
        <v>5000</v>
      </c>
      <c r="D485" s="25">
        <v>0</v>
      </c>
      <c r="E485" s="25">
        <v>0</v>
      </c>
      <c r="F485" s="25">
        <v>5000</v>
      </c>
      <c r="G485" s="25">
        <f>C485-D485-E485-F485</f>
        <v>0</v>
      </c>
    </row>
    <row r="486" spans="1:221" s="29" customFormat="1" ht="12.75">
      <c r="A486" s="26" t="s">
        <v>562</v>
      </c>
      <c r="B486" s="27" t="s">
        <v>572</v>
      </c>
      <c r="C486" s="28">
        <f>SUM(C487:C491)</f>
        <v>95000</v>
      </c>
      <c r="D486" s="28">
        <f>SUM(D487:D491)</f>
        <v>0</v>
      </c>
      <c r="E486" s="28">
        <f>SUM(E487:E491)</f>
        <v>0</v>
      </c>
      <c r="F486" s="28">
        <f>SUM(F487:F491)</f>
        <v>95000</v>
      </c>
      <c r="G486" s="28">
        <f>SUM(G487:G491)</f>
        <v>0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</row>
    <row r="487" spans="1:7" ht="12.75">
      <c r="A487" s="45" t="s">
        <v>563</v>
      </c>
      <c r="B487" s="45" t="s">
        <v>1071</v>
      </c>
      <c r="C487" s="25">
        <v>15000</v>
      </c>
      <c r="D487" s="25">
        <v>0</v>
      </c>
      <c r="E487" s="25">
        <v>0</v>
      </c>
      <c r="F487" s="25">
        <v>15000</v>
      </c>
      <c r="G487" s="25">
        <f>C487-D487-E487-F487</f>
        <v>0</v>
      </c>
    </row>
    <row r="488" spans="1:7" ht="12.75">
      <c r="A488" s="45" t="s">
        <v>564</v>
      </c>
      <c r="B488" s="45" t="s">
        <v>1093</v>
      </c>
      <c r="C488" s="25">
        <v>25000</v>
      </c>
      <c r="D488" s="25">
        <v>0</v>
      </c>
      <c r="E488" s="25">
        <v>0</v>
      </c>
      <c r="F488" s="25">
        <v>25000</v>
      </c>
      <c r="G488" s="25">
        <f>C488-D488-E488-F488</f>
        <v>0</v>
      </c>
    </row>
    <row r="489" spans="1:7" ht="12.75">
      <c r="A489" s="45" t="s">
        <v>565</v>
      </c>
      <c r="B489" s="45" t="s">
        <v>1545</v>
      </c>
      <c r="C489" s="25">
        <v>15000</v>
      </c>
      <c r="D489" s="25">
        <v>0</v>
      </c>
      <c r="E489" s="25">
        <v>0</v>
      </c>
      <c r="F489" s="25">
        <v>15000</v>
      </c>
      <c r="G489" s="25">
        <f>C489-D489-E489-F489</f>
        <v>0</v>
      </c>
    </row>
    <row r="490" spans="1:7" ht="12.75">
      <c r="A490" s="45" t="s">
        <v>566</v>
      </c>
      <c r="B490" s="45" t="s">
        <v>573</v>
      </c>
      <c r="C490" s="25">
        <v>30000</v>
      </c>
      <c r="D490" s="25">
        <v>0</v>
      </c>
      <c r="E490" s="25">
        <v>0</v>
      </c>
      <c r="F490" s="25">
        <v>30000</v>
      </c>
      <c r="G490" s="25">
        <f>C490-D490-E490-F490</f>
        <v>0</v>
      </c>
    </row>
    <row r="491" spans="1:7" ht="12.75">
      <c r="A491" s="45" t="s">
        <v>567</v>
      </c>
      <c r="B491" s="45" t="s">
        <v>1211</v>
      </c>
      <c r="C491" s="25">
        <v>10000</v>
      </c>
      <c r="D491" s="25">
        <v>0</v>
      </c>
      <c r="E491" s="25">
        <v>0</v>
      </c>
      <c r="F491" s="25">
        <v>10000</v>
      </c>
      <c r="G491" s="25">
        <f>C491-D491-E491-F491</f>
        <v>0</v>
      </c>
    </row>
    <row r="492" spans="1:7" ht="12.75">
      <c r="A492" s="12" t="s">
        <v>574</v>
      </c>
      <c r="B492" s="24" t="s">
        <v>575</v>
      </c>
      <c r="C492" s="25">
        <f>557280-34</f>
        <v>557246</v>
      </c>
      <c r="D492" s="25">
        <v>0</v>
      </c>
      <c r="E492" s="25">
        <v>557246</v>
      </c>
      <c r="F492" s="25"/>
      <c r="G492" s="25">
        <f t="shared" si="7"/>
        <v>0</v>
      </c>
    </row>
    <row r="493" spans="1:221" s="19" customFormat="1" ht="12.75">
      <c r="A493" s="16" t="s">
        <v>576</v>
      </c>
      <c r="B493" s="17" t="s">
        <v>577</v>
      </c>
      <c r="C493" s="18">
        <f>C494+C496+C508+C521+C531+C537+C543+C546+C553+C554+C557</f>
        <v>304206</v>
      </c>
      <c r="D493" s="18">
        <f>D494+D496+D508+D521+D531+D537+D543+D546+D553+D554+D557</f>
        <v>4284</v>
      </c>
      <c r="E493" s="18">
        <f>E494+E496+E508+E521+E531+E537+E543+E546+E553+E554+E557</f>
        <v>247869.34</v>
      </c>
      <c r="F493" s="18">
        <f>F494+F496+F508+F521+F531+F537+F543+F546+F553+F554+F557</f>
        <v>0</v>
      </c>
      <c r="G493" s="18">
        <f t="shared" si="7"/>
        <v>52052.66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</row>
    <row r="494" spans="1:221" s="23" customFormat="1" ht="12.75">
      <c r="A494" s="20" t="s">
        <v>578</v>
      </c>
      <c r="B494" s="21" t="s">
        <v>579</v>
      </c>
      <c r="C494" s="22">
        <f>C495</f>
        <v>5000</v>
      </c>
      <c r="D494" s="22">
        <f>D495</f>
        <v>0</v>
      </c>
      <c r="E494" s="22">
        <f>E495</f>
        <v>5000</v>
      </c>
      <c r="F494" s="22">
        <f>F495</f>
        <v>0</v>
      </c>
      <c r="G494" s="22">
        <f t="shared" si="7"/>
        <v>0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</row>
    <row r="495" spans="1:7" ht="12.75">
      <c r="A495" s="12" t="s">
        <v>580</v>
      </c>
      <c r="B495" s="24" t="s">
        <v>581</v>
      </c>
      <c r="C495" s="25">
        <v>5000</v>
      </c>
      <c r="D495" s="25">
        <v>0</v>
      </c>
      <c r="E495" s="25">
        <v>5000</v>
      </c>
      <c r="F495" s="25"/>
      <c r="G495" s="25">
        <f t="shared" si="7"/>
        <v>0</v>
      </c>
    </row>
    <row r="496" spans="1:221" s="23" customFormat="1" ht="12.75">
      <c r="A496" s="20" t="s">
        <v>582</v>
      </c>
      <c r="B496" s="21" t="s">
        <v>583</v>
      </c>
      <c r="C496" s="22">
        <f>SUM(C497:C505)</f>
        <v>64062</v>
      </c>
      <c r="D496" s="22">
        <f>SUM(D497:D505)</f>
        <v>0</v>
      </c>
      <c r="E496" s="22">
        <f>SUM(E497:E505)</f>
        <v>46422</v>
      </c>
      <c r="F496" s="22">
        <f>SUM(F497:F505)</f>
        <v>0</v>
      </c>
      <c r="G496" s="22">
        <f t="shared" si="7"/>
        <v>17640</v>
      </c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</row>
    <row r="497" spans="1:7" ht="12.75">
      <c r="A497" s="12" t="s">
        <v>584</v>
      </c>
      <c r="B497" s="24" t="s">
        <v>585</v>
      </c>
      <c r="C497" s="25">
        <v>4641</v>
      </c>
      <c r="D497" s="25">
        <v>0</v>
      </c>
      <c r="E497" s="25">
        <v>0</v>
      </c>
      <c r="F497" s="25"/>
      <c r="G497" s="25">
        <f t="shared" si="7"/>
        <v>4641</v>
      </c>
    </row>
    <row r="498" spans="1:7" ht="12.75">
      <c r="A498" s="12" t="s">
        <v>586</v>
      </c>
      <c r="B498" s="24" t="s">
        <v>587</v>
      </c>
      <c r="C498" s="25">
        <v>16000</v>
      </c>
      <c r="D498" s="25">
        <v>0</v>
      </c>
      <c r="E498" s="25">
        <v>16000</v>
      </c>
      <c r="F498" s="25"/>
      <c r="G498" s="25">
        <f t="shared" si="7"/>
        <v>0</v>
      </c>
    </row>
    <row r="499" spans="1:7" ht="12.75">
      <c r="A499" s="12" t="s">
        <v>588</v>
      </c>
      <c r="B499" s="24" t="s">
        <v>1713</v>
      </c>
      <c r="C499" s="25">
        <v>3234</v>
      </c>
      <c r="D499" s="25">
        <v>0</v>
      </c>
      <c r="E499" s="25">
        <v>2033</v>
      </c>
      <c r="F499" s="25"/>
      <c r="G499" s="25">
        <f t="shared" si="7"/>
        <v>1201</v>
      </c>
    </row>
    <row r="500" spans="1:7" ht="12.75">
      <c r="A500" s="12" t="s">
        <v>589</v>
      </c>
      <c r="B500" s="24" t="s">
        <v>590</v>
      </c>
      <c r="C500" s="25">
        <v>9001</v>
      </c>
      <c r="D500" s="25">
        <v>0</v>
      </c>
      <c r="E500" s="25">
        <v>8641</v>
      </c>
      <c r="F500" s="25"/>
      <c r="G500" s="25">
        <f t="shared" si="7"/>
        <v>360</v>
      </c>
    </row>
    <row r="501" spans="1:7" ht="12.75">
      <c r="A501" s="12" t="s">
        <v>591</v>
      </c>
      <c r="B501" s="24" t="s">
        <v>592</v>
      </c>
      <c r="C501" s="25">
        <v>4438</v>
      </c>
      <c r="D501" s="25">
        <v>0</v>
      </c>
      <c r="E501" s="25">
        <v>0</v>
      </c>
      <c r="F501" s="25"/>
      <c r="G501" s="25">
        <f t="shared" si="7"/>
        <v>4438</v>
      </c>
    </row>
    <row r="502" spans="1:7" ht="12.75">
      <c r="A502" s="12" t="s">
        <v>593</v>
      </c>
      <c r="B502" s="24" t="s">
        <v>1545</v>
      </c>
      <c r="C502" s="25">
        <v>760</v>
      </c>
      <c r="D502" s="25">
        <v>0</v>
      </c>
      <c r="E502" s="25">
        <v>760</v>
      </c>
      <c r="F502" s="25"/>
      <c r="G502" s="25">
        <f t="shared" si="7"/>
        <v>0</v>
      </c>
    </row>
    <row r="503" spans="1:7" ht="12.75">
      <c r="A503" s="12" t="s">
        <v>594</v>
      </c>
      <c r="B503" s="24" t="s">
        <v>595</v>
      </c>
      <c r="C503" s="25">
        <v>6500</v>
      </c>
      <c r="D503" s="25">
        <v>0</v>
      </c>
      <c r="E503" s="25">
        <v>1000</v>
      </c>
      <c r="F503" s="25"/>
      <c r="G503" s="25">
        <f t="shared" si="7"/>
        <v>5500</v>
      </c>
    </row>
    <row r="504" spans="1:7" ht="12.75">
      <c r="A504" s="12" t="s">
        <v>596</v>
      </c>
      <c r="B504" s="24" t="s">
        <v>597</v>
      </c>
      <c r="C504" s="25">
        <v>11400</v>
      </c>
      <c r="D504" s="25">
        <v>0</v>
      </c>
      <c r="E504" s="25">
        <v>11400</v>
      </c>
      <c r="F504" s="25"/>
      <c r="G504" s="25">
        <f t="shared" si="7"/>
        <v>0</v>
      </c>
    </row>
    <row r="505" spans="1:221" s="29" customFormat="1" ht="12.75">
      <c r="A505" s="26" t="s">
        <v>602</v>
      </c>
      <c r="B505" s="27" t="s">
        <v>603</v>
      </c>
      <c r="C505" s="44">
        <f>SUM(C506:C507)</f>
        <v>8088</v>
      </c>
      <c r="D505" s="44">
        <f>SUM(D506:D507)</f>
        <v>0</v>
      </c>
      <c r="E505" s="44">
        <f>SUM(E506:E507)</f>
        <v>6588</v>
      </c>
      <c r="F505" s="44">
        <f>SUM(F506:F507)</f>
        <v>0</v>
      </c>
      <c r="G505" s="28">
        <f t="shared" si="7"/>
        <v>1500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</row>
    <row r="506" spans="1:7" ht="12.75">
      <c r="A506" s="12" t="s">
        <v>604</v>
      </c>
      <c r="B506" s="24" t="s">
        <v>605</v>
      </c>
      <c r="C506" s="25">
        <v>5000</v>
      </c>
      <c r="D506" s="25">
        <v>0</v>
      </c>
      <c r="E506" s="25">
        <v>3500</v>
      </c>
      <c r="F506" s="25"/>
      <c r="G506" s="25">
        <f t="shared" si="7"/>
        <v>1500</v>
      </c>
    </row>
    <row r="507" spans="1:7" ht="12.75">
      <c r="A507" s="12" t="s">
        <v>606</v>
      </c>
      <c r="B507" s="24" t="s">
        <v>607</v>
      </c>
      <c r="C507" s="25">
        <v>3088</v>
      </c>
      <c r="D507" s="25">
        <v>0</v>
      </c>
      <c r="E507" s="25">
        <v>3088</v>
      </c>
      <c r="F507" s="25"/>
      <c r="G507" s="25">
        <f t="shared" si="7"/>
        <v>0</v>
      </c>
    </row>
    <row r="508" spans="1:221" s="23" customFormat="1" ht="12.75">
      <c r="A508" s="20" t="s">
        <v>608</v>
      </c>
      <c r="B508" s="21" t="s">
        <v>609</v>
      </c>
      <c r="C508" s="22">
        <f>C509+C510+C515</f>
        <v>39913</v>
      </c>
      <c r="D508" s="22">
        <f>D509+D510+D515</f>
        <v>0</v>
      </c>
      <c r="E508" s="22">
        <f>E509+E510+E515</f>
        <v>39115</v>
      </c>
      <c r="F508" s="22">
        <f>F509+F510+F515</f>
        <v>0</v>
      </c>
      <c r="G508" s="22">
        <f t="shared" si="7"/>
        <v>798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</row>
    <row r="509" spans="1:7" ht="12.75">
      <c r="A509" s="12" t="s">
        <v>610</v>
      </c>
      <c r="B509" s="24" t="s">
        <v>611</v>
      </c>
      <c r="C509" s="25">
        <v>8482</v>
      </c>
      <c r="D509" s="25">
        <v>0</v>
      </c>
      <c r="E509" s="25">
        <v>8482</v>
      </c>
      <c r="F509" s="25"/>
      <c r="G509" s="25">
        <f t="shared" si="7"/>
        <v>0</v>
      </c>
    </row>
    <row r="510" spans="1:221" s="29" customFormat="1" ht="12.75">
      <c r="A510" s="26" t="s">
        <v>612</v>
      </c>
      <c r="B510" s="27" t="s">
        <v>613</v>
      </c>
      <c r="C510" s="28">
        <f>SUM(C511:C514)</f>
        <v>23264</v>
      </c>
      <c r="D510" s="28">
        <f>SUM(D511:D514)</f>
        <v>0</v>
      </c>
      <c r="E510" s="28">
        <f>SUM(E511:E514)</f>
        <v>23264</v>
      </c>
      <c r="F510" s="28">
        <f>SUM(F511:F514)</f>
        <v>0</v>
      </c>
      <c r="G510" s="28">
        <f t="shared" si="7"/>
        <v>0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</row>
    <row r="511" spans="1:7" ht="12.75">
      <c r="A511" s="12" t="s">
        <v>614</v>
      </c>
      <c r="B511" s="24" t="s">
        <v>615</v>
      </c>
      <c r="C511" s="25">
        <v>3496</v>
      </c>
      <c r="D511" s="25">
        <v>0</v>
      </c>
      <c r="E511" s="25">
        <v>3496</v>
      </c>
      <c r="F511" s="25"/>
      <c r="G511" s="25">
        <f t="shared" si="7"/>
        <v>0</v>
      </c>
    </row>
    <row r="512" spans="1:7" ht="12.75">
      <c r="A512" s="12" t="s">
        <v>616</v>
      </c>
      <c r="B512" s="24" t="s">
        <v>617</v>
      </c>
      <c r="C512" s="25">
        <v>11248</v>
      </c>
      <c r="D512" s="25">
        <v>0</v>
      </c>
      <c r="E512" s="25">
        <v>11248</v>
      </c>
      <c r="F512" s="25"/>
      <c r="G512" s="25">
        <f t="shared" si="7"/>
        <v>0</v>
      </c>
    </row>
    <row r="513" spans="1:7" ht="12.75">
      <c r="A513" s="12" t="s">
        <v>618</v>
      </c>
      <c r="B513" s="24" t="s">
        <v>1545</v>
      </c>
      <c r="C513" s="25">
        <v>1520</v>
      </c>
      <c r="D513" s="25">
        <v>0</v>
      </c>
      <c r="E513" s="25">
        <v>1520</v>
      </c>
      <c r="F513" s="25"/>
      <c r="G513" s="25">
        <f t="shared" si="7"/>
        <v>0</v>
      </c>
    </row>
    <row r="514" spans="1:7" ht="12.75">
      <c r="A514" s="12" t="s">
        <v>619</v>
      </c>
      <c r="B514" s="24" t="s">
        <v>620</v>
      </c>
      <c r="C514" s="25">
        <v>7000</v>
      </c>
      <c r="D514" s="25">
        <v>0</v>
      </c>
      <c r="E514" s="25">
        <v>7000</v>
      </c>
      <c r="F514" s="25"/>
      <c r="G514" s="25">
        <f t="shared" si="7"/>
        <v>0</v>
      </c>
    </row>
    <row r="515" spans="1:221" s="29" customFormat="1" ht="12.75">
      <c r="A515" s="26" t="s">
        <v>621</v>
      </c>
      <c r="B515" s="27" t="s">
        <v>622</v>
      </c>
      <c r="C515" s="28">
        <f>SUM(C516:C520)</f>
        <v>8167</v>
      </c>
      <c r="D515" s="28">
        <f>SUM(D516:D520)</f>
        <v>0</v>
      </c>
      <c r="E515" s="28">
        <f>SUM(E516:E520)</f>
        <v>7369</v>
      </c>
      <c r="F515" s="28">
        <f>SUM(F516:F520)</f>
        <v>0</v>
      </c>
      <c r="G515" s="28">
        <f t="shared" si="7"/>
        <v>798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</row>
    <row r="516" spans="1:7" ht="12.75">
      <c r="A516" s="12" t="s">
        <v>623</v>
      </c>
      <c r="B516" s="24" t="s">
        <v>624</v>
      </c>
      <c r="C516" s="25">
        <v>2360</v>
      </c>
      <c r="D516" s="25">
        <v>0</v>
      </c>
      <c r="E516" s="25">
        <v>1562</v>
      </c>
      <c r="F516" s="25"/>
      <c r="G516" s="25">
        <f aca="true" t="shared" si="8" ref="G516:G579">C516-D516-E516</f>
        <v>798</v>
      </c>
    </row>
    <row r="517" spans="1:7" ht="12.75">
      <c r="A517" s="12" t="s">
        <v>625</v>
      </c>
      <c r="B517" s="24" t="s">
        <v>626</v>
      </c>
      <c r="C517" s="25">
        <v>2422</v>
      </c>
      <c r="D517" s="25">
        <v>0</v>
      </c>
      <c r="E517" s="25">
        <v>2422</v>
      </c>
      <c r="F517" s="25"/>
      <c r="G517" s="25">
        <f t="shared" si="8"/>
        <v>0</v>
      </c>
    </row>
    <row r="518" spans="1:7" ht="12.75">
      <c r="A518" s="12" t="s">
        <v>627</v>
      </c>
      <c r="B518" s="24" t="s">
        <v>1545</v>
      </c>
      <c r="C518" s="25">
        <v>760</v>
      </c>
      <c r="D518" s="25">
        <v>0</v>
      </c>
      <c r="E518" s="25">
        <v>760</v>
      </c>
      <c r="F518" s="25"/>
      <c r="G518" s="25">
        <f t="shared" si="8"/>
        <v>0</v>
      </c>
    </row>
    <row r="519" spans="1:7" ht="12.75">
      <c r="A519" s="12" t="s">
        <v>628</v>
      </c>
      <c r="B519" s="24" t="s">
        <v>629</v>
      </c>
      <c r="C519" s="25">
        <v>1625</v>
      </c>
      <c r="D519" s="25">
        <v>0</v>
      </c>
      <c r="E519" s="25">
        <v>1625</v>
      </c>
      <c r="F519" s="25"/>
      <c r="G519" s="25">
        <f t="shared" si="8"/>
        <v>0</v>
      </c>
    </row>
    <row r="520" spans="1:7" ht="12.75">
      <c r="A520" s="12" t="s">
        <v>630</v>
      </c>
      <c r="B520" s="24" t="s">
        <v>631</v>
      </c>
      <c r="C520" s="25">
        <v>1000</v>
      </c>
      <c r="D520" s="25">
        <v>0</v>
      </c>
      <c r="E520" s="25">
        <v>1000</v>
      </c>
      <c r="F520" s="25"/>
      <c r="G520" s="25">
        <f t="shared" si="8"/>
        <v>0</v>
      </c>
    </row>
    <row r="521" spans="1:221" s="23" customFormat="1" ht="12.75">
      <c r="A521" s="20" t="s">
        <v>632</v>
      </c>
      <c r="B521" s="21" t="s">
        <v>633</v>
      </c>
      <c r="C521" s="22">
        <f>SUM(C522:C530)</f>
        <v>72684</v>
      </c>
      <c r="D521" s="22">
        <f>SUM(D522:D530)</f>
        <v>0</v>
      </c>
      <c r="E521" s="22">
        <f>SUM(E522:E530)</f>
        <v>72212</v>
      </c>
      <c r="F521" s="22">
        <f>SUM(F522:F530)</f>
        <v>0</v>
      </c>
      <c r="G521" s="22">
        <f t="shared" si="8"/>
        <v>472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</row>
    <row r="522" spans="1:7" ht="12.75">
      <c r="A522" s="12" t="s">
        <v>634</v>
      </c>
      <c r="B522" s="24" t="s">
        <v>635</v>
      </c>
      <c r="C522" s="25">
        <v>4331</v>
      </c>
      <c r="D522" s="25">
        <v>0</v>
      </c>
      <c r="E522" s="25">
        <v>3831</v>
      </c>
      <c r="F522" s="25"/>
      <c r="G522" s="25">
        <f t="shared" si="8"/>
        <v>500</v>
      </c>
    </row>
    <row r="523" spans="1:7" ht="12.75">
      <c r="A523" s="12" t="s">
        <v>636</v>
      </c>
      <c r="B523" s="24" t="s">
        <v>637</v>
      </c>
      <c r="C523" s="25">
        <v>31160</v>
      </c>
      <c r="D523" s="25">
        <v>0</v>
      </c>
      <c r="E523" s="25">
        <v>31160</v>
      </c>
      <c r="F523" s="25"/>
      <c r="G523" s="25">
        <f t="shared" si="8"/>
        <v>0</v>
      </c>
    </row>
    <row r="524" spans="1:7" ht="12.75">
      <c r="A524" s="12" t="s">
        <v>638</v>
      </c>
      <c r="B524" s="24" t="s">
        <v>1545</v>
      </c>
      <c r="C524" s="25">
        <v>1140</v>
      </c>
      <c r="D524" s="25">
        <v>0</v>
      </c>
      <c r="E524" s="25">
        <v>1140</v>
      </c>
      <c r="F524" s="25"/>
      <c r="G524" s="25">
        <f t="shared" si="8"/>
        <v>0</v>
      </c>
    </row>
    <row r="525" spans="1:7" ht="12.75">
      <c r="A525" s="12" t="s">
        <v>639</v>
      </c>
      <c r="B525" s="24" t="s">
        <v>640</v>
      </c>
      <c r="C525" s="25">
        <v>7141</v>
      </c>
      <c r="D525" s="25">
        <v>0</v>
      </c>
      <c r="E525" s="25">
        <v>7141</v>
      </c>
      <c r="F525" s="25"/>
      <c r="G525" s="25">
        <f t="shared" si="8"/>
        <v>0</v>
      </c>
    </row>
    <row r="526" spans="1:7" ht="12.75">
      <c r="A526" s="12" t="s">
        <v>641</v>
      </c>
      <c r="B526" s="24" t="s">
        <v>501</v>
      </c>
      <c r="C526" s="25">
        <v>9168</v>
      </c>
      <c r="D526" s="25">
        <v>0</v>
      </c>
      <c r="E526" s="25">
        <v>9196</v>
      </c>
      <c r="F526" s="25"/>
      <c r="G526" s="25">
        <f t="shared" si="8"/>
        <v>-28</v>
      </c>
    </row>
    <row r="527" spans="1:7" ht="12.75">
      <c r="A527" s="12" t="s">
        <v>642</v>
      </c>
      <c r="B527" s="24" t="s">
        <v>643</v>
      </c>
      <c r="C527" s="25">
        <v>4340</v>
      </c>
      <c r="D527" s="25">
        <v>0</v>
      </c>
      <c r="E527" s="25">
        <v>4340</v>
      </c>
      <c r="F527" s="25"/>
      <c r="G527" s="25">
        <f t="shared" si="8"/>
        <v>0</v>
      </c>
    </row>
    <row r="528" spans="1:7" ht="12.75">
      <c r="A528" s="12" t="s">
        <v>644</v>
      </c>
      <c r="B528" s="24" t="s">
        <v>645</v>
      </c>
      <c r="C528" s="25">
        <v>4408</v>
      </c>
      <c r="D528" s="25">
        <v>0</v>
      </c>
      <c r="E528" s="25">
        <v>4408</v>
      </c>
      <c r="F528" s="25"/>
      <c r="G528" s="25">
        <f t="shared" si="8"/>
        <v>0</v>
      </c>
    </row>
    <row r="529" spans="1:7" ht="12.75">
      <c r="A529" s="12" t="s">
        <v>646</v>
      </c>
      <c r="B529" s="24" t="s">
        <v>647</v>
      </c>
      <c r="C529" s="25">
        <v>10420</v>
      </c>
      <c r="D529" s="25">
        <v>0</v>
      </c>
      <c r="E529" s="25">
        <v>10420</v>
      </c>
      <c r="F529" s="25"/>
      <c r="G529" s="25">
        <f t="shared" si="8"/>
        <v>0</v>
      </c>
    </row>
    <row r="530" spans="1:7" ht="12.75">
      <c r="A530" s="12" t="s">
        <v>648</v>
      </c>
      <c r="B530" s="24" t="s">
        <v>649</v>
      </c>
      <c r="C530" s="25">
        <v>576</v>
      </c>
      <c r="D530" s="25">
        <v>0</v>
      </c>
      <c r="E530" s="25">
        <v>576</v>
      </c>
      <c r="F530" s="25"/>
      <c r="G530" s="25">
        <f t="shared" si="8"/>
        <v>0</v>
      </c>
    </row>
    <row r="531" spans="1:221" s="23" customFormat="1" ht="12.75">
      <c r="A531" s="20" t="s">
        <v>650</v>
      </c>
      <c r="B531" s="21" t="s">
        <v>651</v>
      </c>
      <c r="C531" s="22">
        <f>SUM(C532:C536)</f>
        <v>38387</v>
      </c>
      <c r="D531" s="22">
        <f>SUM(D532:D536)</f>
        <v>624</v>
      </c>
      <c r="E531" s="22">
        <f>SUM(E532:E536)</f>
        <v>37763</v>
      </c>
      <c r="F531" s="22">
        <f>SUM(F532:F536)</f>
        <v>0</v>
      </c>
      <c r="G531" s="22">
        <f t="shared" si="8"/>
        <v>0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</row>
    <row r="532" spans="1:7" ht="12.75">
      <c r="A532" s="12" t="s">
        <v>652</v>
      </c>
      <c r="B532" s="24" t="s">
        <v>653</v>
      </c>
      <c r="C532" s="25">
        <v>4331</v>
      </c>
      <c r="D532" s="25">
        <v>0</v>
      </c>
      <c r="E532" s="25">
        <v>4331</v>
      </c>
      <c r="F532" s="25"/>
      <c r="G532" s="25">
        <f t="shared" si="8"/>
        <v>0</v>
      </c>
    </row>
    <row r="533" spans="1:7" ht="12.75">
      <c r="A533" s="12" t="s">
        <v>654</v>
      </c>
      <c r="B533" s="24" t="s">
        <v>655</v>
      </c>
      <c r="C533" s="25">
        <v>6320</v>
      </c>
      <c r="D533" s="25">
        <v>0</v>
      </c>
      <c r="E533" s="25">
        <v>6320</v>
      </c>
      <c r="F533" s="25"/>
      <c r="G533" s="25">
        <f t="shared" si="8"/>
        <v>0</v>
      </c>
    </row>
    <row r="534" spans="1:7" ht="12.75">
      <c r="A534" s="12" t="s">
        <v>656</v>
      </c>
      <c r="B534" s="24" t="s">
        <v>657</v>
      </c>
      <c r="C534" s="25">
        <v>11800</v>
      </c>
      <c r="D534" s="25">
        <v>0</v>
      </c>
      <c r="E534" s="25">
        <v>11800</v>
      </c>
      <c r="F534" s="25"/>
      <c r="G534" s="25">
        <f t="shared" si="8"/>
        <v>0</v>
      </c>
    </row>
    <row r="535" spans="1:7" ht="12.75">
      <c r="A535" s="12" t="s">
        <v>658</v>
      </c>
      <c r="B535" s="24" t="s">
        <v>659</v>
      </c>
      <c r="C535" s="25">
        <v>7056</v>
      </c>
      <c r="D535" s="25">
        <v>0</v>
      </c>
      <c r="E535" s="25">
        <v>7056</v>
      </c>
      <c r="F535" s="25"/>
      <c r="G535" s="25">
        <f t="shared" si="8"/>
        <v>0</v>
      </c>
    </row>
    <row r="536" spans="1:7" ht="12.75">
      <c r="A536" s="12" t="s">
        <v>660</v>
      </c>
      <c r="B536" s="24" t="s">
        <v>661</v>
      </c>
      <c r="C536" s="25">
        <f>8256+624</f>
        <v>8880</v>
      </c>
      <c r="D536" s="25">
        <v>624</v>
      </c>
      <c r="E536" s="25">
        <v>8256</v>
      </c>
      <c r="F536" s="25"/>
      <c r="G536" s="25">
        <f t="shared" si="8"/>
        <v>0</v>
      </c>
    </row>
    <row r="537" spans="1:221" s="23" customFormat="1" ht="12.75">
      <c r="A537" s="20" t="s">
        <v>662</v>
      </c>
      <c r="B537" s="21" t="s">
        <v>663</v>
      </c>
      <c r="C537" s="22">
        <f>SUM(C538:C540)</f>
        <v>36126</v>
      </c>
      <c r="D537" s="22">
        <f>SUM(D538:D540)</f>
        <v>0</v>
      </c>
      <c r="E537" s="22">
        <f>SUM(E538:E540)</f>
        <v>36125.56</v>
      </c>
      <c r="F537" s="22">
        <f>SUM(F538:F540)</f>
        <v>0</v>
      </c>
      <c r="G537" s="22">
        <f t="shared" si="8"/>
        <v>0.4400000000023283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</row>
    <row r="538" spans="1:7" ht="12.75">
      <c r="A538" s="12" t="s">
        <v>664</v>
      </c>
      <c r="B538" s="24" t="s">
        <v>665</v>
      </c>
      <c r="C538" s="25">
        <f>19964+176</f>
        <v>20140</v>
      </c>
      <c r="D538" s="25">
        <v>0</v>
      </c>
      <c r="E538" s="25">
        <v>20139.56</v>
      </c>
      <c r="F538" s="25"/>
      <c r="G538" s="25">
        <f t="shared" si="8"/>
        <v>0.4399999999986903</v>
      </c>
    </row>
    <row r="539" spans="1:7" ht="12.75">
      <c r="A539" s="12" t="s">
        <v>666</v>
      </c>
      <c r="B539" s="24" t="s">
        <v>667</v>
      </c>
      <c r="C539" s="25">
        <v>2170</v>
      </c>
      <c r="D539" s="25">
        <v>0</v>
      </c>
      <c r="E539" s="25">
        <v>2170</v>
      </c>
      <c r="F539" s="25"/>
      <c r="G539" s="25">
        <f t="shared" si="8"/>
        <v>0</v>
      </c>
    </row>
    <row r="540" spans="1:221" s="29" customFormat="1" ht="12.75">
      <c r="A540" s="26" t="s">
        <v>668</v>
      </c>
      <c r="B540" s="27" t="s">
        <v>669</v>
      </c>
      <c r="C540" s="28">
        <f>SUM(C541:C542)</f>
        <v>13816</v>
      </c>
      <c r="D540" s="28">
        <f>SUM(D541:D542)</f>
        <v>0</v>
      </c>
      <c r="E540" s="28">
        <f>SUM(E541:E542)</f>
        <v>13816</v>
      </c>
      <c r="F540" s="28">
        <f>SUM(F541:F542)</f>
        <v>0</v>
      </c>
      <c r="G540" s="28">
        <f t="shared" si="8"/>
        <v>0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</row>
    <row r="541" spans="1:7" ht="12.75">
      <c r="A541" s="12" t="s">
        <v>670</v>
      </c>
      <c r="B541" s="24" t="s">
        <v>671</v>
      </c>
      <c r="C541" s="25">
        <v>5000</v>
      </c>
      <c r="D541" s="25">
        <v>0</v>
      </c>
      <c r="E541" s="25">
        <v>5000</v>
      </c>
      <c r="F541" s="25"/>
      <c r="G541" s="25">
        <f t="shared" si="8"/>
        <v>0</v>
      </c>
    </row>
    <row r="542" spans="1:7" ht="12.75">
      <c r="A542" s="12" t="s">
        <v>672</v>
      </c>
      <c r="B542" s="24" t="s">
        <v>673</v>
      </c>
      <c r="C542" s="25">
        <v>8816</v>
      </c>
      <c r="D542" s="25">
        <v>0</v>
      </c>
      <c r="E542" s="25">
        <v>8816</v>
      </c>
      <c r="F542" s="25"/>
      <c r="G542" s="25">
        <f t="shared" si="8"/>
        <v>0</v>
      </c>
    </row>
    <row r="543" spans="1:221" s="23" customFormat="1" ht="12.75">
      <c r="A543" s="20" t="s">
        <v>674</v>
      </c>
      <c r="B543" s="21" t="s">
        <v>1627</v>
      </c>
      <c r="C543" s="22">
        <f>SUM(C544:C545)</f>
        <v>16094</v>
      </c>
      <c r="D543" s="22">
        <f>SUM(D544:D545)</f>
        <v>0</v>
      </c>
      <c r="E543" s="22">
        <f>SUM(E544:E545)</f>
        <v>11094</v>
      </c>
      <c r="F543" s="22">
        <f>SUM(F544:F545)</f>
        <v>0</v>
      </c>
      <c r="G543" s="22">
        <f t="shared" si="8"/>
        <v>5000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</row>
    <row r="544" spans="1:7" ht="12.75">
      <c r="A544" s="12" t="s">
        <v>675</v>
      </c>
      <c r="B544" s="24" t="s">
        <v>676</v>
      </c>
      <c r="C544" s="25">
        <v>6094</v>
      </c>
      <c r="D544" s="25">
        <v>0</v>
      </c>
      <c r="E544" s="25">
        <v>6094</v>
      </c>
      <c r="F544" s="25"/>
      <c r="G544" s="25">
        <f t="shared" si="8"/>
        <v>0</v>
      </c>
    </row>
    <row r="545" spans="1:7" ht="12.75">
      <c r="A545" s="12" t="s">
        <v>677</v>
      </c>
      <c r="B545" s="24" t="s">
        <v>678</v>
      </c>
      <c r="C545" s="25">
        <v>10000</v>
      </c>
      <c r="D545" s="25">
        <v>0</v>
      </c>
      <c r="E545" s="25">
        <v>5000</v>
      </c>
      <c r="F545" s="25"/>
      <c r="G545" s="25">
        <f t="shared" si="8"/>
        <v>5000</v>
      </c>
    </row>
    <row r="546" spans="1:221" s="23" customFormat="1" ht="12.75">
      <c r="A546" s="20" t="s">
        <v>679</v>
      </c>
      <c r="B546" s="21" t="s">
        <v>680</v>
      </c>
      <c r="C546" s="22">
        <f>SUM(C547:C552)</f>
        <v>17395</v>
      </c>
      <c r="D546" s="22">
        <f>SUM(D547:D552)</f>
        <v>3660</v>
      </c>
      <c r="E546" s="22">
        <f>SUM(E547:E552)</f>
        <v>137.78</v>
      </c>
      <c r="F546" s="22">
        <f>SUM(F547:F552)</f>
        <v>0</v>
      </c>
      <c r="G546" s="22">
        <f t="shared" si="8"/>
        <v>13597.22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</row>
    <row r="547" spans="1:7" ht="12.75">
      <c r="A547" s="12" t="s">
        <v>681</v>
      </c>
      <c r="B547" s="24" t="s">
        <v>682</v>
      </c>
      <c r="C547" s="25">
        <v>3040</v>
      </c>
      <c r="D547" s="25">
        <v>0</v>
      </c>
      <c r="E547" s="25">
        <v>0</v>
      </c>
      <c r="F547" s="25"/>
      <c r="G547" s="25">
        <f t="shared" si="8"/>
        <v>3040</v>
      </c>
    </row>
    <row r="548" spans="1:7" ht="12.75">
      <c r="A548" s="12" t="s">
        <v>683</v>
      </c>
      <c r="B548" s="24" t="s">
        <v>684</v>
      </c>
      <c r="C548" s="25">
        <v>1900</v>
      </c>
      <c r="D548" s="25">
        <v>0</v>
      </c>
      <c r="E548" s="25">
        <v>0</v>
      </c>
      <c r="F548" s="25"/>
      <c r="G548" s="25">
        <f t="shared" si="8"/>
        <v>1900</v>
      </c>
    </row>
    <row r="549" spans="1:7" ht="12.75">
      <c r="A549" s="12" t="s">
        <v>685</v>
      </c>
      <c r="B549" s="24" t="s">
        <v>686</v>
      </c>
      <c r="C549" s="25">
        <v>3255</v>
      </c>
      <c r="D549" s="25">
        <v>0</v>
      </c>
      <c r="E549" s="25">
        <v>0</v>
      </c>
      <c r="F549" s="25"/>
      <c r="G549" s="25">
        <f t="shared" si="8"/>
        <v>3255</v>
      </c>
    </row>
    <row r="550" spans="1:7" ht="12.75">
      <c r="A550" s="12" t="s">
        <v>687</v>
      </c>
      <c r="B550" s="24" t="s">
        <v>688</v>
      </c>
      <c r="C550" s="25">
        <v>3040</v>
      </c>
      <c r="D550" s="25">
        <v>0</v>
      </c>
      <c r="E550" s="25">
        <v>137.78</v>
      </c>
      <c r="F550" s="25"/>
      <c r="G550" s="25">
        <f t="shared" si="8"/>
        <v>2902.22</v>
      </c>
    </row>
    <row r="551" spans="1:7" ht="12.75">
      <c r="A551" s="12" t="s">
        <v>689</v>
      </c>
      <c r="B551" s="24" t="s">
        <v>690</v>
      </c>
      <c r="C551" s="25">
        <f>2500+1160</f>
        <v>3660</v>
      </c>
      <c r="D551" s="25">
        <v>3660</v>
      </c>
      <c r="E551" s="25">
        <v>0</v>
      </c>
      <c r="F551" s="25"/>
      <c r="G551" s="25">
        <f t="shared" si="8"/>
        <v>0</v>
      </c>
    </row>
    <row r="552" spans="1:7" ht="12.75">
      <c r="A552" s="12" t="s">
        <v>691</v>
      </c>
      <c r="B552" s="24" t="s">
        <v>692</v>
      </c>
      <c r="C552" s="25">
        <v>2500</v>
      </c>
      <c r="D552" s="25">
        <v>0</v>
      </c>
      <c r="E552" s="25">
        <v>0</v>
      </c>
      <c r="F552" s="25"/>
      <c r="G552" s="25">
        <f t="shared" si="8"/>
        <v>2500</v>
      </c>
    </row>
    <row r="553" spans="1:7" ht="12.75">
      <c r="A553" s="12" t="s">
        <v>693</v>
      </c>
      <c r="B553" s="24" t="s">
        <v>694</v>
      </c>
      <c r="C553" s="25">
        <v>5000</v>
      </c>
      <c r="D553" s="25">
        <v>0</v>
      </c>
      <c r="E553" s="25">
        <v>0</v>
      </c>
      <c r="F553" s="25"/>
      <c r="G553" s="25">
        <f t="shared" si="8"/>
        <v>5000</v>
      </c>
    </row>
    <row r="554" spans="1:221" s="23" customFormat="1" ht="12.75">
      <c r="A554" s="20" t="s">
        <v>695</v>
      </c>
      <c r="B554" s="21" t="s">
        <v>696</v>
      </c>
      <c r="C554" s="22">
        <f>SUM(C555:C556)</f>
        <v>4670</v>
      </c>
      <c r="D554" s="22">
        <f>SUM(D555:D556)</f>
        <v>0</v>
      </c>
      <c r="E554" s="22">
        <f>SUM(E555:E556)</f>
        <v>0</v>
      </c>
      <c r="F554" s="22">
        <f>SUM(F555:F556)</f>
        <v>0</v>
      </c>
      <c r="G554" s="22">
        <f t="shared" si="8"/>
        <v>4670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</row>
    <row r="555" spans="1:7" ht="12.75">
      <c r="A555" s="12" t="s">
        <v>697</v>
      </c>
      <c r="B555" s="24" t="s">
        <v>698</v>
      </c>
      <c r="C555" s="25">
        <v>1547</v>
      </c>
      <c r="D555" s="25">
        <v>0</v>
      </c>
      <c r="E555" s="25">
        <v>0</v>
      </c>
      <c r="F555" s="25"/>
      <c r="G555" s="25">
        <f t="shared" si="8"/>
        <v>1547</v>
      </c>
    </row>
    <row r="556" spans="1:7" ht="12.75">
      <c r="A556" s="12" t="s">
        <v>699</v>
      </c>
      <c r="B556" s="24" t="s">
        <v>700</v>
      </c>
      <c r="C556" s="25">
        <v>3123</v>
      </c>
      <c r="D556" s="25">
        <v>0</v>
      </c>
      <c r="E556" s="25">
        <v>0</v>
      </c>
      <c r="F556" s="25"/>
      <c r="G556" s="25">
        <f t="shared" si="8"/>
        <v>3123</v>
      </c>
    </row>
    <row r="557" spans="1:7" ht="12.75">
      <c r="A557" s="12" t="s">
        <v>701</v>
      </c>
      <c r="B557" s="24" t="s">
        <v>702</v>
      </c>
      <c r="C557" s="25">
        <v>4875</v>
      </c>
      <c r="D557" s="25">
        <v>0</v>
      </c>
      <c r="E557" s="25">
        <v>0</v>
      </c>
      <c r="F557" s="25"/>
      <c r="G557" s="25">
        <f t="shared" si="8"/>
        <v>4875</v>
      </c>
    </row>
    <row r="558" spans="1:7" ht="12.75">
      <c r="A558" s="12" t="s">
        <v>703</v>
      </c>
      <c r="B558" s="15" t="s">
        <v>704</v>
      </c>
      <c r="C558" s="14">
        <f>C559+C599+C646+C687+C722</f>
        <v>9589078.881983679</v>
      </c>
      <c r="D558" s="14">
        <f>D559+D599+D646+D687+D722</f>
        <v>482054.81999999995</v>
      </c>
      <c r="E558" s="14">
        <f>E559+E599+E646+E687+E722</f>
        <v>7829582.8592</v>
      </c>
      <c r="F558" s="14">
        <f>F559+F599+F646+F687+F722</f>
        <v>665274</v>
      </c>
      <c r="G558" s="14">
        <f>G559+G599+G646+G687+G722</f>
        <v>612167.2027836798</v>
      </c>
    </row>
    <row r="559" spans="1:221" s="19" customFormat="1" ht="12.75">
      <c r="A559" s="16" t="s">
        <v>705</v>
      </c>
      <c r="B559" s="17" t="s">
        <v>706</v>
      </c>
      <c r="C559" s="18">
        <f>C560+C569+C573+C576+C579+C581+C584+C587+C592</f>
        <v>1223200</v>
      </c>
      <c r="D559" s="18">
        <f>D560+D569+D573+D576+D579+D581+D584+D587+D592</f>
        <v>0</v>
      </c>
      <c r="E559" s="18">
        <f>E560+E569+E573+E576+E579+E581+E584+E587+E592</f>
        <v>963200</v>
      </c>
      <c r="F559" s="18">
        <f>F560+F569+F573+F576+F579+F581+F584+F587+F592</f>
        <v>260000</v>
      </c>
      <c r="G559" s="18">
        <f>G560+G569+G573+G576+G579+G581+G584+G587+G592</f>
        <v>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</row>
    <row r="560" spans="1:221" s="23" customFormat="1" ht="12.75">
      <c r="A560" s="20" t="s">
        <v>707</v>
      </c>
      <c r="B560" s="21" t="s">
        <v>587</v>
      </c>
      <c r="C560" s="22">
        <f>SUM(C561:C568)</f>
        <v>614397</v>
      </c>
      <c r="D560" s="22">
        <f>SUM(D561:D568)</f>
        <v>0</v>
      </c>
      <c r="E560" s="22">
        <f>SUM(E561:E568)</f>
        <v>354397</v>
      </c>
      <c r="F560" s="22">
        <f>SUM(F561:F568)</f>
        <v>260000</v>
      </c>
      <c r="G560" s="22">
        <f>SUM(G561:G568)</f>
        <v>0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</row>
    <row r="561" spans="1:7" ht="12.75">
      <c r="A561" s="12" t="s">
        <v>708</v>
      </c>
      <c r="B561" s="24" t="s">
        <v>709</v>
      </c>
      <c r="C561" s="25">
        <v>140955</v>
      </c>
      <c r="D561" s="25">
        <v>0</v>
      </c>
      <c r="E561" s="25">
        <v>140955</v>
      </c>
      <c r="F561" s="25"/>
      <c r="G561" s="25">
        <f t="shared" si="8"/>
        <v>0</v>
      </c>
    </row>
    <row r="562" spans="1:7" ht="12.75">
      <c r="A562" s="12" t="s">
        <v>710</v>
      </c>
      <c r="B562" s="24" t="s">
        <v>711</v>
      </c>
      <c r="C562" s="25">
        <v>52429</v>
      </c>
      <c r="D562" s="25">
        <v>0</v>
      </c>
      <c r="E562" s="25">
        <v>52429</v>
      </c>
      <c r="F562" s="25"/>
      <c r="G562" s="25">
        <f t="shared" si="8"/>
        <v>0</v>
      </c>
    </row>
    <row r="563" spans="1:7" ht="12.75">
      <c r="A563" s="12" t="s">
        <v>712</v>
      </c>
      <c r="B563" s="24" t="s">
        <v>713</v>
      </c>
      <c r="C563" s="25">
        <v>54018</v>
      </c>
      <c r="D563" s="25">
        <v>0</v>
      </c>
      <c r="E563" s="25">
        <v>54018</v>
      </c>
      <c r="F563" s="25"/>
      <c r="G563" s="25">
        <f t="shared" si="8"/>
        <v>0</v>
      </c>
    </row>
    <row r="564" spans="1:7" ht="12.75">
      <c r="A564" s="12" t="s">
        <v>714</v>
      </c>
      <c r="B564" s="24" t="s">
        <v>715</v>
      </c>
      <c r="C564" s="25">
        <v>12758</v>
      </c>
      <c r="D564" s="25">
        <v>0</v>
      </c>
      <c r="E564" s="25">
        <v>12758</v>
      </c>
      <c r="F564" s="25"/>
      <c r="G564" s="25">
        <f t="shared" si="8"/>
        <v>0</v>
      </c>
    </row>
    <row r="565" spans="1:7" ht="12.75">
      <c r="A565" s="12" t="s">
        <v>716</v>
      </c>
      <c r="B565" s="24" t="s">
        <v>717</v>
      </c>
      <c r="C565" s="25">
        <v>7587</v>
      </c>
      <c r="D565" s="25">
        <v>0</v>
      </c>
      <c r="E565" s="25">
        <v>7587</v>
      </c>
      <c r="F565" s="25"/>
      <c r="G565" s="25">
        <f t="shared" si="8"/>
        <v>0</v>
      </c>
    </row>
    <row r="566" spans="1:7" ht="12.75">
      <c r="A566" s="12" t="s">
        <v>718</v>
      </c>
      <c r="B566" s="24" t="s">
        <v>723</v>
      </c>
      <c r="C566" s="25">
        <v>26678</v>
      </c>
      <c r="D566" s="25">
        <v>0</v>
      </c>
      <c r="E566" s="25">
        <v>26678</v>
      </c>
      <c r="F566" s="25"/>
      <c r="G566" s="25">
        <f t="shared" si="8"/>
        <v>0</v>
      </c>
    </row>
    <row r="567" spans="1:7" ht="12.75">
      <c r="A567" s="12" t="s">
        <v>724</v>
      </c>
      <c r="B567" s="24" t="s">
        <v>725</v>
      </c>
      <c r="C567" s="25">
        <v>59972</v>
      </c>
      <c r="D567" s="25">
        <v>0</v>
      </c>
      <c r="E567" s="25">
        <v>59972</v>
      </c>
      <c r="F567" s="25"/>
      <c r="G567" s="25">
        <f t="shared" si="8"/>
        <v>0</v>
      </c>
    </row>
    <row r="568" spans="1:7" ht="12.75">
      <c r="A568" s="45" t="s">
        <v>726</v>
      </c>
      <c r="B568" s="45" t="s">
        <v>727</v>
      </c>
      <c r="C568" s="25">
        <v>260000</v>
      </c>
      <c r="D568" s="25">
        <v>0</v>
      </c>
      <c r="E568" s="25">
        <v>0</v>
      </c>
      <c r="F568" s="25">
        <v>260000</v>
      </c>
      <c r="G568" s="25">
        <f>C568-D568-E568-F568</f>
        <v>0</v>
      </c>
    </row>
    <row r="569" spans="1:221" s="23" customFormat="1" ht="12.75">
      <c r="A569" s="20" t="s">
        <v>728</v>
      </c>
      <c r="B569" s="21" t="s">
        <v>729</v>
      </c>
      <c r="C569" s="22">
        <f>SUM(C570:C572)</f>
        <v>110984</v>
      </c>
      <c r="D569" s="22">
        <f>SUM(D570:D572)</f>
        <v>0</v>
      </c>
      <c r="E569" s="22">
        <f>SUM(E570:E572)</f>
        <v>110984</v>
      </c>
      <c r="F569" s="22">
        <f>SUM(F570:F572)</f>
        <v>0</v>
      </c>
      <c r="G569" s="22">
        <f t="shared" si="8"/>
        <v>0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</row>
    <row r="570" spans="1:7" ht="12.75">
      <c r="A570" s="12" t="s">
        <v>730</v>
      </c>
      <c r="B570" s="24" t="s">
        <v>731</v>
      </c>
      <c r="C570" s="25">
        <v>110984</v>
      </c>
      <c r="D570" s="25">
        <v>0</v>
      </c>
      <c r="E570" s="25">
        <v>110984</v>
      </c>
      <c r="F570" s="25"/>
      <c r="G570" s="25">
        <f t="shared" si="8"/>
        <v>0</v>
      </c>
    </row>
    <row r="571" spans="1:7" ht="12.75">
      <c r="A571" s="12" t="s">
        <v>732</v>
      </c>
      <c r="B571" s="24" t="s">
        <v>733</v>
      </c>
      <c r="C571" s="25">
        <v>0</v>
      </c>
      <c r="D571" s="25">
        <v>0</v>
      </c>
      <c r="E571" s="25">
        <v>0</v>
      </c>
      <c r="F571" s="25"/>
      <c r="G571" s="25">
        <f t="shared" si="8"/>
        <v>0</v>
      </c>
    </row>
    <row r="572" spans="1:7" ht="12.75">
      <c r="A572" s="12" t="s">
        <v>734</v>
      </c>
      <c r="B572" s="24" t="s">
        <v>735</v>
      </c>
      <c r="C572" s="25">
        <v>0</v>
      </c>
      <c r="D572" s="25">
        <v>0</v>
      </c>
      <c r="E572" s="25">
        <v>0</v>
      </c>
      <c r="F572" s="25"/>
      <c r="G572" s="25">
        <f t="shared" si="8"/>
        <v>0</v>
      </c>
    </row>
    <row r="573" spans="1:221" s="23" customFormat="1" ht="12.75">
      <c r="A573" s="20" t="s">
        <v>736</v>
      </c>
      <c r="B573" s="21" t="s">
        <v>737</v>
      </c>
      <c r="C573" s="22">
        <f>SUM(C574:C575)</f>
        <v>122100</v>
      </c>
      <c r="D573" s="22">
        <f>SUM(D574:D575)</f>
        <v>0</v>
      </c>
      <c r="E573" s="22">
        <f>SUM(E574:E575)</f>
        <v>122100</v>
      </c>
      <c r="F573" s="22">
        <f>SUM(F574:F575)</f>
        <v>0</v>
      </c>
      <c r="G573" s="22">
        <f t="shared" si="8"/>
        <v>0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</row>
    <row r="574" spans="1:7" ht="12.75">
      <c r="A574" s="12" t="s">
        <v>738</v>
      </c>
      <c r="B574" s="24" t="s">
        <v>737</v>
      </c>
      <c r="C574" s="25">
        <v>122100</v>
      </c>
      <c r="D574" s="25">
        <v>0</v>
      </c>
      <c r="E574" s="25">
        <v>122100</v>
      </c>
      <c r="F574" s="25"/>
      <c r="G574" s="25">
        <f t="shared" si="8"/>
        <v>0</v>
      </c>
    </row>
    <row r="575" spans="1:7" ht="12.75">
      <c r="A575" s="12" t="s">
        <v>739</v>
      </c>
      <c r="B575" s="24" t="s">
        <v>740</v>
      </c>
      <c r="C575" s="25">
        <v>0</v>
      </c>
      <c r="D575" s="25">
        <v>0</v>
      </c>
      <c r="E575" s="25">
        <v>0</v>
      </c>
      <c r="F575" s="25"/>
      <c r="G575" s="25">
        <f t="shared" si="8"/>
        <v>0</v>
      </c>
    </row>
    <row r="576" spans="1:221" s="23" customFormat="1" ht="12.75">
      <c r="A576" s="20" t="s">
        <v>741</v>
      </c>
      <c r="B576" s="21" t="s">
        <v>742</v>
      </c>
      <c r="C576" s="22">
        <f>SUM(C577:C578)</f>
        <v>71815</v>
      </c>
      <c r="D576" s="22">
        <f>SUM(D577:D578)</f>
        <v>0</v>
      </c>
      <c r="E576" s="22">
        <f>SUM(E577:E578)</f>
        <v>71815</v>
      </c>
      <c r="F576" s="22">
        <f>SUM(F577:F578)</f>
        <v>0</v>
      </c>
      <c r="G576" s="22">
        <f t="shared" si="8"/>
        <v>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</row>
    <row r="577" spans="1:7" ht="12.75">
      <c r="A577" s="12" t="s">
        <v>743</v>
      </c>
      <c r="B577" s="24" t="s">
        <v>744</v>
      </c>
      <c r="C577" s="25">
        <v>59215</v>
      </c>
      <c r="D577" s="25">
        <v>0</v>
      </c>
      <c r="E577" s="25">
        <v>59215</v>
      </c>
      <c r="F577" s="25"/>
      <c r="G577" s="25">
        <f t="shared" si="8"/>
        <v>0</v>
      </c>
    </row>
    <row r="578" spans="1:7" ht="12.75">
      <c r="A578" s="12" t="s">
        <v>745</v>
      </c>
      <c r="B578" s="24" t="s">
        <v>746</v>
      </c>
      <c r="C578" s="25">
        <v>12600</v>
      </c>
      <c r="D578" s="25">
        <v>0</v>
      </c>
      <c r="E578" s="25">
        <v>12600</v>
      </c>
      <c r="F578" s="25"/>
      <c r="G578" s="25">
        <f t="shared" si="8"/>
        <v>0</v>
      </c>
    </row>
    <row r="579" spans="1:221" s="23" customFormat="1" ht="12.75">
      <c r="A579" s="20" t="s">
        <v>747</v>
      </c>
      <c r="B579" s="21" t="s">
        <v>748</v>
      </c>
      <c r="C579" s="22">
        <f>C580</f>
        <v>217</v>
      </c>
      <c r="D579" s="22">
        <f>D580</f>
        <v>0</v>
      </c>
      <c r="E579" s="22">
        <f>E580</f>
        <v>217</v>
      </c>
      <c r="F579" s="22">
        <f>F580</f>
        <v>0</v>
      </c>
      <c r="G579" s="22">
        <f t="shared" si="8"/>
        <v>0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</row>
    <row r="580" spans="1:7" ht="12.75">
      <c r="A580" s="12" t="s">
        <v>749</v>
      </c>
      <c r="B580" s="24" t="s">
        <v>750</v>
      </c>
      <c r="C580" s="25">
        <v>217</v>
      </c>
      <c r="D580" s="25">
        <v>0</v>
      </c>
      <c r="E580" s="25">
        <v>217</v>
      </c>
      <c r="F580" s="25"/>
      <c r="G580" s="25">
        <f aca="true" t="shared" si="9" ref="G580:G643">C580-D580-E580</f>
        <v>0</v>
      </c>
    </row>
    <row r="581" spans="1:221" s="23" customFormat="1" ht="12.75">
      <c r="A581" s="20" t="s">
        <v>751</v>
      </c>
      <c r="B581" s="21" t="s">
        <v>752</v>
      </c>
      <c r="C581" s="22">
        <f>SUM(C582:C583)</f>
        <v>12078</v>
      </c>
      <c r="D581" s="22">
        <f>SUM(D582:D583)</f>
        <v>0</v>
      </c>
      <c r="E581" s="22">
        <f>SUM(E582:E583)</f>
        <v>12078</v>
      </c>
      <c r="F581" s="22">
        <f>SUM(F582:F583)</f>
        <v>0</v>
      </c>
      <c r="G581" s="22">
        <f t="shared" si="9"/>
        <v>0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</row>
    <row r="582" spans="1:7" ht="12.75">
      <c r="A582" s="12" t="s">
        <v>753</v>
      </c>
      <c r="B582" s="24" t="s">
        <v>754</v>
      </c>
      <c r="C582" s="25">
        <v>817</v>
      </c>
      <c r="D582" s="25">
        <v>0</v>
      </c>
      <c r="E582" s="25">
        <v>817</v>
      </c>
      <c r="F582" s="25"/>
      <c r="G582" s="25">
        <f t="shared" si="9"/>
        <v>0</v>
      </c>
    </row>
    <row r="583" spans="1:7" ht="12.75">
      <c r="A583" s="12" t="s">
        <v>755</v>
      </c>
      <c r="B583" s="24" t="s">
        <v>1545</v>
      </c>
      <c r="C583" s="25">
        <v>11261</v>
      </c>
      <c r="D583" s="25">
        <v>0</v>
      </c>
      <c r="E583" s="25">
        <v>11261</v>
      </c>
      <c r="F583" s="25"/>
      <c r="G583" s="25">
        <f t="shared" si="9"/>
        <v>0</v>
      </c>
    </row>
    <row r="584" spans="1:221" s="23" customFormat="1" ht="12.75">
      <c r="A584" s="20" t="s">
        <v>756</v>
      </c>
      <c r="B584" s="21" t="s">
        <v>688</v>
      </c>
      <c r="C584" s="22">
        <f>SUM(C585:C586)</f>
        <v>1980</v>
      </c>
      <c r="D584" s="22">
        <f>SUM(D585:D586)</f>
        <v>0</v>
      </c>
      <c r="E584" s="22">
        <f>SUM(E585:E586)</f>
        <v>1980</v>
      </c>
      <c r="F584" s="22">
        <f>SUM(F585:F586)</f>
        <v>0</v>
      </c>
      <c r="G584" s="22">
        <f t="shared" si="9"/>
        <v>0</v>
      </c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</row>
    <row r="585" spans="1:7" ht="12.75">
      <c r="A585" s="12" t="s">
        <v>757</v>
      </c>
      <c r="B585" s="24" t="s">
        <v>754</v>
      </c>
      <c r="C585" s="25">
        <v>862</v>
      </c>
      <c r="D585" s="25">
        <v>0</v>
      </c>
      <c r="E585" s="25">
        <v>862</v>
      </c>
      <c r="F585" s="25"/>
      <c r="G585" s="25">
        <f t="shared" si="9"/>
        <v>0</v>
      </c>
    </row>
    <row r="586" spans="1:7" ht="12.75">
      <c r="A586" s="12" t="s">
        <v>758</v>
      </c>
      <c r="B586" s="24" t="s">
        <v>1545</v>
      </c>
      <c r="C586" s="25">
        <v>1118</v>
      </c>
      <c r="D586" s="25">
        <v>0</v>
      </c>
      <c r="E586" s="25">
        <v>1118</v>
      </c>
      <c r="F586" s="25"/>
      <c r="G586" s="25">
        <f t="shared" si="9"/>
        <v>0</v>
      </c>
    </row>
    <row r="587" spans="1:221" s="23" customFormat="1" ht="12.75">
      <c r="A587" s="20" t="s">
        <v>759</v>
      </c>
      <c r="B587" s="21" t="s">
        <v>760</v>
      </c>
      <c r="C587" s="22">
        <f>SUM(C588:C591)</f>
        <v>92456</v>
      </c>
      <c r="D587" s="22">
        <f>SUM(D588:D591)</f>
        <v>0</v>
      </c>
      <c r="E587" s="22">
        <f>SUM(E588:E591)</f>
        <v>92456</v>
      </c>
      <c r="F587" s="22">
        <f>SUM(F588:F591)</f>
        <v>0</v>
      </c>
      <c r="G587" s="22">
        <f t="shared" si="9"/>
        <v>0</v>
      </c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</row>
    <row r="588" spans="1:7" ht="12.75">
      <c r="A588" s="12" t="s">
        <v>761</v>
      </c>
      <c r="B588" s="24" t="s">
        <v>762</v>
      </c>
      <c r="C588" s="25">
        <v>35560</v>
      </c>
      <c r="D588" s="25">
        <v>0</v>
      </c>
      <c r="E588" s="25">
        <v>35560</v>
      </c>
      <c r="F588" s="25"/>
      <c r="G588" s="25">
        <f t="shared" si="9"/>
        <v>0</v>
      </c>
    </row>
    <row r="589" spans="1:7" ht="12.75">
      <c r="A589" s="12" t="s">
        <v>763</v>
      </c>
      <c r="B589" s="24" t="s">
        <v>764</v>
      </c>
      <c r="C589" s="25">
        <v>0</v>
      </c>
      <c r="D589" s="25">
        <v>0</v>
      </c>
      <c r="E589" s="25">
        <v>0</v>
      </c>
      <c r="F589" s="25"/>
      <c r="G589" s="25">
        <f t="shared" si="9"/>
        <v>0</v>
      </c>
    </row>
    <row r="590" spans="1:7" ht="12.75">
      <c r="A590" s="12" t="s">
        <v>765</v>
      </c>
      <c r="B590" s="24" t="s">
        <v>766</v>
      </c>
      <c r="C590" s="25">
        <v>0</v>
      </c>
      <c r="D590" s="25">
        <v>0</v>
      </c>
      <c r="E590" s="25">
        <v>0</v>
      </c>
      <c r="F590" s="25"/>
      <c r="G590" s="25">
        <f t="shared" si="9"/>
        <v>0</v>
      </c>
    </row>
    <row r="591" spans="1:7" ht="12.75">
      <c r="A591" s="12" t="s">
        <v>767</v>
      </c>
      <c r="B591" s="24" t="s">
        <v>768</v>
      </c>
      <c r="C591" s="25">
        <v>56896</v>
      </c>
      <c r="D591" s="25">
        <v>0</v>
      </c>
      <c r="E591" s="25">
        <v>56896</v>
      </c>
      <c r="F591" s="25"/>
      <c r="G591" s="25">
        <f t="shared" si="9"/>
        <v>0</v>
      </c>
    </row>
    <row r="592" spans="1:221" s="23" customFormat="1" ht="12.75">
      <c r="A592" s="20" t="s">
        <v>769</v>
      </c>
      <c r="B592" s="21" t="s">
        <v>770</v>
      </c>
      <c r="C592" s="22">
        <f>SUM(C593:C598)</f>
        <v>197173</v>
      </c>
      <c r="D592" s="22">
        <f>SUM(D593:D598)</f>
        <v>0</v>
      </c>
      <c r="E592" s="22">
        <f>SUM(E593:E598)</f>
        <v>197173</v>
      </c>
      <c r="F592" s="22">
        <f>SUM(F593:F598)</f>
        <v>0</v>
      </c>
      <c r="G592" s="22">
        <f t="shared" si="9"/>
        <v>0</v>
      </c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</row>
    <row r="593" spans="1:7" ht="12.75">
      <c r="A593" s="12" t="s">
        <v>771</v>
      </c>
      <c r="B593" s="24" t="s">
        <v>772</v>
      </c>
      <c r="C593" s="25">
        <v>74210</v>
      </c>
      <c r="D593" s="25">
        <v>0</v>
      </c>
      <c r="E593" s="25">
        <v>74210</v>
      </c>
      <c r="F593" s="25"/>
      <c r="G593" s="25">
        <f t="shared" si="9"/>
        <v>0</v>
      </c>
    </row>
    <row r="594" spans="1:7" ht="12.75">
      <c r="A594" s="12" t="s">
        <v>773</v>
      </c>
      <c r="B594" s="24" t="s">
        <v>774</v>
      </c>
      <c r="C594" s="25">
        <v>122963</v>
      </c>
      <c r="D594" s="25">
        <v>0</v>
      </c>
      <c r="E594" s="25">
        <v>122963</v>
      </c>
      <c r="F594" s="25"/>
      <c r="G594" s="25">
        <f t="shared" si="9"/>
        <v>0</v>
      </c>
    </row>
    <row r="595" spans="1:7" ht="12.75">
      <c r="A595" s="12" t="s">
        <v>775</v>
      </c>
      <c r="B595" s="24" t="s">
        <v>776</v>
      </c>
      <c r="C595" s="25">
        <v>0</v>
      </c>
      <c r="D595" s="25">
        <v>0</v>
      </c>
      <c r="E595" s="25">
        <v>0</v>
      </c>
      <c r="F595" s="25"/>
      <c r="G595" s="25">
        <f t="shared" si="9"/>
        <v>0</v>
      </c>
    </row>
    <row r="596" spans="1:7" ht="12.75">
      <c r="A596" s="12" t="s">
        <v>777</v>
      </c>
      <c r="B596" s="24" t="s">
        <v>778</v>
      </c>
      <c r="C596" s="25">
        <v>0</v>
      </c>
      <c r="D596" s="25">
        <v>0</v>
      </c>
      <c r="E596" s="25">
        <v>0</v>
      </c>
      <c r="F596" s="25"/>
      <c r="G596" s="25">
        <f t="shared" si="9"/>
        <v>0</v>
      </c>
    </row>
    <row r="597" spans="1:7" ht="12.75">
      <c r="A597" s="12" t="s">
        <v>779</v>
      </c>
      <c r="B597" s="24" t="s">
        <v>780</v>
      </c>
      <c r="C597" s="25">
        <v>0</v>
      </c>
      <c r="D597" s="25">
        <v>0</v>
      </c>
      <c r="E597" s="25">
        <v>0</v>
      </c>
      <c r="F597" s="25"/>
      <c r="G597" s="25">
        <f t="shared" si="9"/>
        <v>0</v>
      </c>
    </row>
    <row r="598" spans="1:7" ht="12.75">
      <c r="A598" s="12" t="s">
        <v>781</v>
      </c>
      <c r="B598" s="24" t="s">
        <v>782</v>
      </c>
      <c r="C598" s="25">
        <v>0</v>
      </c>
      <c r="D598" s="25">
        <v>0</v>
      </c>
      <c r="E598" s="25">
        <v>0</v>
      </c>
      <c r="F598" s="25"/>
      <c r="G598" s="25">
        <f t="shared" si="9"/>
        <v>0</v>
      </c>
    </row>
    <row r="599" spans="1:221" s="19" customFormat="1" ht="12.75">
      <c r="A599" s="16" t="s">
        <v>783</v>
      </c>
      <c r="B599" s="17" t="s">
        <v>784</v>
      </c>
      <c r="C599" s="18">
        <f>C600+C601+C620+C639</f>
        <v>951934.201308833</v>
      </c>
      <c r="D599" s="18">
        <f>D600+D601+D620+D639</f>
        <v>45033.97</v>
      </c>
      <c r="E599" s="18">
        <f>E600+E601+E620+E639</f>
        <v>720638.2799999999</v>
      </c>
      <c r="F599" s="18">
        <f>F600+F601+F620+F639</f>
        <v>145785</v>
      </c>
      <c r="G599" s="18">
        <f>G600+G601+G620+G639</f>
        <v>40476.95130883302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</row>
    <row r="600" spans="1:7" ht="12.75">
      <c r="A600" s="12" t="s">
        <v>785</v>
      </c>
      <c r="B600" s="24" t="s">
        <v>41</v>
      </c>
      <c r="C600" s="25">
        <v>0</v>
      </c>
      <c r="D600" s="25">
        <v>0</v>
      </c>
      <c r="E600" s="25">
        <v>0</v>
      </c>
      <c r="F600" s="25"/>
      <c r="G600" s="25">
        <f t="shared" si="9"/>
        <v>0</v>
      </c>
    </row>
    <row r="601" spans="1:221" s="23" customFormat="1" ht="12.75">
      <c r="A601" s="20" t="s">
        <v>786</v>
      </c>
      <c r="B601" s="21" t="s">
        <v>787</v>
      </c>
      <c r="C601" s="22">
        <f>SUM(C602:C619)</f>
        <v>480012.4385815603</v>
      </c>
      <c r="D601" s="22">
        <f>SUM(D602:D619)</f>
        <v>4131</v>
      </c>
      <c r="E601" s="22">
        <f>SUM(E602:E619)</f>
        <v>471641.85</v>
      </c>
      <c r="F601" s="22">
        <f>SUM(F602:F619)</f>
        <v>0</v>
      </c>
      <c r="G601" s="22">
        <f t="shared" si="9"/>
        <v>4239.588581560296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</row>
    <row r="602" spans="1:7" ht="12.75">
      <c r="A602" s="12" t="s">
        <v>788</v>
      </c>
      <c r="B602" s="24" t="s">
        <v>789</v>
      </c>
      <c r="C602" s="25">
        <f>114000+45</f>
        <v>114045</v>
      </c>
      <c r="D602" s="25">
        <v>0</v>
      </c>
      <c r="E602" s="25">
        <v>114045</v>
      </c>
      <c r="F602" s="25"/>
      <c r="G602" s="25">
        <f t="shared" si="9"/>
        <v>0</v>
      </c>
    </row>
    <row r="603" spans="1:7" ht="12.75">
      <c r="A603" s="12" t="s">
        <v>790</v>
      </c>
      <c r="B603" s="24" t="s">
        <v>791</v>
      </c>
      <c r="C603" s="25">
        <f>19589-94</f>
        <v>19495</v>
      </c>
      <c r="D603" s="25">
        <v>0</v>
      </c>
      <c r="E603" s="25">
        <v>19495.31</v>
      </c>
      <c r="F603" s="25"/>
      <c r="G603" s="25">
        <f t="shared" si="9"/>
        <v>-0.3100000000013097</v>
      </c>
    </row>
    <row r="604" spans="1:7" ht="12.75">
      <c r="A604" s="12" t="s">
        <v>792</v>
      </c>
      <c r="B604" s="24" t="s">
        <v>793</v>
      </c>
      <c r="C604" s="25">
        <f>28240-520</f>
        <v>27720</v>
      </c>
      <c r="D604" s="25">
        <v>0</v>
      </c>
      <c r="E604" s="25">
        <v>27720</v>
      </c>
      <c r="F604" s="25"/>
      <c r="G604" s="25">
        <f t="shared" si="9"/>
        <v>0</v>
      </c>
    </row>
    <row r="605" spans="1:7" ht="12.75">
      <c r="A605" s="12" t="s">
        <v>794</v>
      </c>
      <c r="B605" s="24" t="s">
        <v>795</v>
      </c>
      <c r="C605" s="25">
        <v>39000</v>
      </c>
      <c r="D605" s="25">
        <v>0</v>
      </c>
      <c r="E605" s="25">
        <v>39000</v>
      </c>
      <c r="F605" s="25"/>
      <c r="G605" s="25">
        <f t="shared" si="9"/>
        <v>0</v>
      </c>
    </row>
    <row r="606" spans="1:7" ht="12.75">
      <c r="A606" s="12" t="s">
        <v>796</v>
      </c>
      <c r="B606" s="47" t="s">
        <v>797</v>
      </c>
      <c r="C606" s="25">
        <f>15509+1486.5</f>
        <v>16995.5</v>
      </c>
      <c r="D606" s="25">
        <v>0</v>
      </c>
      <c r="E606" s="25">
        <v>16995.5</v>
      </c>
      <c r="F606" s="25"/>
      <c r="G606" s="25">
        <f t="shared" si="9"/>
        <v>0</v>
      </c>
    </row>
    <row r="607" spans="1:7" ht="12.75">
      <c r="A607" s="12" t="s">
        <v>798</v>
      </c>
      <c r="B607" s="47" t="s">
        <v>746</v>
      </c>
      <c r="C607" s="25">
        <v>28099.74</v>
      </c>
      <c r="D607" s="25">
        <v>0</v>
      </c>
      <c r="E607" s="25">
        <v>28100</v>
      </c>
      <c r="F607" s="25"/>
      <c r="G607" s="25">
        <f t="shared" si="9"/>
        <v>-0.2599999999983993</v>
      </c>
    </row>
    <row r="608" spans="1:7" ht="12.75">
      <c r="A608" s="12" t="s">
        <v>799</v>
      </c>
      <c r="B608" s="24" t="s">
        <v>800</v>
      </c>
      <c r="C608" s="25">
        <f>50572+20</f>
        <v>50592</v>
      </c>
      <c r="D608" s="25">
        <v>0</v>
      </c>
      <c r="E608" s="25">
        <v>50592.49</v>
      </c>
      <c r="F608" s="25"/>
      <c r="G608" s="25">
        <f t="shared" si="9"/>
        <v>-0.48999999999796273</v>
      </c>
    </row>
    <row r="609" spans="1:7" ht="12.75">
      <c r="A609" s="12" t="s">
        <v>801</v>
      </c>
      <c r="B609" s="24" t="s">
        <v>802</v>
      </c>
      <c r="C609" s="25">
        <f>4918+19827</f>
        <v>24745</v>
      </c>
      <c r="D609" s="25">
        <v>0</v>
      </c>
      <c r="E609" s="25">
        <f>19968+4776.8</f>
        <v>24744.8</v>
      </c>
      <c r="F609" s="25"/>
      <c r="G609" s="25">
        <f t="shared" si="9"/>
        <v>0.2000000000007276</v>
      </c>
    </row>
    <row r="610" spans="1:7" ht="12.75">
      <c r="A610" s="12" t="s">
        <v>803</v>
      </c>
      <c r="B610" s="24" t="s">
        <v>804</v>
      </c>
      <c r="C610" s="25">
        <f>3610-270</f>
        <v>3340</v>
      </c>
      <c r="D610" s="25">
        <v>0</v>
      </c>
      <c r="E610" s="25">
        <v>3340</v>
      </c>
      <c r="F610" s="25"/>
      <c r="G610" s="25">
        <f t="shared" si="9"/>
        <v>0</v>
      </c>
    </row>
    <row r="611" spans="1:7" ht="12.75">
      <c r="A611" s="12" t="s">
        <v>805</v>
      </c>
      <c r="B611" s="24" t="s">
        <v>806</v>
      </c>
      <c r="C611" s="25">
        <f>58219+3526</f>
        <v>61745</v>
      </c>
      <c r="D611" s="25">
        <v>3468</v>
      </c>
      <c r="E611" s="25">
        <v>58277.04</v>
      </c>
      <c r="F611" s="25"/>
      <c r="G611" s="25">
        <f t="shared" si="9"/>
        <v>-0.040000000000873115</v>
      </c>
    </row>
    <row r="612" spans="1:7" ht="12.75">
      <c r="A612" s="12" t="s">
        <v>807</v>
      </c>
      <c r="B612" s="24" t="s">
        <v>808</v>
      </c>
      <c r="C612" s="25">
        <v>22072.198581560286</v>
      </c>
      <c r="D612" s="25">
        <f>452+211</f>
        <v>663</v>
      </c>
      <c r="E612" s="25">
        <v>17168.82</v>
      </c>
      <c r="F612" s="25"/>
      <c r="G612" s="25">
        <f t="shared" si="9"/>
        <v>4240.378581560286</v>
      </c>
    </row>
    <row r="613" spans="1:7" ht="12.75">
      <c r="A613" s="12" t="s">
        <v>809</v>
      </c>
      <c r="B613" s="24" t="s">
        <v>810</v>
      </c>
      <c r="C613" s="25">
        <f>10816+837</f>
        <v>11653</v>
      </c>
      <c r="D613" s="25">
        <v>0</v>
      </c>
      <c r="E613" s="25">
        <v>11652.78</v>
      </c>
      <c r="F613" s="25"/>
      <c r="G613" s="25">
        <f t="shared" si="9"/>
        <v>0.21999999999934516</v>
      </c>
    </row>
    <row r="614" spans="1:7" ht="12.75">
      <c r="A614" s="12" t="s">
        <v>811</v>
      </c>
      <c r="B614" s="24" t="s">
        <v>812</v>
      </c>
      <c r="C614" s="25">
        <f>10922-373</f>
        <v>10549</v>
      </c>
      <c r="D614" s="25">
        <v>0</v>
      </c>
      <c r="E614" s="25">
        <v>10549.45</v>
      </c>
      <c r="F614" s="25"/>
      <c r="G614" s="25">
        <f t="shared" si="9"/>
        <v>-0.4500000000007276</v>
      </c>
    </row>
    <row r="615" spans="1:7" ht="12.75">
      <c r="A615" s="12" t="s">
        <v>813</v>
      </c>
      <c r="B615" s="24" t="s">
        <v>814</v>
      </c>
      <c r="C615" s="25">
        <v>4621</v>
      </c>
      <c r="D615" s="25">
        <v>0</v>
      </c>
      <c r="E615" s="25">
        <v>4620.66</v>
      </c>
      <c r="F615" s="25"/>
      <c r="G615" s="25">
        <f t="shared" si="9"/>
        <v>0.3400000000001455</v>
      </c>
    </row>
    <row r="616" spans="1:7" ht="12.75">
      <c r="A616" s="12" t="s">
        <v>815</v>
      </c>
      <c r="B616" s="24" t="s">
        <v>816</v>
      </c>
      <c r="C616" s="25">
        <v>10000</v>
      </c>
      <c r="D616" s="25">
        <v>0</v>
      </c>
      <c r="E616" s="25">
        <v>10000</v>
      </c>
      <c r="F616" s="25"/>
      <c r="G616" s="25">
        <f t="shared" si="9"/>
        <v>0</v>
      </c>
    </row>
    <row r="617" spans="1:7" ht="12.75">
      <c r="A617" s="12" t="s">
        <v>817</v>
      </c>
      <c r="B617" s="24" t="s">
        <v>818</v>
      </c>
      <c r="C617" s="25">
        <v>19968</v>
      </c>
      <c r="D617" s="25">
        <v>0</v>
      </c>
      <c r="E617" s="25">
        <v>19968</v>
      </c>
      <c r="F617" s="25"/>
      <c r="G617" s="25">
        <f t="shared" si="9"/>
        <v>0</v>
      </c>
    </row>
    <row r="618" spans="1:7" ht="12.75">
      <c r="A618" s="12" t="s">
        <v>819</v>
      </c>
      <c r="B618" s="24" t="s">
        <v>820</v>
      </c>
      <c r="C618" s="25">
        <f>15000+372</f>
        <v>15372</v>
      </c>
      <c r="D618" s="25">
        <v>0</v>
      </c>
      <c r="E618" s="25">
        <v>15372</v>
      </c>
      <c r="F618" s="25"/>
      <c r="G618" s="25">
        <f t="shared" si="9"/>
        <v>0</v>
      </c>
    </row>
    <row r="619" spans="1:7" ht="12.75">
      <c r="A619" s="12" t="s">
        <v>940</v>
      </c>
      <c r="B619" s="24" t="s">
        <v>938</v>
      </c>
      <c r="C619" s="25">
        <f>3000-3000</f>
        <v>0</v>
      </c>
      <c r="D619" s="25">
        <v>0</v>
      </c>
      <c r="E619" s="25">
        <v>0</v>
      </c>
      <c r="F619" s="25"/>
      <c r="G619" s="25">
        <f t="shared" si="9"/>
        <v>0</v>
      </c>
    </row>
    <row r="620" spans="1:221" s="23" customFormat="1" ht="12.75">
      <c r="A620" s="20" t="s">
        <v>821</v>
      </c>
      <c r="B620" s="21" t="s">
        <v>822</v>
      </c>
      <c r="C620" s="22">
        <f>SUM(C621:C638)</f>
        <v>298184.7627272727</v>
      </c>
      <c r="D620" s="22">
        <f>SUM(D621:D638)</f>
        <v>9059.94</v>
      </c>
      <c r="E620" s="22">
        <f>SUM(E621:E638)</f>
        <v>137402.31</v>
      </c>
      <c r="F620" s="22">
        <f>SUM(F621:F638)</f>
        <v>145785</v>
      </c>
      <c r="G620" s="22">
        <f>SUM(G621:G638)</f>
        <v>5937.51272727272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</row>
    <row r="621" spans="1:7" ht="12.75">
      <c r="A621" s="45" t="s">
        <v>823</v>
      </c>
      <c r="B621" s="45" t="s">
        <v>587</v>
      </c>
      <c r="C621" s="25">
        <v>66885.23</v>
      </c>
      <c r="D621" s="25">
        <v>0</v>
      </c>
      <c r="E621" s="25">
        <v>0</v>
      </c>
      <c r="F621" s="25">
        <v>66885</v>
      </c>
      <c r="G621" s="25">
        <f>C621-D621-E621-F621</f>
        <v>0.22999999999592546</v>
      </c>
    </row>
    <row r="622" spans="1:7" ht="12.75">
      <c r="A622" s="12" t="s">
        <v>824</v>
      </c>
      <c r="B622" s="24" t="s">
        <v>825</v>
      </c>
      <c r="C622" s="25">
        <v>1605</v>
      </c>
      <c r="D622" s="25">
        <v>0</v>
      </c>
      <c r="E622" s="25">
        <v>1604.7</v>
      </c>
      <c r="F622" s="25"/>
      <c r="G622" s="25">
        <f t="shared" si="9"/>
        <v>0.2999999999999545</v>
      </c>
    </row>
    <row r="623" spans="1:7" ht="12.75">
      <c r="A623" s="45" t="s">
        <v>826</v>
      </c>
      <c r="B623" s="45" t="s">
        <v>827</v>
      </c>
      <c r="C623" s="25">
        <v>37500</v>
      </c>
      <c r="D623" s="25">
        <v>0</v>
      </c>
      <c r="E623" s="25">
        <v>0</v>
      </c>
      <c r="F623" s="25">
        <v>37500</v>
      </c>
      <c r="G623" s="25">
        <f>C623-D623-E623-F623</f>
        <v>0</v>
      </c>
    </row>
    <row r="624" spans="1:7" ht="12.75">
      <c r="A624" s="12" t="s">
        <v>828</v>
      </c>
      <c r="B624" s="24" t="s">
        <v>795</v>
      </c>
      <c r="C624" s="25">
        <v>9775</v>
      </c>
      <c r="D624" s="25">
        <v>0</v>
      </c>
      <c r="E624" s="25">
        <v>9775</v>
      </c>
      <c r="F624" s="25"/>
      <c r="G624" s="25">
        <f t="shared" si="9"/>
        <v>0</v>
      </c>
    </row>
    <row r="625" spans="1:7" ht="12.75">
      <c r="A625" s="12" t="s">
        <v>829</v>
      </c>
      <c r="B625" s="24" t="s">
        <v>797</v>
      </c>
      <c r="C625" s="25">
        <v>4074</v>
      </c>
      <c r="D625" s="25">
        <v>0</v>
      </c>
      <c r="E625" s="25">
        <v>4074</v>
      </c>
      <c r="F625" s="25"/>
      <c r="G625" s="25">
        <f t="shared" si="9"/>
        <v>0</v>
      </c>
    </row>
    <row r="626" spans="1:7" ht="12.75">
      <c r="A626" s="12" t="s">
        <v>830</v>
      </c>
      <c r="B626" s="24" t="s">
        <v>746</v>
      </c>
      <c r="C626" s="25">
        <v>6688.01</v>
      </c>
      <c r="D626" s="25">
        <v>0</v>
      </c>
      <c r="E626" s="25">
        <v>6688.01</v>
      </c>
      <c r="F626" s="25"/>
      <c r="G626" s="25">
        <f t="shared" si="9"/>
        <v>0</v>
      </c>
    </row>
    <row r="627" spans="1:7" ht="12.75">
      <c r="A627" s="12" t="s">
        <v>831</v>
      </c>
      <c r="B627" s="24" t="s">
        <v>832</v>
      </c>
      <c r="C627" s="25">
        <f>35000-446</f>
        <v>34554</v>
      </c>
      <c r="D627" s="25">
        <v>0</v>
      </c>
      <c r="E627" s="25">
        <v>34554.36</v>
      </c>
      <c r="F627" s="25"/>
      <c r="G627" s="25">
        <f t="shared" si="9"/>
        <v>-0.3600000000005821</v>
      </c>
    </row>
    <row r="628" spans="1:7" ht="12.75">
      <c r="A628" s="12" t="s">
        <v>833</v>
      </c>
      <c r="B628" s="24" t="s">
        <v>802</v>
      </c>
      <c r="C628" s="25">
        <f>599+20904</f>
        <v>21503</v>
      </c>
      <c r="D628" s="25">
        <v>0</v>
      </c>
      <c r="E628" s="25">
        <f>20904+599</f>
        <v>21503</v>
      </c>
      <c r="F628" s="25"/>
      <c r="G628" s="25">
        <f t="shared" si="9"/>
        <v>0</v>
      </c>
    </row>
    <row r="629" spans="1:7" ht="12.75">
      <c r="A629" s="12" t="s">
        <v>834</v>
      </c>
      <c r="B629" s="24" t="s">
        <v>810</v>
      </c>
      <c r="C629" s="25">
        <v>6852</v>
      </c>
      <c r="D629" s="25">
        <v>0</v>
      </c>
      <c r="E629" s="25">
        <v>6852.04</v>
      </c>
      <c r="F629" s="25"/>
      <c r="G629" s="25">
        <f t="shared" si="9"/>
        <v>-0.03999999999996362</v>
      </c>
    </row>
    <row r="630" spans="1:7" ht="12.75">
      <c r="A630" s="12" t="s">
        <v>835</v>
      </c>
      <c r="B630" s="24" t="s">
        <v>812</v>
      </c>
      <c r="C630" s="25">
        <v>10449</v>
      </c>
      <c r="D630" s="25">
        <v>0</v>
      </c>
      <c r="E630" s="25">
        <v>10449</v>
      </c>
      <c r="F630" s="25"/>
      <c r="G630" s="25">
        <f t="shared" si="9"/>
        <v>0</v>
      </c>
    </row>
    <row r="631" spans="1:7" ht="12.75">
      <c r="A631" s="12" t="s">
        <v>836</v>
      </c>
      <c r="B631" s="24" t="s">
        <v>1627</v>
      </c>
      <c r="C631" s="25">
        <v>24653.522727272724</v>
      </c>
      <c r="D631" s="25">
        <f>2480.94+2220+100+4259</f>
        <v>9059.94</v>
      </c>
      <c r="E631" s="25">
        <v>9656.32</v>
      </c>
      <c r="F631" s="25"/>
      <c r="G631" s="25">
        <f t="shared" si="9"/>
        <v>5937.262727272724</v>
      </c>
    </row>
    <row r="632" spans="1:7" ht="12.75">
      <c r="A632" s="12" t="s">
        <v>837</v>
      </c>
      <c r="B632" s="24" t="s">
        <v>814</v>
      </c>
      <c r="C632" s="25">
        <v>5641</v>
      </c>
      <c r="D632" s="25">
        <v>0</v>
      </c>
      <c r="E632" s="25">
        <v>5640.77</v>
      </c>
      <c r="F632" s="25"/>
      <c r="G632" s="25">
        <f t="shared" si="9"/>
        <v>0.22999999999956344</v>
      </c>
    </row>
    <row r="633" spans="1:7" ht="12.75">
      <c r="A633" s="45" t="s">
        <v>838</v>
      </c>
      <c r="B633" s="45" t="s">
        <v>839</v>
      </c>
      <c r="C633" s="25">
        <v>20000</v>
      </c>
      <c r="D633" s="25">
        <v>0</v>
      </c>
      <c r="E633" s="25">
        <v>0</v>
      </c>
      <c r="F633" s="25">
        <v>20000</v>
      </c>
      <c r="G633" s="25">
        <f>C633-D633-E633-F633</f>
        <v>0</v>
      </c>
    </row>
    <row r="634" spans="1:7" ht="12.75">
      <c r="A634" s="45" t="s">
        <v>840</v>
      </c>
      <c r="B634" s="45" t="s">
        <v>841</v>
      </c>
      <c r="C634" s="25">
        <v>15000</v>
      </c>
      <c r="D634" s="25">
        <v>0</v>
      </c>
      <c r="E634" s="25">
        <v>0</v>
      </c>
      <c r="F634" s="25">
        <v>15000</v>
      </c>
      <c r="G634" s="25">
        <f>C634-D634-E634-F634</f>
        <v>0</v>
      </c>
    </row>
    <row r="635" spans="1:7" ht="12.75">
      <c r="A635" s="45" t="s">
        <v>842</v>
      </c>
      <c r="B635" s="45" t="s">
        <v>843</v>
      </c>
      <c r="C635" s="25">
        <v>6400</v>
      </c>
      <c r="D635" s="25">
        <v>0</v>
      </c>
      <c r="E635" s="25">
        <v>0</v>
      </c>
      <c r="F635" s="25">
        <v>6400</v>
      </c>
      <c r="G635" s="25">
        <f>C635-D635-E635-F635</f>
        <v>0</v>
      </c>
    </row>
    <row r="636" spans="1:7" ht="12.75">
      <c r="A636" s="12" t="s">
        <v>844</v>
      </c>
      <c r="B636" s="24" t="s">
        <v>845</v>
      </c>
      <c r="C636" s="25">
        <v>8784</v>
      </c>
      <c r="D636" s="25">
        <v>0</v>
      </c>
      <c r="E636" s="25">
        <v>8783.64</v>
      </c>
      <c r="F636" s="25"/>
      <c r="G636" s="25">
        <f t="shared" si="9"/>
        <v>0.3600000000005821</v>
      </c>
    </row>
    <row r="637" spans="1:7" ht="12.75">
      <c r="A637" s="12" t="s">
        <v>846</v>
      </c>
      <c r="B637" s="24" t="s">
        <v>847</v>
      </c>
      <c r="C637" s="25">
        <v>4680</v>
      </c>
      <c r="D637" s="25">
        <v>0</v>
      </c>
      <c r="E637" s="25">
        <v>4680</v>
      </c>
      <c r="F637" s="25"/>
      <c r="G637" s="25">
        <f t="shared" si="9"/>
        <v>0</v>
      </c>
    </row>
    <row r="638" spans="1:7" ht="12.75">
      <c r="A638" s="12" t="s">
        <v>848</v>
      </c>
      <c r="B638" s="24" t="s">
        <v>849</v>
      </c>
      <c r="C638" s="25">
        <v>13141</v>
      </c>
      <c r="D638" s="25">
        <v>0</v>
      </c>
      <c r="E638" s="25">
        <v>13141.47</v>
      </c>
      <c r="F638" s="25"/>
      <c r="G638" s="25">
        <f t="shared" si="9"/>
        <v>-0.46999999999934516</v>
      </c>
    </row>
    <row r="639" spans="1:221" s="23" customFormat="1" ht="12.75">
      <c r="A639" s="20" t="s">
        <v>850</v>
      </c>
      <c r="B639" s="21" t="s">
        <v>851</v>
      </c>
      <c r="C639" s="22">
        <f>C640+C641+C642+C643+C644+C645</f>
        <v>173737</v>
      </c>
      <c r="D639" s="22">
        <f>D640+D641+D642+D643+D644+D645</f>
        <v>31843.030000000002</v>
      </c>
      <c r="E639" s="22">
        <f>E640+E641+E642+E643+E644+E645</f>
        <v>111594.12</v>
      </c>
      <c r="F639" s="22">
        <f>F640+F641+F642+F643+F644+F645</f>
        <v>0</v>
      </c>
      <c r="G639" s="22">
        <f t="shared" si="9"/>
        <v>30299.850000000006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</row>
    <row r="640" spans="1:7" ht="12.75">
      <c r="A640" s="12" t="s">
        <v>852</v>
      </c>
      <c r="B640" s="24" t="s">
        <v>853</v>
      </c>
      <c r="C640" s="25">
        <v>37000</v>
      </c>
      <c r="D640" s="25">
        <f>177.79+6561</f>
        <v>6738.79</v>
      </c>
      <c r="E640" s="25">
        <v>19658.61</v>
      </c>
      <c r="F640" s="25"/>
      <c r="G640" s="25">
        <f t="shared" si="9"/>
        <v>10602.599999999999</v>
      </c>
    </row>
    <row r="641" spans="1:7" ht="12.75">
      <c r="A641" s="12" t="s">
        <v>854</v>
      </c>
      <c r="B641" s="24" t="s">
        <v>855</v>
      </c>
      <c r="C641" s="25">
        <v>32900</v>
      </c>
      <c r="D641" s="25">
        <v>0</v>
      </c>
      <c r="E641" s="25">
        <v>32225.2</v>
      </c>
      <c r="F641" s="25"/>
      <c r="G641" s="25">
        <f t="shared" si="9"/>
        <v>674.7999999999993</v>
      </c>
    </row>
    <row r="642" spans="1:7" ht="12.75">
      <c r="A642" s="12" t="s">
        <v>856</v>
      </c>
      <c r="B642" s="24" t="s">
        <v>857</v>
      </c>
      <c r="C642" s="25">
        <v>40000</v>
      </c>
      <c r="D642" s="25">
        <v>0</v>
      </c>
      <c r="E642" s="25">
        <v>37470.17</v>
      </c>
      <c r="F642" s="25"/>
      <c r="G642" s="25">
        <f t="shared" si="9"/>
        <v>2529.8300000000017</v>
      </c>
    </row>
    <row r="643" spans="1:7" ht="12.75">
      <c r="A643" s="12" t="s">
        <v>858</v>
      </c>
      <c r="B643" s="24" t="s">
        <v>859</v>
      </c>
      <c r="C643" s="25">
        <f>15950-650</f>
        <v>15300</v>
      </c>
      <c r="D643" s="25">
        <f>1529.42+1529.42</f>
        <v>3058.84</v>
      </c>
      <c r="E643" s="25">
        <v>12241.14</v>
      </c>
      <c r="F643" s="25"/>
      <c r="G643" s="25">
        <f t="shared" si="9"/>
        <v>0.020000000000436557</v>
      </c>
    </row>
    <row r="644" spans="1:7" ht="12.75">
      <c r="A644" s="12" t="s">
        <v>860</v>
      </c>
      <c r="B644" s="24" t="s">
        <v>861</v>
      </c>
      <c r="C644" s="25">
        <v>9999</v>
      </c>
      <c r="D644" s="25">
        <v>0</v>
      </c>
      <c r="E644" s="25">
        <v>9999</v>
      </c>
      <c r="F644" s="25"/>
      <c r="G644" s="25">
        <f aca="true" t="shared" si="10" ref="G644:G707">C644-D644-E644</f>
        <v>0</v>
      </c>
    </row>
    <row r="645" spans="1:7" ht="12.75">
      <c r="A645" s="12" t="s">
        <v>1741</v>
      </c>
      <c r="B645" s="24" t="s">
        <v>1742</v>
      </c>
      <c r="C645" s="25">
        <v>38538</v>
      </c>
      <c r="D645" s="25">
        <f>20243.4+1802</f>
        <v>22045.4</v>
      </c>
      <c r="E645" s="25">
        <v>0</v>
      </c>
      <c r="F645" s="25"/>
      <c r="G645" s="25">
        <f t="shared" si="10"/>
        <v>16492.6</v>
      </c>
    </row>
    <row r="646" spans="1:221" s="19" customFormat="1" ht="12.75">
      <c r="A646" s="16" t="s">
        <v>862</v>
      </c>
      <c r="B646" s="17" t="s">
        <v>863</v>
      </c>
      <c r="C646" s="18">
        <f>C647+C648+C649+C650+C661+C665+C669+C673+C679+C683</f>
        <v>2133281.6806748463</v>
      </c>
      <c r="D646" s="18">
        <f>D647+D648+D649+D650+D661+D665+D669+D673+D679+D683</f>
        <v>20346</v>
      </c>
      <c r="E646" s="18">
        <f>E647+E648+E649+E650+E661+E665+E669+E673+E679+E683</f>
        <v>1673079.3800000004</v>
      </c>
      <c r="F646" s="18">
        <f>F647+F648+F649+F650+F661+F665+F669+F673+F679+F683</f>
        <v>259489</v>
      </c>
      <c r="G646" s="18">
        <f>G647+G648+G649+G650+G661+G665+G669+G673+G679+G683</f>
        <v>180367.30067484657</v>
      </c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</row>
    <row r="647" spans="1:7" ht="12.75">
      <c r="A647" s="12" t="s">
        <v>864</v>
      </c>
      <c r="B647" s="24" t="s">
        <v>41</v>
      </c>
      <c r="C647" s="25">
        <f>0+25000</f>
        <v>25000</v>
      </c>
      <c r="D647" s="25">
        <v>0</v>
      </c>
      <c r="E647" s="25">
        <v>25000</v>
      </c>
      <c r="F647" s="25"/>
      <c r="G647" s="25">
        <f t="shared" si="10"/>
        <v>0</v>
      </c>
    </row>
    <row r="648" spans="1:7" ht="12.75">
      <c r="A648" s="12" t="s">
        <v>865</v>
      </c>
      <c r="B648" s="24" t="s">
        <v>587</v>
      </c>
      <c r="C648" s="25">
        <v>430236</v>
      </c>
      <c r="D648" s="25">
        <v>0</v>
      </c>
      <c r="E648" s="25">
        <v>430236</v>
      </c>
      <c r="F648" s="25"/>
      <c r="G648" s="25">
        <f t="shared" si="10"/>
        <v>0</v>
      </c>
    </row>
    <row r="649" spans="1:7" ht="12.75">
      <c r="A649" s="12" t="s">
        <v>866</v>
      </c>
      <c r="B649" s="24" t="s">
        <v>867</v>
      </c>
      <c r="C649" s="25">
        <f>72577.5+4340</f>
        <v>76917.5</v>
      </c>
      <c r="D649" s="25">
        <v>0</v>
      </c>
      <c r="E649" s="25">
        <v>76917.5</v>
      </c>
      <c r="F649" s="25"/>
      <c r="G649" s="25">
        <f t="shared" si="10"/>
        <v>0</v>
      </c>
    </row>
    <row r="650" spans="1:221" s="23" customFormat="1" ht="12.75">
      <c r="A650" s="20" t="s">
        <v>868</v>
      </c>
      <c r="B650" s="21" t="s">
        <v>869</v>
      </c>
      <c r="C650" s="22">
        <f>C651+C652+C657</f>
        <v>603376.8</v>
      </c>
      <c r="D650" s="22">
        <f>D651+D652+D657</f>
        <v>0</v>
      </c>
      <c r="E650" s="22">
        <f>E651+E652+E657</f>
        <v>343887.45</v>
      </c>
      <c r="F650" s="22">
        <f>F651+F652+F657</f>
        <v>259489</v>
      </c>
      <c r="G650" s="22">
        <f>G651+G652+G657</f>
        <v>0.3499999999985448</v>
      </c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</row>
    <row r="651" spans="1:7" ht="12.75">
      <c r="A651" s="12" t="s">
        <v>870</v>
      </c>
      <c r="B651" s="24" t="s">
        <v>871</v>
      </c>
      <c r="C651" s="25">
        <v>282000</v>
      </c>
      <c r="D651" s="25">
        <v>0</v>
      </c>
      <c r="E651" s="25">
        <v>282000</v>
      </c>
      <c r="F651" s="25"/>
      <c r="G651" s="25">
        <f t="shared" si="10"/>
        <v>0</v>
      </c>
    </row>
    <row r="652" spans="1:221" s="29" customFormat="1" ht="12.75">
      <c r="A652" s="26" t="s">
        <v>876</v>
      </c>
      <c r="B652" s="27" t="s">
        <v>877</v>
      </c>
      <c r="C652" s="28">
        <f>SUM(C653:C656)</f>
        <v>123856.8</v>
      </c>
      <c r="D652" s="28">
        <f>SUM(D653:D656)</f>
        <v>0</v>
      </c>
      <c r="E652" s="28">
        <f>SUM(E653:E656)</f>
        <v>41753.8</v>
      </c>
      <c r="F652" s="28">
        <f>SUM(F653:F656)</f>
        <v>82103</v>
      </c>
      <c r="G652" s="28">
        <f>SUM(G653:G656)</f>
        <v>0</v>
      </c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</row>
    <row r="653" spans="1:7" ht="12.75">
      <c r="A653" s="45" t="s">
        <v>878</v>
      </c>
      <c r="B653" s="45" t="s">
        <v>879</v>
      </c>
      <c r="C653" s="25">
        <v>28009</v>
      </c>
      <c r="D653" s="25">
        <v>0</v>
      </c>
      <c r="E653" s="25">
        <v>3500</v>
      </c>
      <c r="F653" s="25">
        <f>24409+100</f>
        <v>24509</v>
      </c>
      <c r="G653" s="25">
        <f>C653-D653-E653-F653</f>
        <v>0</v>
      </c>
    </row>
    <row r="654" spans="1:7" ht="12.75">
      <c r="A654" s="12" t="s">
        <v>880</v>
      </c>
      <c r="B654" s="24" t="s">
        <v>881</v>
      </c>
      <c r="C654" s="25">
        <v>13475.8</v>
      </c>
      <c r="D654" s="25">
        <v>0</v>
      </c>
      <c r="E654" s="25">
        <v>13475.8</v>
      </c>
      <c r="F654" s="25"/>
      <c r="G654" s="25">
        <f t="shared" si="10"/>
        <v>0</v>
      </c>
    </row>
    <row r="655" spans="1:7" ht="12.75">
      <c r="A655" s="12" t="s">
        <v>882</v>
      </c>
      <c r="B655" s="24" t="s">
        <v>883</v>
      </c>
      <c r="C655" s="25">
        <v>16278</v>
      </c>
      <c r="D655" s="25">
        <v>0</v>
      </c>
      <c r="E655" s="25">
        <v>16278</v>
      </c>
      <c r="F655" s="25"/>
      <c r="G655" s="25">
        <f t="shared" si="10"/>
        <v>0</v>
      </c>
    </row>
    <row r="656" spans="1:7" ht="12.75">
      <c r="A656" s="45" t="s">
        <v>884</v>
      </c>
      <c r="B656" s="45" t="s">
        <v>450</v>
      </c>
      <c r="C656" s="25">
        <v>66094</v>
      </c>
      <c r="D656" s="25">
        <v>0</v>
      </c>
      <c r="E656" s="25">
        <v>8500</v>
      </c>
      <c r="F656" s="25">
        <f>57694-100</f>
        <v>57594</v>
      </c>
      <c r="G656" s="25">
        <f>C656-D656-E656-F656</f>
        <v>0</v>
      </c>
    </row>
    <row r="657" spans="1:221" s="29" customFormat="1" ht="12.75">
      <c r="A657" s="26" t="s">
        <v>885</v>
      </c>
      <c r="B657" s="27" t="s">
        <v>886</v>
      </c>
      <c r="C657" s="28">
        <f>SUM(C658:C660)</f>
        <v>197520</v>
      </c>
      <c r="D657" s="28">
        <f>SUM(D658:D660)</f>
        <v>0</v>
      </c>
      <c r="E657" s="28">
        <f>SUM(E658:E660)</f>
        <v>20133.65</v>
      </c>
      <c r="F657" s="28">
        <f>SUM(F658:F660)</f>
        <v>177386</v>
      </c>
      <c r="G657" s="28">
        <f>SUM(G658:G660)</f>
        <v>0.3499999999985448</v>
      </c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</row>
    <row r="658" spans="1:7" ht="12.75">
      <c r="A658" s="45" t="s">
        <v>887</v>
      </c>
      <c r="B658" s="45" t="s">
        <v>888</v>
      </c>
      <c r="C658" s="25">
        <v>123450</v>
      </c>
      <c r="D658" s="25">
        <v>0</v>
      </c>
      <c r="E658" s="25">
        <v>12500</v>
      </c>
      <c r="F658" s="25">
        <v>110950</v>
      </c>
      <c r="G658" s="25">
        <f>C658-D658-E658-F658</f>
        <v>0</v>
      </c>
    </row>
    <row r="659" spans="1:7" ht="12.75">
      <c r="A659" s="45" t="s">
        <v>889</v>
      </c>
      <c r="B659" s="45" t="s">
        <v>890</v>
      </c>
      <c r="C659" s="25">
        <v>49380</v>
      </c>
      <c r="D659" s="25">
        <v>0</v>
      </c>
      <c r="E659" s="25">
        <v>5000</v>
      </c>
      <c r="F659" s="25">
        <v>44380</v>
      </c>
      <c r="G659" s="25">
        <f>C659-D659-E659-F659</f>
        <v>0</v>
      </c>
    </row>
    <row r="660" spans="1:7" ht="12.75">
      <c r="A660" s="45" t="s">
        <v>891</v>
      </c>
      <c r="B660" s="45" t="s">
        <v>892</v>
      </c>
      <c r="C660" s="25">
        <v>24690</v>
      </c>
      <c r="D660" s="25">
        <v>0</v>
      </c>
      <c r="E660" s="25">
        <f>133.65+2500</f>
        <v>2633.65</v>
      </c>
      <c r="F660" s="25">
        <f>22190-134</f>
        <v>22056</v>
      </c>
      <c r="G660" s="25">
        <f>C660-D660-E660-F660</f>
        <v>0.3499999999985448</v>
      </c>
    </row>
    <row r="661" spans="1:221" s="23" customFormat="1" ht="12.75">
      <c r="A661" s="20" t="s">
        <v>893</v>
      </c>
      <c r="B661" s="21" t="s">
        <v>894</v>
      </c>
      <c r="C661" s="22">
        <f>SUM(C662:C664)</f>
        <v>160545</v>
      </c>
      <c r="D661" s="22">
        <f>SUM(D662:D664)</f>
        <v>0</v>
      </c>
      <c r="E661" s="22">
        <f>SUM(E662:E664)</f>
        <v>160545.16</v>
      </c>
      <c r="F661" s="22">
        <f>SUM(F662:F664)</f>
        <v>0</v>
      </c>
      <c r="G661" s="22">
        <f t="shared" si="10"/>
        <v>-0.16000000000349246</v>
      </c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</row>
    <row r="662" spans="1:7" ht="12.75">
      <c r="A662" s="12" t="s">
        <v>895</v>
      </c>
      <c r="B662" s="24" t="s">
        <v>896</v>
      </c>
      <c r="C662" s="25">
        <f>120960+11320</f>
        <v>132280</v>
      </c>
      <c r="D662" s="25">
        <v>0</v>
      </c>
      <c r="E662" s="25">
        <v>132280</v>
      </c>
      <c r="F662" s="25"/>
      <c r="G662" s="25">
        <f t="shared" si="10"/>
        <v>0</v>
      </c>
    </row>
    <row r="663" spans="1:7" ht="12.75">
      <c r="A663" s="12" t="s">
        <v>897</v>
      </c>
      <c r="B663" s="24" t="s">
        <v>898</v>
      </c>
      <c r="C663" s="25">
        <f>15000+1569</f>
        <v>16569</v>
      </c>
      <c r="D663" s="25">
        <v>0</v>
      </c>
      <c r="E663" s="25">
        <v>16569.16</v>
      </c>
      <c r="F663" s="25"/>
      <c r="G663" s="25">
        <f t="shared" si="10"/>
        <v>-0.15999999999985448</v>
      </c>
    </row>
    <row r="664" spans="1:7" ht="12.75">
      <c r="A664" s="12" t="s">
        <v>899</v>
      </c>
      <c r="B664" s="24" t="s">
        <v>900</v>
      </c>
      <c r="C664" s="25">
        <f>10000+1696</f>
        <v>11696</v>
      </c>
      <c r="D664" s="25">
        <v>0</v>
      </c>
      <c r="E664" s="25">
        <v>11696</v>
      </c>
      <c r="F664" s="25"/>
      <c r="G664" s="25">
        <f t="shared" si="10"/>
        <v>0</v>
      </c>
    </row>
    <row r="665" spans="1:221" s="23" customFormat="1" ht="12.75">
      <c r="A665" s="20" t="s">
        <v>901</v>
      </c>
      <c r="B665" s="21" t="s">
        <v>902</v>
      </c>
      <c r="C665" s="22">
        <f>SUM(C666:C668)</f>
        <v>430000</v>
      </c>
      <c r="D665" s="22">
        <f>SUM(D666:D668)</f>
        <v>15346</v>
      </c>
      <c r="E665" s="22">
        <f>SUM(E666:E668)</f>
        <v>271814.17000000004</v>
      </c>
      <c r="F665" s="22">
        <f>SUM(F666:F668)</f>
        <v>0</v>
      </c>
      <c r="G665" s="22">
        <f t="shared" si="10"/>
        <v>142839.82999999996</v>
      </c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</row>
    <row r="666" spans="1:7" ht="12.75">
      <c r="A666" s="12" t="s">
        <v>903</v>
      </c>
      <c r="B666" s="24" t="s">
        <v>1345</v>
      </c>
      <c r="C666" s="25">
        <f>216000+4850+76150</f>
        <v>297000</v>
      </c>
      <c r="D666" s="25">
        <v>14950</v>
      </c>
      <c r="E666" s="25">
        <v>205900</v>
      </c>
      <c r="F666" s="25"/>
      <c r="G666" s="25">
        <f t="shared" si="10"/>
        <v>76150</v>
      </c>
    </row>
    <row r="667" spans="1:7" ht="12.75">
      <c r="A667" s="12" t="s">
        <v>904</v>
      </c>
      <c r="B667" s="24" t="s">
        <v>1346</v>
      </c>
      <c r="C667" s="25">
        <v>70000</v>
      </c>
      <c r="D667" s="25">
        <v>396</v>
      </c>
      <c r="E667" s="25">
        <v>2914.17</v>
      </c>
      <c r="F667" s="25"/>
      <c r="G667" s="25">
        <f t="shared" si="10"/>
        <v>66689.83</v>
      </c>
    </row>
    <row r="668" spans="1:7" ht="12.75">
      <c r="A668" s="12" t="s">
        <v>1343</v>
      </c>
      <c r="B668" s="24" t="s">
        <v>1344</v>
      </c>
      <c r="C668" s="25">
        <f>65000-2000</f>
        <v>63000</v>
      </c>
      <c r="D668" s="25">
        <v>0</v>
      </c>
      <c r="E668" s="25">
        <v>63000</v>
      </c>
      <c r="F668" s="25"/>
      <c r="G668" s="25">
        <f t="shared" si="10"/>
        <v>0</v>
      </c>
    </row>
    <row r="669" spans="1:221" s="23" customFormat="1" ht="12.75">
      <c r="A669" s="20" t="s">
        <v>905</v>
      </c>
      <c r="B669" s="21" t="s">
        <v>688</v>
      </c>
      <c r="C669" s="22">
        <f>SUM(C670:C672)</f>
        <v>59872.45</v>
      </c>
      <c r="D669" s="22">
        <f>SUM(D670:D672)</f>
        <v>0</v>
      </c>
      <c r="E669" s="22">
        <f>SUM(E670:E672)</f>
        <v>59872.35</v>
      </c>
      <c r="F669" s="22">
        <f>SUM(F670:F672)</f>
        <v>0</v>
      </c>
      <c r="G669" s="22">
        <f t="shared" si="10"/>
        <v>0.09999999999854481</v>
      </c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</row>
    <row r="670" spans="1:7" ht="12.75">
      <c r="A670" s="12" t="s">
        <v>906</v>
      </c>
      <c r="B670" s="24" t="s">
        <v>907</v>
      </c>
      <c r="C670" s="25">
        <f>19413.45+689</f>
        <v>20102.45</v>
      </c>
      <c r="D670" s="25">
        <v>0</v>
      </c>
      <c r="E670" s="25">
        <v>20102.35</v>
      </c>
      <c r="F670" s="25"/>
      <c r="G670" s="25">
        <f t="shared" si="10"/>
        <v>0.10000000000218279</v>
      </c>
    </row>
    <row r="671" spans="1:7" ht="12.75">
      <c r="A671" s="12" t="s">
        <v>908</v>
      </c>
      <c r="B671" s="24" t="s">
        <v>909</v>
      </c>
      <c r="C671" s="25">
        <v>10961</v>
      </c>
      <c r="D671" s="25">
        <v>0</v>
      </c>
      <c r="E671" s="25">
        <v>10961</v>
      </c>
      <c r="F671" s="25"/>
      <c r="G671" s="25">
        <f t="shared" si="10"/>
        <v>0</v>
      </c>
    </row>
    <row r="672" spans="1:7" ht="12.75">
      <c r="A672" s="12" t="s">
        <v>910</v>
      </c>
      <c r="B672" s="24" t="s">
        <v>911</v>
      </c>
      <c r="C672" s="25">
        <v>28809</v>
      </c>
      <c r="D672" s="25">
        <v>0</v>
      </c>
      <c r="E672" s="25">
        <v>28809</v>
      </c>
      <c r="F672" s="25"/>
      <c r="G672" s="25">
        <f t="shared" si="10"/>
        <v>0</v>
      </c>
    </row>
    <row r="673" spans="1:221" s="23" customFormat="1" ht="12.75">
      <c r="A673" s="20" t="s">
        <v>912</v>
      </c>
      <c r="B673" s="21" t="s">
        <v>913</v>
      </c>
      <c r="C673" s="22">
        <f>SUM(C674:C678)</f>
        <v>219530.9</v>
      </c>
      <c r="D673" s="22">
        <f>SUM(D674:D678)</f>
        <v>0</v>
      </c>
      <c r="E673" s="22">
        <f>SUM(E674:E678)</f>
        <v>201158.01</v>
      </c>
      <c r="F673" s="22">
        <f>SUM(F674:F678)</f>
        <v>0</v>
      </c>
      <c r="G673" s="22">
        <f t="shared" si="10"/>
        <v>18372.889999999985</v>
      </c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</row>
    <row r="674" spans="1:7" ht="12.75">
      <c r="A674" s="46" t="s">
        <v>914</v>
      </c>
      <c r="B674" s="24" t="s">
        <v>915</v>
      </c>
      <c r="C674" s="25">
        <f>19447.9+827</f>
        <v>20274.9</v>
      </c>
      <c r="D674" s="25">
        <v>0</v>
      </c>
      <c r="E674" s="25">
        <v>20274.58</v>
      </c>
      <c r="F674" s="25"/>
      <c r="G674" s="25">
        <f t="shared" si="10"/>
        <v>0.31999999999970896</v>
      </c>
    </row>
    <row r="675" spans="1:7" ht="12.75">
      <c r="A675" s="12" t="s">
        <v>916</v>
      </c>
      <c r="B675" s="24" t="s">
        <v>917</v>
      </c>
      <c r="C675" s="25">
        <v>36666</v>
      </c>
      <c r="D675" s="25">
        <v>0</v>
      </c>
      <c r="E675" s="25">
        <v>36666</v>
      </c>
      <c r="F675" s="25"/>
      <c r="G675" s="25">
        <f t="shared" si="10"/>
        <v>0</v>
      </c>
    </row>
    <row r="676" spans="1:7" ht="12.75">
      <c r="A676" s="46" t="s">
        <v>918</v>
      </c>
      <c r="B676" s="24" t="s">
        <v>919</v>
      </c>
      <c r="C676" s="25">
        <f>26952+29899</f>
        <v>56851</v>
      </c>
      <c r="D676" s="25">
        <v>0</v>
      </c>
      <c r="E676" s="25">
        <f>29328+27523</f>
        <v>56851</v>
      </c>
      <c r="F676" s="25"/>
      <c r="G676" s="25">
        <f t="shared" si="10"/>
        <v>0</v>
      </c>
    </row>
    <row r="677" spans="1:7" ht="12.75">
      <c r="A677" s="46" t="s">
        <v>920</v>
      </c>
      <c r="B677" s="24" t="s">
        <v>921</v>
      </c>
      <c r="C677" s="25">
        <v>7000</v>
      </c>
      <c r="D677" s="25">
        <v>0</v>
      </c>
      <c r="E677" s="25">
        <v>4971.43</v>
      </c>
      <c r="F677" s="25"/>
      <c r="G677" s="25">
        <f t="shared" si="10"/>
        <v>2028.5699999999997</v>
      </c>
    </row>
    <row r="678" spans="1:7" ht="12.75">
      <c r="A678" s="46" t="s">
        <v>922</v>
      </c>
      <c r="B678" s="24" t="s">
        <v>818</v>
      </c>
      <c r="C678" s="25">
        <f>129465-29899-827</f>
        <v>98739</v>
      </c>
      <c r="D678" s="25">
        <v>0</v>
      </c>
      <c r="E678" s="25">
        <f>51150+31245</f>
        <v>82395</v>
      </c>
      <c r="F678" s="25"/>
      <c r="G678" s="25">
        <f t="shared" si="10"/>
        <v>16344</v>
      </c>
    </row>
    <row r="679" spans="1:221" s="23" customFormat="1" ht="12.75">
      <c r="A679" s="20" t="s">
        <v>923</v>
      </c>
      <c r="B679" s="21" t="s">
        <v>924</v>
      </c>
      <c r="C679" s="22">
        <f>SUM(C680:C682)</f>
        <v>76803.03067484662</v>
      </c>
      <c r="D679" s="22">
        <f>SUM(D680:D682)</f>
        <v>0</v>
      </c>
      <c r="E679" s="22">
        <f>SUM(E680:E682)</f>
        <v>63193.119999999995</v>
      </c>
      <c r="F679" s="22">
        <f>SUM(F680:F682)</f>
        <v>0</v>
      </c>
      <c r="G679" s="22">
        <f t="shared" si="10"/>
        <v>13609.91067484663</v>
      </c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</row>
    <row r="680" spans="1:7" ht="12.75">
      <c r="A680" s="12" t="s">
        <v>925</v>
      </c>
      <c r="B680" s="24" t="s">
        <v>926</v>
      </c>
      <c r="C680" s="25">
        <f>46840-23940</f>
        <v>22900</v>
      </c>
      <c r="D680" s="25">
        <v>0</v>
      </c>
      <c r="E680" s="25">
        <v>11947</v>
      </c>
      <c r="F680" s="25"/>
      <c r="G680" s="25">
        <f t="shared" si="10"/>
        <v>10953</v>
      </c>
    </row>
    <row r="681" spans="1:7" ht="12.75">
      <c r="A681" s="12" t="s">
        <v>927</v>
      </c>
      <c r="B681" s="24" t="s">
        <v>928</v>
      </c>
      <c r="C681" s="25">
        <v>36288</v>
      </c>
      <c r="D681" s="25">
        <v>0</v>
      </c>
      <c r="E681" s="25">
        <v>34630</v>
      </c>
      <c r="F681" s="25"/>
      <c r="G681" s="25">
        <f t="shared" si="10"/>
        <v>1658</v>
      </c>
    </row>
    <row r="682" spans="1:7" ht="12.75">
      <c r="A682" s="12" t="s">
        <v>929</v>
      </c>
      <c r="B682" s="24" t="s">
        <v>930</v>
      </c>
      <c r="C682" s="25">
        <v>17615.030674846625</v>
      </c>
      <c r="D682" s="25">
        <v>0</v>
      </c>
      <c r="E682" s="25">
        <v>16616.12</v>
      </c>
      <c r="F682" s="25"/>
      <c r="G682" s="25">
        <f t="shared" si="10"/>
        <v>998.9106748466256</v>
      </c>
    </row>
    <row r="683" spans="1:221" s="23" customFormat="1" ht="12.75">
      <c r="A683" s="20" t="s">
        <v>931</v>
      </c>
      <c r="B683" s="21" t="s">
        <v>932</v>
      </c>
      <c r="C683" s="22">
        <f>SUM(C684:C686)</f>
        <v>51000</v>
      </c>
      <c r="D683" s="22">
        <f>SUM(D684:D686)</f>
        <v>5000</v>
      </c>
      <c r="E683" s="22">
        <f>SUM(E684:E686)</f>
        <v>40455.62</v>
      </c>
      <c r="F683" s="22">
        <f>SUM(F684:F686)</f>
        <v>0</v>
      </c>
      <c r="G683" s="22">
        <f t="shared" si="10"/>
        <v>5544.379999999997</v>
      </c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</row>
    <row r="684" spans="1:7" ht="12.75">
      <c r="A684" s="12" t="s">
        <v>933</v>
      </c>
      <c r="B684" s="24" t="s">
        <v>934</v>
      </c>
      <c r="C684" s="25">
        <v>10000</v>
      </c>
      <c r="D684" s="25">
        <v>0</v>
      </c>
      <c r="E684" s="25">
        <v>5455.62</v>
      </c>
      <c r="F684" s="25"/>
      <c r="G684" s="25">
        <f t="shared" si="10"/>
        <v>4544.38</v>
      </c>
    </row>
    <row r="685" spans="1:7" ht="12.75">
      <c r="A685" s="46" t="s">
        <v>935</v>
      </c>
      <c r="B685" s="24" t="s">
        <v>694</v>
      </c>
      <c r="C685" s="25">
        <v>36000</v>
      </c>
      <c r="D685" s="25">
        <v>5000</v>
      </c>
      <c r="E685" s="25">
        <v>30000</v>
      </c>
      <c r="F685" s="25"/>
      <c r="G685" s="25">
        <f t="shared" si="10"/>
        <v>1000</v>
      </c>
    </row>
    <row r="686" spans="1:7" ht="12.75">
      <c r="A686" s="46" t="s">
        <v>937</v>
      </c>
      <c r="B686" s="24" t="s">
        <v>938</v>
      </c>
      <c r="C686" s="25">
        <v>5000</v>
      </c>
      <c r="D686" s="25">
        <v>0</v>
      </c>
      <c r="E686" s="25">
        <v>5000</v>
      </c>
      <c r="F686" s="25"/>
      <c r="G686" s="25">
        <f t="shared" si="10"/>
        <v>0</v>
      </c>
    </row>
    <row r="687" spans="1:221" s="19" customFormat="1" ht="12.75">
      <c r="A687" s="16" t="s">
        <v>936</v>
      </c>
      <c r="B687" s="17" t="s">
        <v>943</v>
      </c>
      <c r="C687" s="18">
        <f>C688+C689+C701+C705+C709+C714+C718</f>
        <v>1373768.5</v>
      </c>
      <c r="D687" s="18">
        <f>D688+D689+D701+D705+D709+D714+D718</f>
        <v>287458.97</v>
      </c>
      <c r="E687" s="18">
        <f>E688+E689+E701+E705+E709+E714+E718</f>
        <v>936453.8669999999</v>
      </c>
      <c r="F687" s="18">
        <f>F688+F689+F701+F705+F709+F714+F718</f>
        <v>0</v>
      </c>
      <c r="G687" s="18">
        <f t="shared" si="10"/>
        <v>149855.66300000018</v>
      </c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</row>
    <row r="688" spans="1:7" ht="12.75">
      <c r="A688" s="12" t="s">
        <v>944</v>
      </c>
      <c r="B688" s="24" t="s">
        <v>41</v>
      </c>
      <c r="C688" s="25">
        <v>0</v>
      </c>
      <c r="D688" s="25">
        <v>0</v>
      </c>
      <c r="E688" s="25">
        <v>0</v>
      </c>
      <c r="F688" s="25"/>
      <c r="G688" s="25">
        <f t="shared" si="10"/>
        <v>0</v>
      </c>
    </row>
    <row r="689" spans="1:221" s="23" customFormat="1" ht="12.75">
      <c r="A689" s="20" t="s">
        <v>945</v>
      </c>
      <c r="B689" s="21" t="s">
        <v>946</v>
      </c>
      <c r="C689" s="22">
        <f>SUM(C690:C700)</f>
        <v>555516.5</v>
      </c>
      <c r="D689" s="22">
        <f>SUM(D690:D700)</f>
        <v>10251.18</v>
      </c>
      <c r="E689" s="22">
        <f>SUM(E690:E700)</f>
        <v>545264.942</v>
      </c>
      <c r="F689" s="22">
        <f>SUM(F690:F700)</f>
        <v>0</v>
      </c>
      <c r="G689" s="22">
        <f t="shared" si="10"/>
        <v>0.3779999999096617</v>
      </c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</row>
    <row r="690" spans="1:7" ht="12.75">
      <c r="A690" s="12" t="s">
        <v>947</v>
      </c>
      <c r="B690" s="24" t="s">
        <v>948</v>
      </c>
      <c r="C690" s="25">
        <f>166790-4355</f>
        <v>162435</v>
      </c>
      <c r="D690" s="25">
        <v>0</v>
      </c>
      <c r="E690" s="25">
        <v>162434.6</v>
      </c>
      <c r="F690" s="25"/>
      <c r="G690" s="25">
        <f t="shared" si="10"/>
        <v>0.39999999999417923</v>
      </c>
    </row>
    <row r="691" spans="1:7" ht="12.75">
      <c r="A691" s="12" t="s">
        <v>949</v>
      </c>
      <c r="B691" s="24" t="s">
        <v>950</v>
      </c>
      <c r="C691" s="25">
        <f>44720-1361</f>
        <v>43359</v>
      </c>
      <c r="D691" s="25">
        <v>0</v>
      </c>
      <c r="E691" s="25">
        <v>43358.96</v>
      </c>
      <c r="F691" s="25"/>
      <c r="G691" s="25">
        <f t="shared" si="10"/>
        <v>0.040000000000873115</v>
      </c>
    </row>
    <row r="692" spans="1:7" ht="12.75">
      <c r="A692" s="12" t="s">
        <v>951</v>
      </c>
      <c r="B692" s="24" t="s">
        <v>952</v>
      </c>
      <c r="C692" s="25">
        <f>21580-662</f>
        <v>20918</v>
      </c>
      <c r="D692" s="25">
        <v>0</v>
      </c>
      <c r="E692" s="25">
        <v>20918.2</v>
      </c>
      <c r="F692" s="25"/>
      <c r="G692" s="25">
        <f t="shared" si="10"/>
        <v>-0.2000000000007276</v>
      </c>
    </row>
    <row r="693" spans="1:7" ht="12.75">
      <c r="A693" s="12" t="s">
        <v>953</v>
      </c>
      <c r="B693" s="24" t="s">
        <v>954</v>
      </c>
      <c r="C693" s="25">
        <f>62140-1920</f>
        <v>60220</v>
      </c>
      <c r="D693" s="25">
        <v>0</v>
      </c>
      <c r="E693" s="25">
        <v>60220</v>
      </c>
      <c r="F693" s="25"/>
      <c r="G693" s="25">
        <f t="shared" si="10"/>
        <v>0</v>
      </c>
    </row>
    <row r="694" spans="1:7" ht="12.75">
      <c r="A694" s="12" t="s">
        <v>955</v>
      </c>
      <c r="B694" s="24" t="s">
        <v>956</v>
      </c>
      <c r="C694" s="25">
        <f>45110-1371</f>
        <v>43739</v>
      </c>
      <c r="D694" s="25">
        <v>0</v>
      </c>
      <c r="E694" s="25">
        <v>43738.6</v>
      </c>
      <c r="F694" s="25"/>
      <c r="G694" s="25">
        <f t="shared" si="10"/>
        <v>0.4000000000014552</v>
      </c>
    </row>
    <row r="695" spans="1:7" ht="12.75">
      <c r="A695" s="12" t="s">
        <v>957</v>
      </c>
      <c r="B695" s="24" t="s">
        <v>958</v>
      </c>
      <c r="C695" s="25">
        <f>56160-1633</f>
        <v>54527</v>
      </c>
      <c r="D695" s="25">
        <v>6</v>
      </c>
      <c r="E695" s="25">
        <v>54521.4</v>
      </c>
      <c r="F695" s="25"/>
      <c r="G695" s="25">
        <f t="shared" si="10"/>
        <v>-0.4000000000014552</v>
      </c>
    </row>
    <row r="696" spans="1:7" ht="12.75">
      <c r="A696" s="12" t="s">
        <v>959</v>
      </c>
      <c r="B696" s="24" t="s">
        <v>960</v>
      </c>
      <c r="C696" s="25">
        <f>39260-1168+2373</f>
        <v>40465</v>
      </c>
      <c r="D696" s="25">
        <f>10.4+47.2+2373</f>
        <v>2430.6</v>
      </c>
      <c r="E696" s="25">
        <v>38034</v>
      </c>
      <c r="F696" s="25"/>
      <c r="G696" s="25">
        <f t="shared" si="10"/>
        <v>0.4000000000014552</v>
      </c>
    </row>
    <row r="697" spans="1:7" ht="12.75">
      <c r="A697" s="12" t="s">
        <v>961</v>
      </c>
      <c r="B697" s="24" t="s">
        <v>962</v>
      </c>
      <c r="C697" s="25">
        <f>21650+6227.5+603</f>
        <v>28480.5</v>
      </c>
      <c r="D697" s="25">
        <f>6227.5+603</f>
        <v>6830.5</v>
      </c>
      <c r="E697" s="25">
        <v>21650</v>
      </c>
      <c r="F697" s="25"/>
      <c r="G697" s="25">
        <f t="shared" si="10"/>
        <v>0</v>
      </c>
    </row>
    <row r="698" spans="1:7" ht="12.75">
      <c r="A698" s="12" t="s">
        <v>963</v>
      </c>
      <c r="B698" s="24" t="s">
        <v>964</v>
      </c>
      <c r="C698" s="25">
        <f>42510-1307</f>
        <v>41203</v>
      </c>
      <c r="D698" s="25">
        <v>0</v>
      </c>
      <c r="E698" s="25">
        <v>41203</v>
      </c>
      <c r="F698" s="25"/>
      <c r="G698" s="25">
        <f t="shared" si="10"/>
        <v>0</v>
      </c>
    </row>
    <row r="699" spans="1:7" ht="12.75">
      <c r="A699" s="12" t="s">
        <v>965</v>
      </c>
      <c r="B699" s="24" t="s">
        <v>966</v>
      </c>
      <c r="C699" s="25">
        <f>55575-1694</f>
        <v>53881</v>
      </c>
      <c r="D699" s="25">
        <v>0</v>
      </c>
      <c r="E699" s="25">
        <v>53881</v>
      </c>
      <c r="F699" s="25"/>
      <c r="G699" s="25">
        <f t="shared" si="10"/>
        <v>0</v>
      </c>
    </row>
    <row r="700" spans="1:7" ht="12.75">
      <c r="A700" s="12" t="s">
        <v>516</v>
      </c>
      <c r="B700" s="24" t="s">
        <v>517</v>
      </c>
      <c r="C700" s="25">
        <f>15000-8711</f>
        <v>6289</v>
      </c>
      <c r="D700" s="25">
        <v>984.08</v>
      </c>
      <c r="E700" s="25">
        <v>5305.182</v>
      </c>
      <c r="F700" s="25"/>
      <c r="G700" s="25">
        <f t="shared" si="10"/>
        <v>-0.26199999999971624</v>
      </c>
    </row>
    <row r="701" spans="1:221" s="23" customFormat="1" ht="12.75">
      <c r="A701" s="20" t="s">
        <v>967</v>
      </c>
      <c r="B701" s="21" t="s">
        <v>902</v>
      </c>
      <c r="C701" s="22">
        <f>SUM(C702:C704)</f>
        <v>486827</v>
      </c>
      <c r="D701" s="22">
        <f>SUM(D702:D704)</f>
        <v>253799.90999999997</v>
      </c>
      <c r="E701" s="22">
        <f>SUM(E702:E704)</f>
        <v>137296.80999999997</v>
      </c>
      <c r="F701" s="22">
        <f>SUM(F702:F704)</f>
        <v>0</v>
      </c>
      <c r="G701" s="22">
        <f t="shared" si="10"/>
        <v>95730.28000000006</v>
      </c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</row>
    <row r="702" spans="1:7" ht="12.75">
      <c r="A702" s="12" t="s">
        <v>968</v>
      </c>
      <c r="B702" s="24" t="s">
        <v>969</v>
      </c>
      <c r="C702" s="25">
        <v>52800</v>
      </c>
      <c r="D702" s="25">
        <v>4934</v>
      </c>
      <c r="E702" s="25">
        <v>7210</v>
      </c>
      <c r="F702" s="25"/>
      <c r="G702" s="25">
        <f t="shared" si="10"/>
        <v>40656</v>
      </c>
    </row>
    <row r="703" spans="1:7" ht="12.75">
      <c r="A703" s="12" t="s">
        <v>970</v>
      </c>
      <c r="B703" s="24" t="s">
        <v>971</v>
      </c>
      <c r="C703" s="25">
        <f>139200+91395+9605+66856</f>
        <v>307056</v>
      </c>
      <c r="D703" s="25">
        <f>101176.92+76461</f>
        <v>177637.91999999998</v>
      </c>
      <c r="E703" s="25">
        <v>129418.23</v>
      </c>
      <c r="F703" s="25"/>
      <c r="G703" s="25">
        <f t="shared" si="10"/>
        <v>-0.14999999997962732</v>
      </c>
    </row>
    <row r="704" spans="1:7" ht="12.75">
      <c r="A704" s="12" t="s">
        <v>972</v>
      </c>
      <c r="B704" s="24" t="s">
        <v>1347</v>
      </c>
      <c r="C704" s="25">
        <f>98016+101000-66856-5189</f>
        <v>126971</v>
      </c>
      <c r="D704" s="25">
        <f>4922.99+66305</f>
        <v>71227.99</v>
      </c>
      <c r="E704" s="25">
        <v>668.58</v>
      </c>
      <c r="F704" s="25"/>
      <c r="G704" s="25">
        <f t="shared" si="10"/>
        <v>55074.42999999999</v>
      </c>
    </row>
    <row r="705" spans="1:221" s="23" customFormat="1" ht="12.75">
      <c r="A705" s="20" t="s">
        <v>973</v>
      </c>
      <c r="B705" s="21" t="s">
        <v>974</v>
      </c>
      <c r="C705" s="22">
        <f>SUM(C706:C708)</f>
        <v>96071</v>
      </c>
      <c r="D705" s="22">
        <f>SUM(D706:D708)</f>
        <v>1361.48</v>
      </c>
      <c r="E705" s="22">
        <f>SUM(E706:E708)</f>
        <v>50640</v>
      </c>
      <c r="F705" s="22">
        <f>SUM(F706:F708)</f>
        <v>0</v>
      </c>
      <c r="G705" s="22">
        <f t="shared" si="10"/>
        <v>44069.520000000004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</row>
    <row r="706" spans="1:7" ht="12.75">
      <c r="A706" s="12" t="s">
        <v>975</v>
      </c>
      <c r="B706" s="24" t="s">
        <v>976</v>
      </c>
      <c r="C706" s="25">
        <f>9120+431+930</f>
        <v>10481</v>
      </c>
      <c r="D706" s="25">
        <f>431.48+930</f>
        <v>1361.48</v>
      </c>
      <c r="E706" s="25">
        <v>9120</v>
      </c>
      <c r="F706" s="25"/>
      <c r="G706" s="25">
        <f t="shared" si="10"/>
        <v>-0.47999999999956344</v>
      </c>
    </row>
    <row r="707" spans="1:7" ht="12.75">
      <c r="A707" s="12" t="s">
        <v>977</v>
      </c>
      <c r="B707" s="24" t="s">
        <v>978</v>
      </c>
      <c r="C707" s="25">
        <f>11520+45000-930</f>
        <v>55590</v>
      </c>
      <c r="D707" s="25">
        <v>0</v>
      </c>
      <c r="E707" s="25">
        <v>11520</v>
      </c>
      <c r="F707" s="25"/>
      <c r="G707" s="25">
        <f t="shared" si="10"/>
        <v>44070</v>
      </c>
    </row>
    <row r="708" spans="1:7" ht="12.75">
      <c r="A708" s="12" t="s">
        <v>979</v>
      </c>
      <c r="B708" s="24" t="s">
        <v>980</v>
      </c>
      <c r="C708" s="25">
        <v>30000</v>
      </c>
      <c r="D708" s="25">
        <v>0</v>
      </c>
      <c r="E708" s="25">
        <f>47352-17352</f>
        <v>30000</v>
      </c>
      <c r="F708" s="25"/>
      <c r="G708" s="25">
        <f aca="true" t="shared" si="11" ref="G708:G772">C708-D708-E708</f>
        <v>0</v>
      </c>
    </row>
    <row r="709" spans="1:221" s="23" customFormat="1" ht="12.75">
      <c r="A709" s="20" t="s">
        <v>981</v>
      </c>
      <c r="B709" s="21" t="s">
        <v>688</v>
      </c>
      <c r="C709" s="22">
        <f>SUM(C710:C713)</f>
        <v>100619</v>
      </c>
      <c r="D709" s="22">
        <f>SUM(D710:D713)</f>
        <v>0</v>
      </c>
      <c r="E709" s="22">
        <f>SUM(E710:E713)</f>
        <v>100618.73999999999</v>
      </c>
      <c r="F709" s="22">
        <f>SUM(F710:F713)</f>
        <v>0</v>
      </c>
      <c r="G709" s="22">
        <f t="shared" si="11"/>
        <v>0.2600000000093132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</row>
    <row r="710" spans="1:7" ht="12.75">
      <c r="A710" s="12" t="s">
        <v>982</v>
      </c>
      <c r="B710" s="24" t="s">
        <v>983</v>
      </c>
      <c r="C710" s="25">
        <f>19500-780</f>
        <v>18720</v>
      </c>
      <c r="D710" s="25">
        <v>0</v>
      </c>
      <c r="E710" s="25">
        <v>18720</v>
      </c>
      <c r="F710" s="25"/>
      <c r="G710" s="25">
        <f t="shared" si="11"/>
        <v>0</v>
      </c>
    </row>
    <row r="711" spans="1:7" ht="12.75">
      <c r="A711" s="12" t="s">
        <v>984</v>
      </c>
      <c r="B711" s="24" t="s">
        <v>985</v>
      </c>
      <c r="C711" s="25">
        <f>16250-2401</f>
        <v>13849</v>
      </c>
      <c r="D711" s="25">
        <v>0</v>
      </c>
      <c r="E711" s="25">
        <v>13848.9</v>
      </c>
      <c r="F711" s="25"/>
      <c r="G711" s="25">
        <f t="shared" si="11"/>
        <v>0.1000000000003638</v>
      </c>
    </row>
    <row r="712" spans="1:7" ht="12.75">
      <c r="A712" s="12" t="s">
        <v>986</v>
      </c>
      <c r="B712" s="24" t="s">
        <v>987</v>
      </c>
      <c r="C712" s="25">
        <f>16250+48</f>
        <v>16298</v>
      </c>
      <c r="D712" s="25">
        <v>0</v>
      </c>
      <c r="E712" s="25">
        <v>16298</v>
      </c>
      <c r="F712" s="25"/>
      <c r="G712" s="25">
        <f t="shared" si="11"/>
        <v>0</v>
      </c>
    </row>
    <row r="713" spans="1:7" ht="12.75">
      <c r="A713" s="12" t="s">
        <v>988</v>
      </c>
      <c r="B713" s="24" t="s">
        <v>989</v>
      </c>
      <c r="C713" s="25">
        <f>52780-1028</f>
        <v>51752</v>
      </c>
      <c r="D713" s="25">
        <v>0</v>
      </c>
      <c r="E713" s="25">
        <v>51751.84</v>
      </c>
      <c r="F713" s="25"/>
      <c r="G713" s="25">
        <f t="shared" si="11"/>
        <v>0.16000000000349246</v>
      </c>
    </row>
    <row r="714" spans="1:221" s="23" customFormat="1" ht="12.75">
      <c r="A714" s="20" t="s">
        <v>990</v>
      </c>
      <c r="B714" s="21" t="s">
        <v>913</v>
      </c>
      <c r="C714" s="22">
        <f>SUM(C715:C717)</f>
        <v>94546</v>
      </c>
      <c r="D714" s="22">
        <f>SUM(D715:D717)</f>
        <v>12615.4</v>
      </c>
      <c r="E714" s="22">
        <f>SUM(E715:E717)</f>
        <v>71875.685</v>
      </c>
      <c r="F714" s="22">
        <f>SUM(F715:F717)</f>
        <v>0</v>
      </c>
      <c r="G714" s="22">
        <f t="shared" si="11"/>
        <v>10054.915000000008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</row>
    <row r="715" spans="1:7" ht="12.75">
      <c r="A715" s="12" t="s">
        <v>991</v>
      </c>
      <c r="B715" s="24" t="s">
        <v>992</v>
      </c>
      <c r="C715" s="25">
        <v>65000</v>
      </c>
      <c r="D715" s="25">
        <v>180</v>
      </c>
      <c r="E715" s="25">
        <v>63277.905</v>
      </c>
      <c r="F715" s="25"/>
      <c r="G715" s="25">
        <f t="shared" si="11"/>
        <v>1542.0950000000012</v>
      </c>
    </row>
    <row r="716" spans="1:7" ht="12.75">
      <c r="A716" s="12" t="s">
        <v>993</v>
      </c>
      <c r="B716" s="24" t="s">
        <v>752</v>
      </c>
      <c r="C716" s="25">
        <f>34125-23889</f>
        <v>10236</v>
      </c>
      <c r="D716" s="25">
        <v>10098</v>
      </c>
      <c r="E716" s="25">
        <v>137.78</v>
      </c>
      <c r="F716" s="25"/>
      <c r="G716" s="25">
        <f t="shared" si="11"/>
        <v>0.21999999999999886</v>
      </c>
    </row>
    <row r="717" spans="1:7" ht="12.75">
      <c r="A717" s="12" t="s">
        <v>994</v>
      </c>
      <c r="B717" s="24" t="s">
        <v>1545</v>
      </c>
      <c r="C717" s="25">
        <f>63310-44000</f>
        <v>19310</v>
      </c>
      <c r="D717" s="25">
        <v>2337.4</v>
      </c>
      <c r="E717" s="25">
        <v>8460</v>
      </c>
      <c r="F717" s="25"/>
      <c r="G717" s="25">
        <f t="shared" si="11"/>
        <v>8512.599999999999</v>
      </c>
    </row>
    <row r="718" spans="1:221" s="23" customFormat="1" ht="12.75">
      <c r="A718" s="20" t="s">
        <v>995</v>
      </c>
      <c r="B718" s="21" t="s">
        <v>932</v>
      </c>
      <c r="C718" s="22">
        <f>SUM(C719:C721)</f>
        <v>40189</v>
      </c>
      <c r="D718" s="22">
        <f>SUM(D719:D721)</f>
        <v>9431</v>
      </c>
      <c r="E718" s="22">
        <f>SUM(E719:E721)</f>
        <v>30757.69</v>
      </c>
      <c r="F718" s="22">
        <f>SUM(F719:F721)</f>
        <v>0</v>
      </c>
      <c r="G718" s="22">
        <f t="shared" si="11"/>
        <v>0.3100000000013097</v>
      </c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</row>
    <row r="719" spans="1:7" ht="12.75">
      <c r="A719" s="12" t="s">
        <v>996</v>
      </c>
      <c r="B719" s="24" t="s">
        <v>934</v>
      </c>
      <c r="C719" s="25">
        <f>10000+5189</f>
        <v>15189</v>
      </c>
      <c r="D719" s="25">
        <v>9431</v>
      </c>
      <c r="E719" s="25">
        <v>5757.69</v>
      </c>
      <c r="F719" s="25"/>
      <c r="G719" s="25">
        <f t="shared" si="11"/>
        <v>0.3100000000004002</v>
      </c>
    </row>
    <row r="720" spans="1:7" ht="12.75">
      <c r="A720" s="12" t="s">
        <v>997</v>
      </c>
      <c r="B720" s="24" t="s">
        <v>694</v>
      </c>
      <c r="C720" s="25">
        <v>20000</v>
      </c>
      <c r="D720" s="25">
        <v>0</v>
      </c>
      <c r="E720" s="25">
        <v>20000</v>
      </c>
      <c r="F720" s="25"/>
      <c r="G720" s="25">
        <f t="shared" si="11"/>
        <v>0</v>
      </c>
    </row>
    <row r="721" spans="1:7" ht="12.75">
      <c r="A721" s="12" t="s">
        <v>939</v>
      </c>
      <c r="B721" s="24" t="s">
        <v>938</v>
      </c>
      <c r="C721" s="25">
        <v>5000</v>
      </c>
      <c r="D721" s="25">
        <v>0</v>
      </c>
      <c r="E721" s="25">
        <v>5000</v>
      </c>
      <c r="F721" s="25"/>
      <c r="G721" s="25">
        <f t="shared" si="11"/>
        <v>0</v>
      </c>
    </row>
    <row r="722" spans="1:221" s="19" customFormat="1" ht="12.75">
      <c r="A722" s="16" t="s">
        <v>998</v>
      </c>
      <c r="B722" s="17" t="s">
        <v>243</v>
      </c>
      <c r="C722" s="18">
        <f>C723+C739+C752+C764</f>
        <v>3906894.5</v>
      </c>
      <c r="D722" s="18">
        <f>D723+D739+D752+D764</f>
        <v>129215.88</v>
      </c>
      <c r="E722" s="18">
        <f>E723+E739+E752+E764</f>
        <v>3536211.3322</v>
      </c>
      <c r="F722" s="18">
        <f>F723+F739+F752+F764</f>
        <v>0</v>
      </c>
      <c r="G722" s="18">
        <f t="shared" si="11"/>
        <v>241467.28780000005</v>
      </c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</row>
    <row r="723" spans="1:221" s="23" customFormat="1" ht="12.75">
      <c r="A723" s="20" t="s">
        <v>999</v>
      </c>
      <c r="B723" s="21" t="s">
        <v>1000</v>
      </c>
      <c r="C723" s="22">
        <f>C724+C725+C729+C732+C735+C738</f>
        <v>1137097</v>
      </c>
      <c r="D723" s="22">
        <f>D724+D725+D729+D732+D735+D738</f>
        <v>83143.42</v>
      </c>
      <c r="E723" s="22">
        <f>E724+E725+E729+E732+E735+E738</f>
        <v>947417.5639999999</v>
      </c>
      <c r="F723" s="22">
        <f>F724+F725+F729+F732+F735+F738</f>
        <v>0</v>
      </c>
      <c r="G723" s="22">
        <f t="shared" si="11"/>
        <v>106536.01600000018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</row>
    <row r="724" spans="1:7" ht="12.75">
      <c r="A724" s="12" t="s">
        <v>1001</v>
      </c>
      <c r="B724" s="24" t="s">
        <v>41</v>
      </c>
      <c r="C724" s="25">
        <v>0</v>
      </c>
      <c r="D724" s="25">
        <v>0</v>
      </c>
      <c r="E724" s="25">
        <v>0</v>
      </c>
      <c r="F724" s="25"/>
      <c r="G724" s="25">
        <f t="shared" si="11"/>
        <v>0</v>
      </c>
    </row>
    <row r="725" spans="1:221" s="29" customFormat="1" ht="12.75">
      <c r="A725" s="26" t="s">
        <v>1002</v>
      </c>
      <c r="B725" s="27" t="s">
        <v>1005</v>
      </c>
      <c r="C725" s="28">
        <f>C726+C727+C728</f>
        <v>753967</v>
      </c>
      <c r="D725" s="28">
        <f>D726+D727+D728</f>
        <v>62478.5</v>
      </c>
      <c r="E725" s="28">
        <f>E726+E727+E728</f>
        <v>631361.232</v>
      </c>
      <c r="F725" s="28">
        <f>F726+F727+F728</f>
        <v>0</v>
      </c>
      <c r="G725" s="28">
        <f t="shared" si="11"/>
        <v>60127.26800000004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</row>
    <row r="726" spans="1:7" ht="12.75">
      <c r="A726" s="12" t="s">
        <v>1006</v>
      </c>
      <c r="B726" s="24" t="s">
        <v>1007</v>
      </c>
      <c r="C726" s="25">
        <v>214200</v>
      </c>
      <c r="D726" s="25">
        <v>0</v>
      </c>
      <c r="E726" s="25">
        <v>189980.27</v>
      </c>
      <c r="F726" s="25"/>
      <c r="G726" s="25">
        <f t="shared" si="11"/>
        <v>24219.73000000001</v>
      </c>
    </row>
    <row r="727" spans="1:7" ht="12.75">
      <c r="A727" s="55" t="s">
        <v>1008</v>
      </c>
      <c r="B727" s="24" t="s">
        <v>251</v>
      </c>
      <c r="C727" s="25">
        <v>477817</v>
      </c>
      <c r="D727" s="25">
        <v>528.5</v>
      </c>
      <c r="E727" s="25">
        <v>441380.962</v>
      </c>
      <c r="F727" s="25"/>
      <c r="G727" s="25">
        <f t="shared" si="11"/>
        <v>35907.538</v>
      </c>
    </row>
    <row r="728" spans="1:7" ht="12.75">
      <c r="A728" s="55" t="s">
        <v>1743</v>
      </c>
      <c r="B728" s="24" t="s">
        <v>1744</v>
      </c>
      <c r="C728" s="25">
        <v>61950</v>
      </c>
      <c r="D728" s="25">
        <v>61950</v>
      </c>
      <c r="E728" s="25">
        <v>0</v>
      </c>
      <c r="F728" s="25"/>
      <c r="G728" s="25">
        <f t="shared" si="11"/>
        <v>0</v>
      </c>
    </row>
    <row r="729" spans="1:221" s="29" customFormat="1" ht="12.75">
      <c r="A729" s="26" t="s">
        <v>1009</v>
      </c>
      <c r="B729" s="27" t="s">
        <v>1010</v>
      </c>
      <c r="C729" s="28">
        <f>SUM(C730:C731)</f>
        <v>106147</v>
      </c>
      <c r="D729" s="28">
        <f>SUM(D730:D731)</f>
        <v>0</v>
      </c>
      <c r="E729" s="28">
        <f>SUM(E730:E731)</f>
        <v>106146.6</v>
      </c>
      <c r="F729" s="28">
        <f>SUM(F730:F731)</f>
        <v>0</v>
      </c>
      <c r="G729" s="28">
        <f t="shared" si="11"/>
        <v>0.39999999999417923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</row>
    <row r="730" spans="1:7" ht="12.75">
      <c r="A730" s="12" t="s">
        <v>1011</v>
      </c>
      <c r="B730" s="24" t="s">
        <v>251</v>
      </c>
      <c r="C730" s="25">
        <v>39996</v>
      </c>
      <c r="D730" s="25">
        <v>0</v>
      </c>
      <c r="E730" s="25">
        <v>39996</v>
      </c>
      <c r="F730" s="25"/>
      <c r="G730" s="25">
        <f t="shared" si="11"/>
        <v>0</v>
      </c>
    </row>
    <row r="731" spans="1:7" ht="12.75">
      <c r="A731" s="12" t="s">
        <v>1012</v>
      </c>
      <c r="B731" s="24" t="s">
        <v>1007</v>
      </c>
      <c r="C731" s="25">
        <v>66151</v>
      </c>
      <c r="D731" s="25">
        <v>0</v>
      </c>
      <c r="E731" s="25">
        <v>66150.6</v>
      </c>
      <c r="F731" s="25"/>
      <c r="G731" s="25">
        <f t="shared" si="11"/>
        <v>0.39999999999417923</v>
      </c>
    </row>
    <row r="732" spans="1:221" s="29" customFormat="1" ht="12.75">
      <c r="A732" s="26" t="s">
        <v>1013</v>
      </c>
      <c r="B732" s="27" t="s">
        <v>1014</v>
      </c>
      <c r="C732" s="28">
        <f>SUM(C733:C734)</f>
        <v>58917</v>
      </c>
      <c r="D732" s="28">
        <f>SUM(D733:D734)</f>
        <v>0</v>
      </c>
      <c r="E732" s="28">
        <f>SUM(E733:E734)</f>
        <v>58917.22</v>
      </c>
      <c r="F732" s="28">
        <f>SUM(F733:F734)</f>
        <v>0</v>
      </c>
      <c r="G732" s="28">
        <f t="shared" si="11"/>
        <v>-0.22000000000116415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</row>
    <row r="733" spans="1:7" ht="12.75">
      <c r="A733" s="12" t="s">
        <v>1015</v>
      </c>
      <c r="B733" s="24" t="s">
        <v>1007</v>
      </c>
      <c r="C733" s="25">
        <v>41145</v>
      </c>
      <c r="D733" s="25">
        <v>0</v>
      </c>
      <c r="E733" s="25">
        <v>41145.02</v>
      </c>
      <c r="F733" s="25"/>
      <c r="G733" s="25">
        <f t="shared" si="11"/>
        <v>-0.01999999999679858</v>
      </c>
    </row>
    <row r="734" spans="1:7" ht="12.75">
      <c r="A734" s="12" t="s">
        <v>1016</v>
      </c>
      <c r="B734" s="24" t="s">
        <v>251</v>
      </c>
      <c r="C734" s="25">
        <v>17772</v>
      </c>
      <c r="D734" s="25">
        <v>0</v>
      </c>
      <c r="E734" s="25">
        <v>17772.2</v>
      </c>
      <c r="F734" s="25"/>
      <c r="G734" s="25">
        <f t="shared" si="11"/>
        <v>-0.2000000000007276</v>
      </c>
    </row>
    <row r="735" spans="1:221" s="29" customFormat="1" ht="12.75">
      <c r="A735" s="26" t="s">
        <v>1017</v>
      </c>
      <c r="B735" s="27" t="s">
        <v>1018</v>
      </c>
      <c r="C735" s="28">
        <f>C736+C737</f>
        <v>205277</v>
      </c>
      <c r="D735" s="28">
        <f>D736+D737</f>
        <v>20664.92</v>
      </c>
      <c r="E735" s="28">
        <f>E736+E737</f>
        <v>138203.02000000002</v>
      </c>
      <c r="F735" s="28">
        <f>F736+F737</f>
        <v>0</v>
      </c>
      <c r="G735" s="28">
        <f t="shared" si="11"/>
        <v>46409.06</v>
      </c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</row>
    <row r="736" spans="1:7" ht="12.75">
      <c r="A736" s="12" t="s">
        <v>1019</v>
      </c>
      <c r="B736" s="24" t="s">
        <v>1007</v>
      </c>
      <c r="C736" s="25">
        <v>69795</v>
      </c>
      <c r="D736" s="25">
        <f>18717+1000</f>
        <v>19717</v>
      </c>
      <c r="E736" s="25">
        <v>30997.5</v>
      </c>
      <c r="F736" s="25"/>
      <c r="G736" s="25">
        <f t="shared" si="11"/>
        <v>19080.5</v>
      </c>
    </row>
    <row r="737" spans="1:7" ht="12.75">
      <c r="A737" s="12" t="s">
        <v>1020</v>
      </c>
      <c r="B737" s="24" t="s">
        <v>251</v>
      </c>
      <c r="C737" s="25">
        <v>135482</v>
      </c>
      <c r="D737" s="25">
        <v>947.92</v>
      </c>
      <c r="E737" s="25">
        <v>107205.52</v>
      </c>
      <c r="F737" s="25"/>
      <c r="G737" s="25">
        <f t="shared" si="11"/>
        <v>27328.559999999983</v>
      </c>
    </row>
    <row r="738" spans="1:7" ht="12.75">
      <c r="A738" s="12" t="s">
        <v>1021</v>
      </c>
      <c r="B738" s="24" t="s">
        <v>1022</v>
      </c>
      <c r="C738" s="25">
        <v>12789</v>
      </c>
      <c r="D738" s="25">
        <v>0</v>
      </c>
      <c r="E738" s="25">
        <v>12789.492</v>
      </c>
      <c r="F738" s="25"/>
      <c r="G738" s="25">
        <f t="shared" si="11"/>
        <v>-0.4920000000001892</v>
      </c>
    </row>
    <row r="739" spans="1:221" s="23" customFormat="1" ht="12.75">
      <c r="A739" s="20" t="s">
        <v>1023</v>
      </c>
      <c r="B739" s="21" t="s">
        <v>1024</v>
      </c>
      <c r="C739" s="22">
        <f>C740+C741+C745+C748+C751</f>
        <v>1455598</v>
      </c>
      <c r="D739" s="22">
        <f>D740+D741+D745+D748+D751</f>
        <v>5030.4</v>
      </c>
      <c r="E739" s="22">
        <f>E740+E741+E745+E748+E751</f>
        <v>1369883.6572</v>
      </c>
      <c r="F739" s="22">
        <f>F740+F741+F745+F748+F751</f>
        <v>0</v>
      </c>
      <c r="G739" s="22">
        <f t="shared" si="11"/>
        <v>80683.94280000008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</row>
    <row r="740" spans="1:7" ht="12.75">
      <c r="A740" s="12" t="s">
        <v>1025</v>
      </c>
      <c r="B740" s="24" t="s">
        <v>41</v>
      </c>
      <c r="C740" s="25">
        <v>0</v>
      </c>
      <c r="D740" s="25">
        <v>0</v>
      </c>
      <c r="E740" s="25">
        <v>0</v>
      </c>
      <c r="F740" s="25"/>
      <c r="G740" s="25">
        <f t="shared" si="11"/>
        <v>0</v>
      </c>
    </row>
    <row r="741" spans="1:221" s="29" customFormat="1" ht="12.75">
      <c r="A741" s="26" t="s">
        <v>1026</v>
      </c>
      <c r="B741" s="27" t="s">
        <v>1027</v>
      </c>
      <c r="C741" s="28">
        <f>C742+C743+C744</f>
        <v>847910</v>
      </c>
      <c r="D741" s="28">
        <f>D742+D743+D744</f>
        <v>0</v>
      </c>
      <c r="E741" s="28">
        <f>E742+E743+E744</f>
        <v>847909.6</v>
      </c>
      <c r="F741" s="28">
        <f>F742+F743+F744</f>
        <v>0</v>
      </c>
      <c r="G741" s="28">
        <f t="shared" si="11"/>
        <v>0.40000000002328306</v>
      </c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</row>
    <row r="742" spans="1:7" ht="12.75">
      <c r="A742" s="12" t="s">
        <v>1028</v>
      </c>
      <c r="B742" s="24" t="s">
        <v>1007</v>
      </c>
      <c r="C742" s="25">
        <v>140006</v>
      </c>
      <c r="D742" s="25">
        <v>0</v>
      </c>
      <c r="E742" s="25">
        <v>140006.32</v>
      </c>
      <c r="F742" s="25"/>
      <c r="G742" s="25">
        <f t="shared" si="11"/>
        <v>-0.3200000000069849</v>
      </c>
    </row>
    <row r="743" spans="1:7" ht="12.75">
      <c r="A743" s="12" t="s">
        <v>1029</v>
      </c>
      <c r="B743" s="24" t="s">
        <v>251</v>
      </c>
      <c r="C743" s="25">
        <v>667802</v>
      </c>
      <c r="D743" s="25">
        <v>0</v>
      </c>
      <c r="E743" s="25">
        <v>667801.68</v>
      </c>
      <c r="F743" s="25"/>
      <c r="G743" s="25">
        <f t="shared" si="11"/>
        <v>0.31999999994877726</v>
      </c>
    </row>
    <row r="744" spans="1:7" ht="12.75">
      <c r="A744" s="12" t="s">
        <v>1030</v>
      </c>
      <c r="B744" s="24" t="s">
        <v>129</v>
      </c>
      <c r="C744" s="25">
        <v>40102</v>
      </c>
      <c r="D744" s="25">
        <v>0</v>
      </c>
      <c r="E744" s="25">
        <v>40101.6</v>
      </c>
      <c r="F744" s="25"/>
      <c r="G744" s="25">
        <f t="shared" si="11"/>
        <v>0.4000000000014552</v>
      </c>
    </row>
    <row r="745" spans="1:221" s="29" customFormat="1" ht="12.75">
      <c r="A745" s="26" t="s">
        <v>1031</v>
      </c>
      <c r="B745" s="27" t="s">
        <v>1032</v>
      </c>
      <c r="C745" s="28">
        <f>C746+C747</f>
        <v>517815</v>
      </c>
      <c r="D745" s="28">
        <f>D746+D747</f>
        <v>5030.4</v>
      </c>
      <c r="E745" s="28">
        <f>E746+E747</f>
        <v>460253.76320000004</v>
      </c>
      <c r="F745" s="28">
        <f>F746+F747</f>
        <v>0</v>
      </c>
      <c r="G745" s="28">
        <f t="shared" si="11"/>
        <v>52530.83679999993</v>
      </c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</row>
    <row r="746" spans="1:7" ht="12.75">
      <c r="A746" s="12" t="s">
        <v>1033</v>
      </c>
      <c r="B746" s="24" t="s">
        <v>1007</v>
      </c>
      <c r="C746" s="25">
        <v>80700</v>
      </c>
      <c r="D746" s="25">
        <v>0</v>
      </c>
      <c r="E746" s="25">
        <v>42888.2</v>
      </c>
      <c r="F746" s="25"/>
      <c r="G746" s="25">
        <f t="shared" si="11"/>
        <v>37811.8</v>
      </c>
    </row>
    <row r="747" spans="1:7" ht="12.75">
      <c r="A747" s="12" t="s">
        <v>1034</v>
      </c>
      <c r="B747" s="24" t="s">
        <v>251</v>
      </c>
      <c r="C747" s="25">
        <v>437115</v>
      </c>
      <c r="D747" s="25">
        <f>636.4+4394</f>
        <v>5030.4</v>
      </c>
      <c r="E747" s="25">
        <v>417365.56320000003</v>
      </c>
      <c r="F747" s="25"/>
      <c r="G747" s="25">
        <f t="shared" si="11"/>
        <v>14719.036799999943</v>
      </c>
    </row>
    <row r="748" spans="1:221" s="29" customFormat="1" ht="12.75">
      <c r="A748" s="26" t="s">
        <v>1035</v>
      </c>
      <c r="B748" s="27" t="s">
        <v>1036</v>
      </c>
      <c r="C748" s="28">
        <f>C749+C750</f>
        <v>81636</v>
      </c>
      <c r="D748" s="28">
        <f>D749+D750</f>
        <v>0</v>
      </c>
      <c r="E748" s="28">
        <f>E749+E750</f>
        <v>53482.894</v>
      </c>
      <c r="F748" s="28">
        <f>F749+F750</f>
        <v>0</v>
      </c>
      <c r="G748" s="28">
        <f t="shared" si="11"/>
        <v>28153.106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</row>
    <row r="749" spans="1:7" ht="12.75">
      <c r="A749" s="12" t="s">
        <v>1037</v>
      </c>
      <c r="B749" s="24" t="s">
        <v>1007</v>
      </c>
      <c r="C749" s="25">
        <v>16900</v>
      </c>
      <c r="D749" s="25">
        <v>0</v>
      </c>
      <c r="E749" s="25">
        <v>12088.4</v>
      </c>
      <c r="F749" s="25"/>
      <c r="G749" s="25">
        <f t="shared" si="11"/>
        <v>4811.6</v>
      </c>
    </row>
    <row r="750" spans="1:7" ht="12.75">
      <c r="A750" s="12" t="s">
        <v>1038</v>
      </c>
      <c r="B750" s="24" t="s">
        <v>251</v>
      </c>
      <c r="C750" s="25">
        <v>64736</v>
      </c>
      <c r="D750" s="25">
        <v>0</v>
      </c>
      <c r="E750" s="25">
        <v>41394.494</v>
      </c>
      <c r="F750" s="25"/>
      <c r="G750" s="25">
        <f t="shared" si="11"/>
        <v>23341.506</v>
      </c>
    </row>
    <row r="751" spans="1:7" ht="12.75">
      <c r="A751" s="12" t="s">
        <v>1039</v>
      </c>
      <c r="B751" s="24" t="s">
        <v>1040</v>
      </c>
      <c r="C751" s="25">
        <v>8237</v>
      </c>
      <c r="D751" s="25">
        <v>0</v>
      </c>
      <c r="E751" s="25">
        <v>8237.4</v>
      </c>
      <c r="F751" s="25"/>
      <c r="G751" s="25">
        <f t="shared" si="11"/>
        <v>-0.3999999999996362</v>
      </c>
    </row>
    <row r="752" spans="1:221" s="23" customFormat="1" ht="12.75">
      <c r="A752" s="20" t="s">
        <v>1041</v>
      </c>
      <c r="B752" s="21" t="s">
        <v>1042</v>
      </c>
      <c r="C752" s="22">
        <f>C753+C754+C757+C760+C761</f>
        <v>712115.5</v>
      </c>
      <c r="D752" s="22">
        <f>D753+D754+D757+D760+D761</f>
        <v>15315.6</v>
      </c>
      <c r="E752" s="22">
        <f>E753+E754+E757+E760+E761</f>
        <v>696799.41</v>
      </c>
      <c r="F752" s="22">
        <f>F753+F754+F757+F760+F761</f>
        <v>0</v>
      </c>
      <c r="G752" s="22">
        <f t="shared" si="11"/>
        <v>0.4899999999906868</v>
      </c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</row>
    <row r="753" spans="1:7" ht="12.75">
      <c r="A753" s="12" t="s">
        <v>1043</v>
      </c>
      <c r="B753" s="24" t="s">
        <v>41</v>
      </c>
      <c r="C753" s="25">
        <v>0</v>
      </c>
      <c r="D753" s="25">
        <v>0</v>
      </c>
      <c r="E753" s="25">
        <v>0</v>
      </c>
      <c r="F753" s="25"/>
      <c r="G753" s="25">
        <f t="shared" si="11"/>
        <v>0</v>
      </c>
    </row>
    <row r="754" spans="1:221" s="29" customFormat="1" ht="12.75">
      <c r="A754" s="26" t="s">
        <v>1044</v>
      </c>
      <c r="B754" s="27" t="s">
        <v>1045</v>
      </c>
      <c r="C754" s="28">
        <f>C755+C756</f>
        <v>630075.5</v>
      </c>
      <c r="D754" s="28">
        <f>D755+D756</f>
        <v>4655</v>
      </c>
      <c r="E754" s="28">
        <f>E755+E756</f>
        <v>625420.8</v>
      </c>
      <c r="F754" s="28">
        <f>F755+F756</f>
        <v>0</v>
      </c>
      <c r="G754" s="28">
        <f t="shared" si="11"/>
        <v>-0.30000000004656613</v>
      </c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</row>
    <row r="755" spans="1:7" ht="12.75">
      <c r="A755" s="12" t="s">
        <v>1046</v>
      </c>
      <c r="B755" s="24" t="s">
        <v>1007</v>
      </c>
      <c r="C755" s="25">
        <f>41308+4655</f>
        <v>45963</v>
      </c>
      <c r="D755" s="25">
        <v>4655</v>
      </c>
      <c r="E755" s="25">
        <v>41308.3</v>
      </c>
      <c r="F755" s="25"/>
      <c r="G755" s="25">
        <f t="shared" si="11"/>
        <v>-0.3000000000029104</v>
      </c>
    </row>
    <row r="756" spans="1:7" ht="12.75">
      <c r="A756" s="12" t="s">
        <v>1047</v>
      </c>
      <c r="B756" s="24" t="s">
        <v>251</v>
      </c>
      <c r="C756" s="25">
        <v>584112.5</v>
      </c>
      <c r="D756" s="25">
        <v>0</v>
      </c>
      <c r="E756" s="25">
        <v>584112.5</v>
      </c>
      <c r="F756" s="25"/>
      <c r="G756" s="25">
        <f t="shared" si="11"/>
        <v>0</v>
      </c>
    </row>
    <row r="757" spans="1:221" s="29" customFormat="1" ht="12.75">
      <c r="A757" s="26" t="s">
        <v>1048</v>
      </c>
      <c r="B757" s="27" t="s">
        <v>1049</v>
      </c>
      <c r="C757" s="28">
        <f>C758+C759</f>
        <v>47395</v>
      </c>
      <c r="D757" s="28">
        <f>D758+D759</f>
        <v>1400</v>
      </c>
      <c r="E757" s="28">
        <f>E758+E759</f>
        <v>45994.990000000005</v>
      </c>
      <c r="F757" s="28">
        <f>F758+F759</f>
        <v>0</v>
      </c>
      <c r="G757" s="28">
        <f t="shared" si="11"/>
        <v>0.00999999999476131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</row>
    <row r="758" spans="1:7" ht="12.75">
      <c r="A758" s="12" t="s">
        <v>1050</v>
      </c>
      <c r="B758" s="24" t="s">
        <v>1007</v>
      </c>
      <c r="C758" s="25">
        <f>39568+1400</f>
        <v>40968</v>
      </c>
      <c r="D758" s="25">
        <v>1400</v>
      </c>
      <c r="E758" s="25">
        <v>39568.3</v>
      </c>
      <c r="F758" s="25"/>
      <c r="G758" s="25">
        <f t="shared" si="11"/>
        <v>-0.3000000000029104</v>
      </c>
    </row>
    <row r="759" spans="1:7" ht="12.75">
      <c r="A759" s="12" t="s">
        <v>1051</v>
      </c>
      <c r="B759" s="24" t="s">
        <v>251</v>
      </c>
      <c r="C759" s="25">
        <v>6427</v>
      </c>
      <c r="D759" s="25">
        <v>0</v>
      </c>
      <c r="E759" s="25">
        <v>6426.69</v>
      </c>
      <c r="F759" s="25"/>
      <c r="G759" s="25">
        <f t="shared" si="11"/>
        <v>0.3100000000004002</v>
      </c>
    </row>
    <row r="760" spans="1:7" ht="12.75">
      <c r="A760" s="12" t="s">
        <v>1052</v>
      </c>
      <c r="B760" s="24" t="s">
        <v>1022</v>
      </c>
      <c r="C760" s="25">
        <f>8000+319</f>
        <v>8319</v>
      </c>
      <c r="D760" s="25">
        <v>7910.6</v>
      </c>
      <c r="E760" s="25">
        <v>408</v>
      </c>
      <c r="F760" s="25"/>
      <c r="G760" s="25">
        <f t="shared" si="11"/>
        <v>0.3999999999996362</v>
      </c>
    </row>
    <row r="761" spans="1:221" s="29" customFormat="1" ht="12.75">
      <c r="A761" s="26" t="s">
        <v>1053</v>
      </c>
      <c r="B761" s="27" t="s">
        <v>1054</v>
      </c>
      <c r="C761" s="44">
        <f>SUM(C762:C763)</f>
        <v>26326</v>
      </c>
      <c r="D761" s="44">
        <f>SUM(D762:D763)</f>
        <v>1350</v>
      </c>
      <c r="E761" s="44">
        <f>SUM(E762:E763)</f>
        <v>24975.620000000003</v>
      </c>
      <c r="F761" s="44">
        <f>SUM(F762:F763)</f>
        <v>0</v>
      </c>
      <c r="G761" s="28">
        <f t="shared" si="11"/>
        <v>0.37999999999738066</v>
      </c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</row>
    <row r="762" spans="1:7" ht="12.75">
      <c r="A762" s="12" t="s">
        <v>1055</v>
      </c>
      <c r="B762" s="24" t="s">
        <v>251</v>
      </c>
      <c r="C762" s="25">
        <f>14841+1350</f>
        <v>16191</v>
      </c>
      <c r="D762" s="25">
        <v>1350</v>
      </c>
      <c r="E762" s="25">
        <v>14840.62</v>
      </c>
      <c r="F762" s="25"/>
      <c r="G762" s="25">
        <f t="shared" si="11"/>
        <v>0.37999999999919964</v>
      </c>
    </row>
    <row r="763" spans="1:7" ht="12.75">
      <c r="A763" s="12" t="s">
        <v>1056</v>
      </c>
      <c r="B763" s="24" t="s">
        <v>1057</v>
      </c>
      <c r="C763" s="25">
        <v>10135</v>
      </c>
      <c r="D763" s="25">
        <v>0</v>
      </c>
      <c r="E763" s="25">
        <v>10135</v>
      </c>
      <c r="F763" s="25"/>
      <c r="G763" s="25">
        <f t="shared" si="11"/>
        <v>0</v>
      </c>
    </row>
    <row r="764" spans="1:221" s="23" customFormat="1" ht="12.75">
      <c r="A764" s="20" t="s">
        <v>1058</v>
      </c>
      <c r="B764" s="21" t="s">
        <v>1059</v>
      </c>
      <c r="C764" s="22">
        <f>C765+C768+C771+C773+C776+C779+C780+C783</f>
        <v>602084</v>
      </c>
      <c r="D764" s="22">
        <f>D765+D768+D771+D773+D776+D779+D780+D783</f>
        <v>25726.46</v>
      </c>
      <c r="E764" s="22">
        <f>E765+E768+E771+E773+E776+E779+E780+E783</f>
        <v>522110.70100000006</v>
      </c>
      <c r="F764" s="22">
        <f>F765+F768+F771+F773+F776+F779+F780+F783</f>
        <v>0</v>
      </c>
      <c r="G764" s="22">
        <f t="shared" si="11"/>
        <v>54246.83899999998</v>
      </c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</row>
    <row r="765" spans="1:221" s="29" customFormat="1" ht="12.75">
      <c r="A765" s="26" t="s">
        <v>1060</v>
      </c>
      <c r="B765" s="27" t="s">
        <v>1061</v>
      </c>
      <c r="C765" s="28">
        <f>SUM(C766:C767)</f>
        <v>81695</v>
      </c>
      <c r="D765" s="28">
        <f>SUM(D766:D767)</f>
        <v>5240.37</v>
      </c>
      <c r="E765" s="28">
        <f>SUM(E766:E767)</f>
        <v>61608.71</v>
      </c>
      <c r="F765" s="28">
        <f>SUM(F766:F767)</f>
        <v>0</v>
      </c>
      <c r="G765" s="28">
        <f t="shared" si="11"/>
        <v>14845.920000000006</v>
      </c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</row>
    <row r="766" spans="1:7" ht="12.75">
      <c r="A766" s="12" t="s">
        <v>1062</v>
      </c>
      <c r="B766" s="24" t="s">
        <v>251</v>
      </c>
      <c r="C766" s="25">
        <v>42500</v>
      </c>
      <c r="D766" s="25">
        <f>354.37+1471</f>
        <v>1825.37</v>
      </c>
      <c r="E766" s="25">
        <v>34400.81</v>
      </c>
      <c r="F766" s="25"/>
      <c r="G766" s="25">
        <f t="shared" si="11"/>
        <v>6273.82</v>
      </c>
    </row>
    <row r="767" spans="1:7" ht="12.75">
      <c r="A767" s="12" t="s">
        <v>1063</v>
      </c>
      <c r="B767" s="24" t="s">
        <v>1007</v>
      </c>
      <c r="C767" s="25">
        <f>45250-4655-1400</f>
        <v>39195</v>
      </c>
      <c r="D767" s="25">
        <v>3415</v>
      </c>
      <c r="E767" s="25">
        <v>27207.9</v>
      </c>
      <c r="F767" s="25"/>
      <c r="G767" s="25">
        <f t="shared" si="11"/>
        <v>8572.099999999999</v>
      </c>
    </row>
    <row r="768" spans="1:221" s="29" customFormat="1" ht="12.75">
      <c r="A768" s="26" t="s">
        <v>1064</v>
      </c>
      <c r="B768" s="27" t="s">
        <v>1065</v>
      </c>
      <c r="C768" s="28">
        <f>SUM(C769:C770)</f>
        <v>59917</v>
      </c>
      <c r="D768" s="28">
        <f>SUM(D769:D770)</f>
        <v>11625.4</v>
      </c>
      <c r="E768" s="28">
        <f>SUM(E769:E770)</f>
        <v>41620.07</v>
      </c>
      <c r="F768" s="28">
        <f>SUM(F769:F770)</f>
        <v>0</v>
      </c>
      <c r="G768" s="28">
        <f t="shared" si="11"/>
        <v>6671.529999999999</v>
      </c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</row>
    <row r="769" spans="1:7" ht="12.75">
      <c r="A769" s="12" t="s">
        <v>1066</v>
      </c>
      <c r="B769" s="24" t="s">
        <v>251</v>
      </c>
      <c r="C769" s="25">
        <f>41917+1628</f>
        <v>43545</v>
      </c>
      <c r="D769" s="25">
        <v>1925.4</v>
      </c>
      <c r="E769" s="25">
        <v>41620.07</v>
      </c>
      <c r="F769" s="25"/>
      <c r="G769" s="25">
        <f t="shared" si="11"/>
        <v>-0.47000000000116415</v>
      </c>
    </row>
    <row r="770" spans="1:7" ht="12.75">
      <c r="A770" s="12" t="s">
        <v>1067</v>
      </c>
      <c r="B770" s="24" t="s">
        <v>1007</v>
      </c>
      <c r="C770" s="25">
        <f>18000-1628</f>
        <v>16372</v>
      </c>
      <c r="D770" s="25">
        <f>2500+7200</f>
        <v>9700</v>
      </c>
      <c r="E770" s="25">
        <v>0</v>
      </c>
      <c r="F770" s="25"/>
      <c r="G770" s="25">
        <f t="shared" si="11"/>
        <v>6672</v>
      </c>
    </row>
    <row r="771" spans="1:221" s="29" customFormat="1" ht="12.75">
      <c r="A771" s="26" t="s">
        <v>1068</v>
      </c>
      <c r="B771" s="27" t="s">
        <v>1069</v>
      </c>
      <c r="C771" s="28">
        <f>C772</f>
        <v>136400</v>
      </c>
      <c r="D771" s="28">
        <f>D772</f>
        <v>0</v>
      </c>
      <c r="E771" s="28">
        <f>E772</f>
        <v>124002.8</v>
      </c>
      <c r="F771" s="28">
        <f>F772</f>
        <v>0</v>
      </c>
      <c r="G771" s="28">
        <f t="shared" si="11"/>
        <v>12397.199999999997</v>
      </c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</row>
    <row r="772" spans="1:7" ht="12.75">
      <c r="A772" s="12" t="s">
        <v>1070</v>
      </c>
      <c r="B772" s="24" t="s">
        <v>1071</v>
      </c>
      <c r="C772" s="25">
        <v>136400</v>
      </c>
      <c r="D772" s="25">
        <v>0</v>
      </c>
      <c r="E772" s="25">
        <v>124002.8</v>
      </c>
      <c r="F772" s="25"/>
      <c r="G772" s="25">
        <f t="shared" si="11"/>
        <v>12397.199999999997</v>
      </c>
    </row>
    <row r="773" spans="1:221" s="29" customFormat="1" ht="12.75">
      <c r="A773" s="26" t="s">
        <v>1072</v>
      </c>
      <c r="B773" s="27" t="s">
        <v>1073</v>
      </c>
      <c r="C773" s="44">
        <f>SUM(C774:C775)</f>
        <v>276738</v>
      </c>
      <c r="D773" s="44">
        <f>SUM(D774:D775)</f>
        <v>0</v>
      </c>
      <c r="E773" s="44">
        <f>SUM(E774:E775)</f>
        <v>276738.01</v>
      </c>
      <c r="F773" s="44">
        <f>SUM(F774:F775)</f>
        <v>0</v>
      </c>
      <c r="G773" s="28">
        <f aca="true" t="shared" si="12" ref="G773:G837">C773-D773-E773</f>
        <v>-0.010000000009313226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</row>
    <row r="774" spans="1:7" ht="12.75">
      <c r="A774" s="12" t="s">
        <v>1074</v>
      </c>
      <c r="B774" s="24" t="s">
        <v>655</v>
      </c>
      <c r="C774" s="25">
        <v>270237</v>
      </c>
      <c r="D774" s="25">
        <v>0</v>
      </c>
      <c r="E774" s="25">
        <v>270236.7</v>
      </c>
      <c r="F774" s="25"/>
      <c r="G774" s="25">
        <f t="shared" si="12"/>
        <v>0.29999999998835847</v>
      </c>
    </row>
    <row r="775" spans="1:7" ht="12.75">
      <c r="A775" s="12" t="s">
        <v>1075</v>
      </c>
      <c r="B775" s="24" t="s">
        <v>143</v>
      </c>
      <c r="C775" s="25">
        <f>7085-584</f>
        <v>6501</v>
      </c>
      <c r="D775" s="25">
        <v>0</v>
      </c>
      <c r="E775" s="25">
        <v>6501.31</v>
      </c>
      <c r="F775" s="25"/>
      <c r="G775" s="25">
        <f t="shared" si="12"/>
        <v>-0.3100000000004002</v>
      </c>
    </row>
    <row r="776" spans="1:221" s="29" customFormat="1" ht="12.75">
      <c r="A776" s="26" t="s">
        <v>1076</v>
      </c>
      <c r="B776" s="27" t="s">
        <v>1077</v>
      </c>
      <c r="C776" s="44">
        <f>SUM(C777:C778)</f>
        <v>20000</v>
      </c>
      <c r="D776" s="44">
        <f>SUM(D777:D778)</f>
        <v>4375.4</v>
      </c>
      <c r="E776" s="44">
        <f>SUM(E777:E778)</f>
        <v>6549.74</v>
      </c>
      <c r="F776" s="44">
        <f>SUM(F777:F778)</f>
        <v>0</v>
      </c>
      <c r="G776" s="28">
        <f t="shared" si="12"/>
        <v>9074.86</v>
      </c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</row>
    <row r="777" spans="1:7" ht="12.75">
      <c r="A777" s="12" t="s">
        <v>1078</v>
      </c>
      <c r="B777" s="24" t="s">
        <v>251</v>
      </c>
      <c r="C777" s="25">
        <v>12500</v>
      </c>
      <c r="D777" s="25">
        <v>342.5</v>
      </c>
      <c r="E777" s="25">
        <v>6549.74</v>
      </c>
      <c r="F777" s="25"/>
      <c r="G777" s="25">
        <f t="shared" si="12"/>
        <v>5607.76</v>
      </c>
    </row>
    <row r="778" spans="1:7" ht="12.75">
      <c r="A778" s="12" t="s">
        <v>1079</v>
      </c>
      <c r="B778" s="24" t="s">
        <v>1007</v>
      </c>
      <c r="C778" s="25">
        <v>7500</v>
      </c>
      <c r="D778" s="25">
        <v>4032.9</v>
      </c>
      <c r="E778" s="25">
        <v>0</v>
      </c>
      <c r="F778" s="25"/>
      <c r="G778" s="25">
        <f t="shared" si="12"/>
        <v>3467.1</v>
      </c>
    </row>
    <row r="779" spans="1:7" ht="12.75">
      <c r="A779" s="12" t="s">
        <v>1080</v>
      </c>
      <c r="B779" s="24" t="s">
        <v>1081</v>
      </c>
      <c r="C779" s="25">
        <f>15000+1534</f>
        <v>16534</v>
      </c>
      <c r="D779" s="25">
        <f>5137.29-652</f>
        <v>4485.29</v>
      </c>
      <c r="E779" s="25">
        <v>11396.971</v>
      </c>
      <c r="F779" s="25"/>
      <c r="G779" s="25">
        <f t="shared" si="12"/>
        <v>651.7389999999996</v>
      </c>
    </row>
    <row r="780" spans="1:221" s="29" customFormat="1" ht="12.75">
      <c r="A780" s="26" t="s">
        <v>547</v>
      </c>
      <c r="B780" s="27" t="s">
        <v>553</v>
      </c>
      <c r="C780" s="44">
        <f>SUM(C781:C782)</f>
        <v>4800</v>
      </c>
      <c r="D780" s="44">
        <f>SUM(D781:D782)</f>
        <v>0</v>
      </c>
      <c r="E780" s="44">
        <f>SUM(E781:E782)</f>
        <v>194.4</v>
      </c>
      <c r="F780" s="44">
        <f>SUM(F781:F782)</f>
        <v>0</v>
      </c>
      <c r="G780" s="28">
        <f t="shared" si="12"/>
        <v>4605.6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</row>
    <row r="781" spans="1:7" ht="12.75">
      <c r="A781" s="12" t="s">
        <v>548</v>
      </c>
      <c r="B781" s="24" t="s">
        <v>251</v>
      </c>
      <c r="C781" s="25">
        <v>2250</v>
      </c>
      <c r="D781" s="25">
        <v>0</v>
      </c>
      <c r="E781" s="25">
        <v>194.4</v>
      </c>
      <c r="F781" s="25"/>
      <c r="G781" s="25">
        <f t="shared" si="12"/>
        <v>2055.6</v>
      </c>
    </row>
    <row r="782" spans="1:7" ht="12.75">
      <c r="A782" s="12" t="s">
        <v>549</v>
      </c>
      <c r="B782" s="24" t="s">
        <v>554</v>
      </c>
      <c r="C782" s="25">
        <v>2550</v>
      </c>
      <c r="D782" s="25">
        <v>0</v>
      </c>
      <c r="E782" s="25">
        <v>0</v>
      </c>
      <c r="F782" s="25"/>
      <c r="G782" s="25">
        <f t="shared" si="12"/>
        <v>2550</v>
      </c>
    </row>
    <row r="783" spans="1:221" s="29" customFormat="1" ht="12.75">
      <c r="A783" s="26" t="s">
        <v>550</v>
      </c>
      <c r="B783" s="27" t="s">
        <v>555</v>
      </c>
      <c r="C783" s="44">
        <f>SUM(C784:C785)</f>
        <v>6000</v>
      </c>
      <c r="D783" s="44">
        <f>SUM(D784:D785)</f>
        <v>0</v>
      </c>
      <c r="E783" s="44">
        <f>SUM(E784:E785)</f>
        <v>0</v>
      </c>
      <c r="F783" s="44">
        <f>SUM(F784:F785)</f>
        <v>0</v>
      </c>
      <c r="G783" s="28">
        <f t="shared" si="12"/>
        <v>6000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</row>
    <row r="784" spans="1:7" ht="12.75">
      <c r="A784" s="12" t="s">
        <v>551</v>
      </c>
      <c r="B784" s="24" t="s">
        <v>251</v>
      </c>
      <c r="C784" s="25">
        <v>3000</v>
      </c>
      <c r="D784" s="25">
        <v>0</v>
      </c>
      <c r="E784" s="25">
        <v>0</v>
      </c>
      <c r="F784" s="25"/>
      <c r="G784" s="25">
        <f t="shared" si="12"/>
        <v>3000</v>
      </c>
    </row>
    <row r="785" spans="1:7" ht="12.75">
      <c r="A785" s="12" t="s">
        <v>552</v>
      </c>
      <c r="B785" s="24" t="s">
        <v>554</v>
      </c>
      <c r="C785" s="25">
        <v>3000</v>
      </c>
      <c r="D785" s="25">
        <v>0</v>
      </c>
      <c r="E785" s="25">
        <v>0</v>
      </c>
      <c r="F785" s="25"/>
      <c r="G785" s="25">
        <f t="shared" si="12"/>
        <v>3000</v>
      </c>
    </row>
    <row r="786" spans="1:7" ht="12.75">
      <c r="A786" s="12" t="s">
        <v>1082</v>
      </c>
      <c r="B786" s="15" t="s">
        <v>1083</v>
      </c>
      <c r="C786" s="14">
        <f>C787+C804+C813+C914+C964</f>
        <v>6606752.2</v>
      </c>
      <c r="D786" s="14">
        <f>D787+D804+D813+D914+D964</f>
        <v>15438.5</v>
      </c>
      <c r="E786" s="14">
        <f>E787+E804+E813+E914+E964</f>
        <v>4943486.37</v>
      </c>
      <c r="F786" s="14">
        <f>F787+F804+F813+F914+F964</f>
        <v>546672</v>
      </c>
      <c r="G786" s="14">
        <f>G787+G804+G813+G914+G964</f>
        <v>1101155.33</v>
      </c>
    </row>
    <row r="787" spans="1:221" s="19" customFormat="1" ht="12.75">
      <c r="A787" s="16" t="s">
        <v>1084</v>
      </c>
      <c r="B787" s="17" t="s">
        <v>1085</v>
      </c>
      <c r="C787" s="18">
        <f>C788+C789+C794+C799</f>
        <v>1859350.2000000002</v>
      </c>
      <c r="D787" s="18">
        <f>D788+D789+D794+D799</f>
        <v>0</v>
      </c>
      <c r="E787" s="18">
        <f>E788+E789+E794+E799</f>
        <v>1859350.2000000002</v>
      </c>
      <c r="F787" s="18">
        <f>F788+F789+F794+F799</f>
        <v>0</v>
      </c>
      <c r="G787" s="18">
        <f t="shared" si="12"/>
        <v>0</v>
      </c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</row>
    <row r="788" spans="1:7" ht="12.75">
      <c r="A788" s="12" t="s">
        <v>1086</v>
      </c>
      <c r="B788" s="24" t="s">
        <v>1087</v>
      </c>
      <c r="C788" s="25">
        <v>660372</v>
      </c>
      <c r="D788" s="25">
        <v>0</v>
      </c>
      <c r="E788" s="25">
        <f>(531000+19744)+109628</f>
        <v>660372</v>
      </c>
      <c r="F788" s="25"/>
      <c r="G788" s="25">
        <f t="shared" si="12"/>
        <v>0</v>
      </c>
    </row>
    <row r="789" spans="1:221" s="23" customFormat="1" ht="12.75">
      <c r="A789" s="20" t="s">
        <v>1088</v>
      </c>
      <c r="B789" s="21" t="s">
        <v>1089</v>
      </c>
      <c r="C789" s="22">
        <f>C790+C791+C792+C793</f>
        <v>740992.6</v>
      </c>
      <c r="D789" s="22">
        <f>D790+D791+D792+D793</f>
        <v>0</v>
      </c>
      <c r="E789" s="22">
        <f>E790+E791+E792+E793</f>
        <v>740992.6</v>
      </c>
      <c r="F789" s="22">
        <f>F790+F791+F792+F793</f>
        <v>0</v>
      </c>
      <c r="G789" s="22">
        <f t="shared" si="12"/>
        <v>0</v>
      </c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</row>
    <row r="790" spans="1:221" s="37" customFormat="1" ht="12.75">
      <c r="A790" s="35" t="s">
        <v>1090</v>
      </c>
      <c r="B790" s="36" t="s">
        <v>1643</v>
      </c>
      <c r="C790" s="25">
        <v>601314</v>
      </c>
      <c r="D790" s="25">
        <v>0</v>
      </c>
      <c r="E790" s="25">
        <v>601314</v>
      </c>
      <c r="F790" s="25"/>
      <c r="G790" s="25">
        <f t="shared" si="12"/>
        <v>0</v>
      </c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</row>
    <row r="791" spans="1:221" s="37" customFormat="1" ht="12.75">
      <c r="A791" s="35" t="s">
        <v>1091</v>
      </c>
      <c r="B791" s="36" t="s">
        <v>655</v>
      </c>
      <c r="C791" s="25">
        <v>98099</v>
      </c>
      <c r="D791" s="25">
        <v>0</v>
      </c>
      <c r="E791" s="25">
        <v>98099</v>
      </c>
      <c r="F791" s="25"/>
      <c r="G791" s="25">
        <f t="shared" si="12"/>
        <v>0</v>
      </c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</row>
    <row r="792" spans="1:221" s="37" customFormat="1" ht="12.75">
      <c r="A792" s="35" t="s">
        <v>1092</v>
      </c>
      <c r="B792" s="36" t="s">
        <v>1093</v>
      </c>
      <c r="C792" s="25">
        <v>18512.6</v>
      </c>
      <c r="D792" s="25">
        <v>0</v>
      </c>
      <c r="E792" s="25">
        <v>18512.6</v>
      </c>
      <c r="F792" s="25"/>
      <c r="G792" s="25">
        <f t="shared" si="12"/>
        <v>0</v>
      </c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</row>
    <row r="793" spans="1:221" s="37" customFormat="1" ht="12.75">
      <c r="A793" s="35" t="s">
        <v>1094</v>
      </c>
      <c r="B793" s="36" t="s">
        <v>696</v>
      </c>
      <c r="C793" s="25">
        <v>23067</v>
      </c>
      <c r="D793" s="25">
        <v>0</v>
      </c>
      <c r="E793" s="25">
        <v>23067</v>
      </c>
      <c r="F793" s="25"/>
      <c r="G793" s="25">
        <f t="shared" si="12"/>
        <v>0</v>
      </c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</row>
    <row r="794" spans="1:221" s="23" customFormat="1" ht="12.75">
      <c r="A794" s="20" t="s">
        <v>1095</v>
      </c>
      <c r="B794" s="21" t="s">
        <v>1096</v>
      </c>
      <c r="C794" s="22">
        <f>C795+C796+C797+C798</f>
        <v>252112</v>
      </c>
      <c r="D794" s="22">
        <f>D795+D796+D797+D798</f>
        <v>0</v>
      </c>
      <c r="E794" s="22">
        <f>E795+E796+E797+E798</f>
        <v>252112</v>
      </c>
      <c r="F794" s="22">
        <f>F795+F796+F797+F798</f>
        <v>0</v>
      </c>
      <c r="G794" s="22">
        <f t="shared" si="12"/>
        <v>0</v>
      </c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</row>
    <row r="795" spans="1:221" s="37" customFormat="1" ht="12.75">
      <c r="A795" s="35" t="s">
        <v>1097</v>
      </c>
      <c r="B795" s="36" t="s">
        <v>1643</v>
      </c>
      <c r="C795" s="25">
        <v>145922</v>
      </c>
      <c r="D795" s="25">
        <v>0</v>
      </c>
      <c r="E795" s="25">
        <f>(149084-3162)+0</f>
        <v>145922</v>
      </c>
      <c r="F795" s="25"/>
      <c r="G795" s="25">
        <f t="shared" si="12"/>
        <v>0</v>
      </c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</row>
    <row r="796" spans="1:221" s="37" customFormat="1" ht="12.75">
      <c r="A796" s="35" t="s">
        <v>1098</v>
      </c>
      <c r="B796" s="36" t="s">
        <v>655</v>
      </c>
      <c r="C796" s="25">
        <v>65039</v>
      </c>
      <c r="D796" s="25">
        <v>0</v>
      </c>
      <c r="E796" s="25">
        <v>65039</v>
      </c>
      <c r="F796" s="25"/>
      <c r="G796" s="25">
        <f t="shared" si="12"/>
        <v>0</v>
      </c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</row>
    <row r="797" spans="1:221" s="37" customFormat="1" ht="12.75">
      <c r="A797" s="35" t="s">
        <v>1099</v>
      </c>
      <c r="B797" s="36" t="s">
        <v>1093</v>
      </c>
      <c r="C797" s="25">
        <v>18084</v>
      </c>
      <c r="D797" s="25">
        <v>0</v>
      </c>
      <c r="E797" s="25">
        <v>18084</v>
      </c>
      <c r="F797" s="25"/>
      <c r="G797" s="25">
        <f t="shared" si="12"/>
        <v>0</v>
      </c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</row>
    <row r="798" spans="1:221" s="37" customFormat="1" ht="12.75">
      <c r="A798" s="35" t="s">
        <v>1100</v>
      </c>
      <c r="B798" s="36" t="s">
        <v>696</v>
      </c>
      <c r="C798" s="25">
        <v>23067</v>
      </c>
      <c r="D798" s="25">
        <v>0</v>
      </c>
      <c r="E798" s="25">
        <v>23067</v>
      </c>
      <c r="F798" s="25"/>
      <c r="G798" s="25">
        <f t="shared" si="12"/>
        <v>0</v>
      </c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</row>
    <row r="799" spans="1:221" s="23" customFormat="1" ht="12.75">
      <c r="A799" s="20" t="s">
        <v>1101</v>
      </c>
      <c r="B799" s="21" t="s">
        <v>1102</v>
      </c>
      <c r="C799" s="22">
        <f>C800+C801+C802+C803</f>
        <v>205873.6</v>
      </c>
      <c r="D799" s="22">
        <f>D800+D801+D802+D803</f>
        <v>0</v>
      </c>
      <c r="E799" s="22">
        <f>E800+E801+E802+E803</f>
        <v>205873.6</v>
      </c>
      <c r="F799" s="22">
        <f>F800+F801+F802+F803</f>
        <v>0</v>
      </c>
      <c r="G799" s="22">
        <f t="shared" si="12"/>
        <v>0</v>
      </c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</row>
    <row r="800" spans="1:221" s="37" customFormat="1" ht="12.75">
      <c r="A800" s="35" t="s">
        <v>1103</v>
      </c>
      <c r="B800" s="36" t="s">
        <v>1643</v>
      </c>
      <c r="C800" s="25">
        <v>145922</v>
      </c>
      <c r="D800" s="25">
        <v>0</v>
      </c>
      <c r="E800" s="25">
        <f>(147614-1692)+0</f>
        <v>145922</v>
      </c>
      <c r="F800" s="25"/>
      <c r="G800" s="25">
        <f t="shared" si="12"/>
        <v>0</v>
      </c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</row>
    <row r="801" spans="1:221" s="37" customFormat="1" ht="12.75">
      <c r="A801" s="35" t="s">
        <v>1104</v>
      </c>
      <c r="B801" s="36" t="s">
        <v>655</v>
      </c>
      <c r="C801" s="25">
        <v>18372</v>
      </c>
      <c r="D801" s="25">
        <v>0</v>
      </c>
      <c r="E801" s="25">
        <v>18372</v>
      </c>
      <c r="F801" s="25"/>
      <c r="G801" s="25">
        <f t="shared" si="12"/>
        <v>0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</row>
    <row r="802" spans="1:221" s="37" customFormat="1" ht="12.75">
      <c r="A802" s="35" t="s">
        <v>1105</v>
      </c>
      <c r="B802" s="36" t="s">
        <v>1093</v>
      </c>
      <c r="C802" s="25">
        <v>18512.6</v>
      </c>
      <c r="D802" s="25">
        <v>0</v>
      </c>
      <c r="E802" s="25">
        <f>(15087)+3425.6</f>
        <v>18512.6</v>
      </c>
      <c r="F802" s="25"/>
      <c r="G802" s="25">
        <f t="shared" si="12"/>
        <v>0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</row>
    <row r="803" spans="1:221" s="37" customFormat="1" ht="12.75">
      <c r="A803" s="35" t="s">
        <v>1106</v>
      </c>
      <c r="B803" s="36" t="s">
        <v>696</v>
      </c>
      <c r="C803" s="25">
        <v>23067</v>
      </c>
      <c r="D803" s="25">
        <v>0</v>
      </c>
      <c r="E803" s="25">
        <v>23067</v>
      </c>
      <c r="F803" s="25"/>
      <c r="G803" s="25">
        <f t="shared" si="12"/>
        <v>0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</row>
    <row r="804" spans="1:221" s="19" customFormat="1" ht="12.75">
      <c r="A804" s="16" t="s">
        <v>1107</v>
      </c>
      <c r="B804" s="53" t="s">
        <v>1108</v>
      </c>
      <c r="C804" s="18">
        <f>C805+C806+C807+C808</f>
        <v>136370</v>
      </c>
      <c r="D804" s="18">
        <f>D805+D806+D807+D808</f>
        <v>0</v>
      </c>
      <c r="E804" s="18">
        <f>E805+E806+E807+E808</f>
        <v>124209.41</v>
      </c>
      <c r="F804" s="18">
        <f>F805+F806+F807+F808</f>
        <v>0</v>
      </c>
      <c r="G804" s="18">
        <f t="shared" si="12"/>
        <v>12160.589999999997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</row>
    <row r="805" spans="1:7" ht="12.75">
      <c r="A805" s="12" t="s">
        <v>1109</v>
      </c>
      <c r="B805" s="24" t="s">
        <v>1111</v>
      </c>
      <c r="C805" s="25">
        <v>1545</v>
      </c>
      <c r="D805" s="25">
        <v>0</v>
      </c>
      <c r="E805" s="25">
        <v>1545</v>
      </c>
      <c r="F805" s="25"/>
      <c r="G805" s="25">
        <f t="shared" si="12"/>
        <v>0</v>
      </c>
    </row>
    <row r="806" spans="1:7" ht="12.75">
      <c r="A806" s="35" t="s">
        <v>1110</v>
      </c>
      <c r="B806" s="24" t="s">
        <v>1111</v>
      </c>
      <c r="C806" s="25">
        <v>53664</v>
      </c>
      <c r="D806" s="25">
        <v>0</v>
      </c>
      <c r="E806" s="25">
        <v>53664</v>
      </c>
      <c r="F806" s="25"/>
      <c r="G806" s="25">
        <f t="shared" si="12"/>
        <v>0</v>
      </c>
    </row>
    <row r="807" spans="1:7" ht="12.75">
      <c r="A807" s="12" t="s">
        <v>1112</v>
      </c>
      <c r="B807" s="24" t="s">
        <v>1113</v>
      </c>
      <c r="C807" s="25">
        <v>10000</v>
      </c>
      <c r="D807" s="25">
        <v>0</v>
      </c>
      <c r="E807" s="25">
        <v>10000</v>
      </c>
      <c r="F807" s="25"/>
      <c r="G807" s="25">
        <f t="shared" si="12"/>
        <v>0</v>
      </c>
    </row>
    <row r="808" spans="1:221" s="23" customFormat="1" ht="12.75">
      <c r="A808" s="20" t="s">
        <v>1114</v>
      </c>
      <c r="B808" s="21" t="s">
        <v>748</v>
      </c>
      <c r="C808" s="22">
        <f>SUM(C809:C812)</f>
        <v>71161</v>
      </c>
      <c r="D808" s="22">
        <f>SUM(D809:D812)</f>
        <v>0</v>
      </c>
      <c r="E808" s="22">
        <f>SUM(E809:E812)</f>
        <v>59000.41</v>
      </c>
      <c r="F808" s="22">
        <f>SUM(F809:F812)</f>
        <v>0</v>
      </c>
      <c r="G808" s="22">
        <f t="shared" si="12"/>
        <v>12160.589999999997</v>
      </c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</row>
    <row r="809" spans="1:7" ht="12.75">
      <c r="A809" s="35" t="s">
        <v>1115</v>
      </c>
      <c r="B809" s="24" t="s">
        <v>1116</v>
      </c>
      <c r="C809" s="25">
        <v>48000</v>
      </c>
      <c r="D809" s="25">
        <v>0</v>
      </c>
      <c r="E809" s="25">
        <f>47339-11500</f>
        <v>35839</v>
      </c>
      <c r="F809" s="25"/>
      <c r="G809" s="25">
        <f t="shared" si="12"/>
        <v>12161</v>
      </c>
    </row>
    <row r="810" spans="1:7" ht="12.75">
      <c r="A810" s="12" t="s">
        <v>1117</v>
      </c>
      <c r="B810" s="24" t="s">
        <v>1118</v>
      </c>
      <c r="C810" s="25">
        <v>11661</v>
      </c>
      <c r="D810" s="25">
        <v>0</v>
      </c>
      <c r="E810" s="25">
        <v>11661.41</v>
      </c>
      <c r="F810" s="25"/>
      <c r="G810" s="25">
        <f t="shared" si="12"/>
        <v>-0.4099999999998545</v>
      </c>
    </row>
    <row r="811" spans="1:7" ht="12.75">
      <c r="A811" s="12" t="s">
        <v>1119</v>
      </c>
      <c r="B811" s="24" t="s">
        <v>1120</v>
      </c>
      <c r="C811" s="25">
        <v>11500</v>
      </c>
      <c r="D811" s="25">
        <v>0</v>
      </c>
      <c r="E811" s="25">
        <v>11500</v>
      </c>
      <c r="F811" s="25"/>
      <c r="G811" s="25">
        <f t="shared" si="12"/>
        <v>0</v>
      </c>
    </row>
    <row r="812" spans="1:7" ht="12.75">
      <c r="A812" s="12" t="s">
        <v>1121</v>
      </c>
      <c r="B812" s="24" t="s">
        <v>1122</v>
      </c>
      <c r="C812" s="25">
        <v>0</v>
      </c>
      <c r="D812" s="25">
        <v>0</v>
      </c>
      <c r="E812" s="25">
        <v>0</v>
      </c>
      <c r="F812" s="25"/>
      <c r="G812" s="25">
        <f t="shared" si="12"/>
        <v>0</v>
      </c>
    </row>
    <row r="813" spans="1:221" s="19" customFormat="1" ht="12.75">
      <c r="A813" s="16" t="s">
        <v>1123</v>
      </c>
      <c r="B813" s="17" t="s">
        <v>1124</v>
      </c>
      <c r="C813" s="18">
        <f>C814+C825+C907</f>
        <v>1499886</v>
      </c>
      <c r="D813" s="18">
        <f>D814+D825+D907</f>
        <v>15438.5</v>
      </c>
      <c r="E813" s="18">
        <f>E814+E825+E907</f>
        <v>1119962.26</v>
      </c>
      <c r="F813" s="18">
        <f>F814+F825+F907</f>
        <v>0</v>
      </c>
      <c r="G813" s="18">
        <f t="shared" si="12"/>
        <v>364485.24</v>
      </c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</row>
    <row r="814" spans="1:221" s="23" customFormat="1" ht="12.75">
      <c r="A814" s="20" t="s">
        <v>1125</v>
      </c>
      <c r="B814" s="21" t="s">
        <v>1126</v>
      </c>
      <c r="C814" s="22">
        <f>SUM(C815:C824)</f>
        <v>206444</v>
      </c>
      <c r="D814" s="22">
        <f>SUM(D815:D824)</f>
        <v>0</v>
      </c>
      <c r="E814" s="22">
        <f>SUM(E815:E824)</f>
        <v>48293.38</v>
      </c>
      <c r="F814" s="22">
        <f>SUM(F815:F824)</f>
        <v>0</v>
      </c>
      <c r="G814" s="22">
        <f>SUM(G815:G824)</f>
        <v>158150.62</v>
      </c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</row>
    <row r="815" spans="1:7" ht="12.75">
      <c r="A815" s="12" t="s">
        <v>1127</v>
      </c>
      <c r="B815" s="24" t="s">
        <v>1416</v>
      </c>
      <c r="C815" s="25">
        <v>0</v>
      </c>
      <c r="D815" s="25">
        <v>0</v>
      </c>
      <c r="E815" s="25">
        <v>0</v>
      </c>
      <c r="F815" s="25"/>
      <c r="G815" s="25">
        <f t="shared" si="12"/>
        <v>0</v>
      </c>
    </row>
    <row r="816" spans="1:7" ht="12.75">
      <c r="A816" s="12" t="s">
        <v>1128</v>
      </c>
      <c r="B816" s="24" t="s">
        <v>696</v>
      </c>
      <c r="C816" s="25">
        <v>0</v>
      </c>
      <c r="D816" s="25">
        <v>0</v>
      </c>
      <c r="E816" s="25">
        <v>0</v>
      </c>
      <c r="F816" s="25"/>
      <c r="G816" s="25">
        <f t="shared" si="12"/>
        <v>0</v>
      </c>
    </row>
    <row r="817" spans="1:7" ht="12.75">
      <c r="A817" s="12" t="s">
        <v>1129</v>
      </c>
      <c r="B817" s="24" t="s">
        <v>221</v>
      </c>
      <c r="C817" s="25">
        <v>46000</v>
      </c>
      <c r="D817" s="25">
        <v>0</v>
      </c>
      <c r="E817" s="25">
        <v>0</v>
      </c>
      <c r="F817" s="25"/>
      <c r="G817" s="25">
        <f t="shared" si="12"/>
        <v>46000</v>
      </c>
    </row>
    <row r="818" spans="1:7" ht="12.75">
      <c r="A818" s="12" t="s">
        <v>1130</v>
      </c>
      <c r="B818" s="24" t="s">
        <v>222</v>
      </c>
      <c r="C818" s="25">
        <v>24900</v>
      </c>
      <c r="D818" s="25">
        <v>0</v>
      </c>
      <c r="E818" s="25">
        <v>0</v>
      </c>
      <c r="F818" s="25"/>
      <c r="G818" s="25">
        <f t="shared" si="12"/>
        <v>24900</v>
      </c>
    </row>
    <row r="819" spans="1:7" ht="12.75">
      <c r="A819" s="12" t="s">
        <v>1131</v>
      </c>
      <c r="B819" s="24" t="s">
        <v>223</v>
      </c>
      <c r="C819" s="25">
        <v>41900</v>
      </c>
      <c r="D819" s="25">
        <v>0</v>
      </c>
      <c r="E819" s="25">
        <v>0</v>
      </c>
      <c r="F819" s="25"/>
      <c r="G819" s="25">
        <f t="shared" si="12"/>
        <v>41900</v>
      </c>
    </row>
    <row r="820" spans="1:7" ht="12.75">
      <c r="A820" s="12" t="s">
        <v>224</v>
      </c>
      <c r="B820" s="24" t="s">
        <v>228</v>
      </c>
      <c r="C820" s="25">
        <v>6800</v>
      </c>
      <c r="D820" s="25">
        <v>0</v>
      </c>
      <c r="E820" s="25">
        <v>0</v>
      </c>
      <c r="F820" s="25"/>
      <c r="G820" s="25">
        <f t="shared" si="12"/>
        <v>6800</v>
      </c>
    </row>
    <row r="821" spans="1:7" ht="12.75">
      <c r="A821" s="12" t="s">
        <v>225</v>
      </c>
      <c r="B821" s="24" t="s">
        <v>229</v>
      </c>
      <c r="C821" s="25">
        <v>1200</v>
      </c>
      <c r="D821" s="25">
        <v>0</v>
      </c>
      <c r="E821" s="25">
        <v>0</v>
      </c>
      <c r="F821" s="25"/>
      <c r="G821" s="25">
        <f t="shared" si="12"/>
        <v>1200</v>
      </c>
    </row>
    <row r="822" spans="1:7" ht="12.75">
      <c r="A822" s="12" t="s">
        <v>226</v>
      </c>
      <c r="B822" s="24" t="s">
        <v>230</v>
      </c>
      <c r="C822" s="25">
        <v>72444</v>
      </c>
      <c r="D822" s="25">
        <v>0</v>
      </c>
      <c r="E822" s="25">
        <v>48293.38</v>
      </c>
      <c r="F822" s="25"/>
      <c r="G822" s="25">
        <f t="shared" si="12"/>
        <v>24150.620000000003</v>
      </c>
    </row>
    <row r="823" spans="1:7" ht="12.75">
      <c r="A823" s="12" t="s">
        <v>227</v>
      </c>
      <c r="B823" s="24" t="s">
        <v>1745</v>
      </c>
      <c r="C823" s="25">
        <v>1000</v>
      </c>
      <c r="D823" s="25">
        <v>0</v>
      </c>
      <c r="E823" s="25">
        <v>0</v>
      </c>
      <c r="F823" s="25"/>
      <c r="G823" s="25">
        <f t="shared" si="12"/>
        <v>1000</v>
      </c>
    </row>
    <row r="824" spans="1:7" ht="12.75">
      <c r="A824" s="12" t="s">
        <v>1746</v>
      </c>
      <c r="B824" s="24" t="s">
        <v>1747</v>
      </c>
      <c r="C824" s="25">
        <v>12200</v>
      </c>
      <c r="D824" s="25">
        <v>0</v>
      </c>
      <c r="E824" s="25">
        <v>0</v>
      </c>
      <c r="F824" s="25"/>
      <c r="G824" s="25">
        <f t="shared" si="12"/>
        <v>12200</v>
      </c>
    </row>
    <row r="825" spans="1:221" s="23" customFormat="1" ht="12.75">
      <c r="A825" s="20" t="s">
        <v>1132</v>
      </c>
      <c r="B825" s="21" t="s">
        <v>1133</v>
      </c>
      <c r="C825" s="22">
        <f>C826+C832+C838+C844+C850+C856+C862+C868+C874+C884+C894+C901</f>
        <v>1035608</v>
      </c>
      <c r="D825" s="22">
        <f>D826+D832+D838+D844+D850+D856+D862+D868+D874+D884+D894+D901</f>
        <v>1878.5</v>
      </c>
      <c r="E825" s="22">
        <f>E826+E832+E838+E844+E850+E856+E862+E868+E874+E884+E894+E901</f>
        <v>1024610.6</v>
      </c>
      <c r="F825" s="22">
        <f>F826+F832+F838+F844+F850+F856+F862+F868+F874+F884+F894+F901</f>
        <v>0</v>
      </c>
      <c r="G825" s="22">
        <f t="shared" si="12"/>
        <v>9118.900000000023</v>
      </c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</row>
    <row r="826" spans="1:221" s="29" customFormat="1" ht="12.75">
      <c r="A826" s="26" t="s">
        <v>1134</v>
      </c>
      <c r="B826" s="27" t="s">
        <v>1135</v>
      </c>
      <c r="C826" s="28">
        <f>C827+C828+C829+C830+C831</f>
        <v>135700</v>
      </c>
      <c r="D826" s="28">
        <f>D827+D828+D829+D830+D831</f>
        <v>0</v>
      </c>
      <c r="E826" s="28">
        <f>E827+E828+E829+E830+E831</f>
        <v>135700</v>
      </c>
      <c r="F826" s="28">
        <f>F827+F828+F829+F830+F831</f>
        <v>0</v>
      </c>
      <c r="G826" s="28">
        <f t="shared" si="12"/>
        <v>0</v>
      </c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</row>
    <row r="827" spans="1:221" s="29" customFormat="1" ht="12.75">
      <c r="A827" s="12" t="s">
        <v>1136</v>
      </c>
      <c r="B827" s="24" t="s">
        <v>1137</v>
      </c>
      <c r="C827" s="25">
        <v>12300</v>
      </c>
      <c r="D827" s="25">
        <v>0</v>
      </c>
      <c r="E827" s="25">
        <v>12300</v>
      </c>
      <c r="F827" s="25"/>
      <c r="G827" s="25">
        <f t="shared" si="12"/>
        <v>0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</row>
    <row r="828" spans="1:7" ht="12.75">
      <c r="A828" s="12" t="s">
        <v>1138</v>
      </c>
      <c r="B828" s="24" t="s">
        <v>251</v>
      </c>
      <c r="C828" s="25">
        <v>59400</v>
      </c>
      <c r="D828" s="25">
        <v>0</v>
      </c>
      <c r="E828" s="25">
        <v>59400</v>
      </c>
      <c r="F828" s="25"/>
      <c r="G828" s="25">
        <f t="shared" si="12"/>
        <v>0</v>
      </c>
    </row>
    <row r="829" spans="1:7" ht="12.75">
      <c r="A829" s="12" t="s">
        <v>1139</v>
      </c>
      <c r="B829" s="24" t="s">
        <v>1140</v>
      </c>
      <c r="C829" s="25">
        <v>10000</v>
      </c>
      <c r="D829" s="25">
        <v>0</v>
      </c>
      <c r="E829" s="25">
        <v>10000</v>
      </c>
      <c r="F829" s="25"/>
      <c r="G829" s="25">
        <f t="shared" si="12"/>
        <v>0</v>
      </c>
    </row>
    <row r="830" spans="1:7" ht="12.75">
      <c r="A830" s="12" t="s">
        <v>1141</v>
      </c>
      <c r="B830" s="24" t="s">
        <v>1142</v>
      </c>
      <c r="C830" s="25">
        <v>27000</v>
      </c>
      <c r="D830" s="25">
        <v>0</v>
      </c>
      <c r="E830" s="25">
        <v>27000</v>
      </c>
      <c r="F830" s="25"/>
      <c r="G830" s="25">
        <f t="shared" si="12"/>
        <v>0</v>
      </c>
    </row>
    <row r="831" spans="1:7" ht="12.75">
      <c r="A831" s="12" t="s">
        <v>1143</v>
      </c>
      <c r="B831" s="24" t="s">
        <v>1688</v>
      </c>
      <c r="C831" s="25">
        <v>27000</v>
      </c>
      <c r="D831" s="25">
        <v>0</v>
      </c>
      <c r="E831" s="25">
        <v>27000</v>
      </c>
      <c r="F831" s="25"/>
      <c r="G831" s="25">
        <f t="shared" si="12"/>
        <v>0</v>
      </c>
    </row>
    <row r="832" spans="1:221" s="29" customFormat="1" ht="12.75">
      <c r="A832" s="26" t="s">
        <v>1144</v>
      </c>
      <c r="B832" s="27" t="s">
        <v>874</v>
      </c>
      <c r="C832" s="28">
        <f>C833+C834+C835+C836+C837</f>
        <v>97748</v>
      </c>
      <c r="D832" s="28">
        <f>D833+D834+D835+D836+D837</f>
        <v>0</v>
      </c>
      <c r="E832" s="28">
        <f>E833+E834+E835+E836+E837</f>
        <v>97748</v>
      </c>
      <c r="F832" s="28">
        <f>F833+F834+F835+F836+F837</f>
        <v>0</v>
      </c>
      <c r="G832" s="28">
        <f t="shared" si="12"/>
        <v>0</v>
      </c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</row>
    <row r="833" spans="1:221" s="29" customFormat="1" ht="12.75">
      <c r="A833" s="12" t="s">
        <v>1145</v>
      </c>
      <c r="B833" s="24" t="s">
        <v>1137</v>
      </c>
      <c r="C833" s="25">
        <v>0</v>
      </c>
      <c r="D833" s="25">
        <v>0</v>
      </c>
      <c r="E833" s="25">
        <v>0</v>
      </c>
      <c r="F833" s="25"/>
      <c r="G833" s="25">
        <f t="shared" si="12"/>
        <v>0</v>
      </c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</row>
    <row r="834" spans="1:7" ht="12.75">
      <c r="A834" s="12" t="s">
        <v>1146</v>
      </c>
      <c r="B834" s="24" t="s">
        <v>251</v>
      </c>
      <c r="C834" s="25">
        <v>68148</v>
      </c>
      <c r="D834" s="25">
        <v>0</v>
      </c>
      <c r="E834" s="25">
        <v>68148</v>
      </c>
      <c r="F834" s="25"/>
      <c r="G834" s="25">
        <f t="shared" si="12"/>
        <v>0</v>
      </c>
    </row>
    <row r="835" spans="1:7" ht="12.75">
      <c r="A835" s="12" t="s">
        <v>1147</v>
      </c>
      <c r="B835" s="24" t="s">
        <v>1140</v>
      </c>
      <c r="C835" s="25">
        <v>8000</v>
      </c>
      <c r="D835" s="25">
        <v>0</v>
      </c>
      <c r="E835" s="25">
        <v>8000</v>
      </c>
      <c r="F835" s="25"/>
      <c r="G835" s="25">
        <f t="shared" si="12"/>
        <v>0</v>
      </c>
    </row>
    <row r="836" spans="1:7" ht="12.75">
      <c r="A836" s="12" t="s">
        <v>1148</v>
      </c>
      <c r="B836" s="24" t="s">
        <v>1142</v>
      </c>
      <c r="C836" s="25">
        <v>16200</v>
      </c>
      <c r="D836" s="25">
        <v>0</v>
      </c>
      <c r="E836" s="25">
        <v>16200</v>
      </c>
      <c r="F836" s="25"/>
      <c r="G836" s="25">
        <f t="shared" si="12"/>
        <v>0</v>
      </c>
    </row>
    <row r="837" spans="1:7" ht="12.75">
      <c r="A837" s="12" t="s">
        <v>1149</v>
      </c>
      <c r="B837" s="24" t="s">
        <v>1688</v>
      </c>
      <c r="C837" s="25">
        <v>5400</v>
      </c>
      <c r="D837" s="25">
        <v>0</v>
      </c>
      <c r="E837" s="25">
        <v>5400</v>
      </c>
      <c r="F837" s="25"/>
      <c r="G837" s="25">
        <f t="shared" si="12"/>
        <v>0</v>
      </c>
    </row>
    <row r="838" spans="1:221" s="29" customFormat="1" ht="12.75">
      <c r="A838" s="26" t="s">
        <v>1150</v>
      </c>
      <c r="B838" s="27" t="s">
        <v>1151</v>
      </c>
      <c r="C838" s="28">
        <f>C839+C840+C841+C842+C843</f>
        <v>42750</v>
      </c>
      <c r="D838" s="28">
        <f>D839+D840+D841+D842+D843</f>
        <v>0</v>
      </c>
      <c r="E838" s="28">
        <f>E839+E840+E841+E842+E843</f>
        <v>42750</v>
      </c>
      <c r="F838" s="28">
        <f>F839+F840+F841+F842+F843</f>
        <v>0</v>
      </c>
      <c r="G838" s="28">
        <f aca="true" t="shared" si="13" ref="G838:G901">C838-D838-E838</f>
        <v>0</v>
      </c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</row>
    <row r="839" spans="1:7" ht="12.75">
      <c r="A839" s="12" t="s">
        <v>1152</v>
      </c>
      <c r="B839" s="24" t="s">
        <v>1137</v>
      </c>
      <c r="C839" s="25">
        <v>12300</v>
      </c>
      <c r="D839" s="25">
        <v>0</v>
      </c>
      <c r="E839" s="25">
        <v>12300</v>
      </c>
      <c r="F839" s="25"/>
      <c r="G839" s="25">
        <f t="shared" si="13"/>
        <v>0</v>
      </c>
    </row>
    <row r="840" spans="1:7" ht="12.75">
      <c r="A840" s="12" t="s">
        <v>1153</v>
      </c>
      <c r="B840" s="24" t="s">
        <v>251</v>
      </c>
      <c r="C840" s="25">
        <v>14700</v>
      </c>
      <c r="D840" s="25">
        <v>0</v>
      </c>
      <c r="E840" s="25">
        <v>14700</v>
      </c>
      <c r="F840" s="25"/>
      <c r="G840" s="25">
        <f t="shared" si="13"/>
        <v>0</v>
      </c>
    </row>
    <row r="841" spans="1:7" ht="12.75">
      <c r="A841" s="12" t="s">
        <v>1154</v>
      </c>
      <c r="B841" s="24" t="s">
        <v>1140</v>
      </c>
      <c r="C841" s="25">
        <v>3500</v>
      </c>
      <c r="D841" s="25">
        <v>0</v>
      </c>
      <c r="E841" s="25">
        <v>3500</v>
      </c>
      <c r="F841" s="25"/>
      <c r="G841" s="25">
        <f t="shared" si="13"/>
        <v>0</v>
      </c>
    </row>
    <row r="842" spans="1:7" ht="12.75">
      <c r="A842" s="12" t="s">
        <v>1155</v>
      </c>
      <c r="B842" s="24" t="s">
        <v>1142</v>
      </c>
      <c r="C842" s="25">
        <v>8750</v>
      </c>
      <c r="D842" s="25">
        <v>0</v>
      </c>
      <c r="E842" s="25">
        <v>8750</v>
      </c>
      <c r="F842" s="25"/>
      <c r="G842" s="25">
        <f t="shared" si="13"/>
        <v>0</v>
      </c>
    </row>
    <row r="843" spans="1:221" s="29" customFormat="1" ht="12.75">
      <c r="A843" s="12" t="s">
        <v>1156</v>
      </c>
      <c r="B843" s="24" t="s">
        <v>1688</v>
      </c>
      <c r="C843" s="25">
        <v>3500</v>
      </c>
      <c r="D843" s="25">
        <v>0</v>
      </c>
      <c r="E843" s="25">
        <v>3500</v>
      </c>
      <c r="F843" s="25"/>
      <c r="G843" s="25">
        <f t="shared" si="13"/>
        <v>0</v>
      </c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</row>
    <row r="844" spans="1:221" s="23" customFormat="1" ht="12.75">
      <c r="A844" s="26" t="s">
        <v>1157</v>
      </c>
      <c r="B844" s="27" t="s">
        <v>1158</v>
      </c>
      <c r="C844" s="28">
        <f>C845+C846+C847+C848+C849</f>
        <v>33280</v>
      </c>
      <c r="D844" s="28">
        <f>D845+D846+D847+D848+D849</f>
        <v>0</v>
      </c>
      <c r="E844" s="28">
        <f>E845+E846+E847+E848+E849</f>
        <v>33280</v>
      </c>
      <c r="F844" s="28">
        <f>F845+F846+F847+F848+F849</f>
        <v>0</v>
      </c>
      <c r="G844" s="28">
        <f t="shared" si="13"/>
        <v>0</v>
      </c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</row>
    <row r="845" spans="1:7" ht="12.75">
      <c r="A845" s="12" t="s">
        <v>1159</v>
      </c>
      <c r="B845" s="24" t="s">
        <v>1137</v>
      </c>
      <c r="C845" s="25">
        <v>0</v>
      </c>
      <c r="D845" s="25">
        <v>0</v>
      </c>
      <c r="E845" s="25">
        <v>0</v>
      </c>
      <c r="F845" s="25"/>
      <c r="G845" s="25">
        <f t="shared" si="13"/>
        <v>0</v>
      </c>
    </row>
    <row r="846" spans="1:7" ht="12.75">
      <c r="A846" s="12" t="s">
        <v>1160</v>
      </c>
      <c r="B846" s="24" t="s">
        <v>251</v>
      </c>
      <c r="C846" s="25">
        <v>22100</v>
      </c>
      <c r="D846" s="25">
        <v>0</v>
      </c>
      <c r="E846" s="25">
        <v>22100</v>
      </c>
      <c r="F846" s="25"/>
      <c r="G846" s="25">
        <f t="shared" si="13"/>
        <v>0</v>
      </c>
    </row>
    <row r="847" spans="1:7" ht="12.75">
      <c r="A847" s="12" t="s">
        <v>1161</v>
      </c>
      <c r="B847" s="24" t="s">
        <v>1140</v>
      </c>
      <c r="C847" s="25">
        <v>0</v>
      </c>
      <c r="D847" s="25">
        <v>0</v>
      </c>
      <c r="E847" s="25">
        <v>0</v>
      </c>
      <c r="F847" s="25"/>
      <c r="G847" s="25">
        <f t="shared" si="13"/>
        <v>0</v>
      </c>
    </row>
    <row r="848" spans="1:221" s="29" customFormat="1" ht="12.75">
      <c r="A848" s="12" t="s">
        <v>1162</v>
      </c>
      <c r="B848" s="24" t="s">
        <v>1142</v>
      </c>
      <c r="C848" s="25">
        <v>4680</v>
      </c>
      <c r="D848" s="25">
        <v>0</v>
      </c>
      <c r="E848" s="25">
        <v>4680</v>
      </c>
      <c r="F848" s="25"/>
      <c r="G848" s="25">
        <f t="shared" si="13"/>
        <v>0</v>
      </c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</row>
    <row r="849" spans="1:7" ht="12.75">
      <c r="A849" s="12" t="s">
        <v>1163</v>
      </c>
      <c r="B849" s="24" t="s">
        <v>1688</v>
      </c>
      <c r="C849" s="25">
        <v>6500</v>
      </c>
      <c r="D849" s="25">
        <v>0</v>
      </c>
      <c r="E849" s="25">
        <v>6500</v>
      </c>
      <c r="F849" s="25"/>
      <c r="G849" s="25">
        <f t="shared" si="13"/>
        <v>0</v>
      </c>
    </row>
    <row r="850" spans="1:221" s="29" customFormat="1" ht="12.75">
      <c r="A850" s="26" t="s">
        <v>1164</v>
      </c>
      <c r="B850" s="27" t="s">
        <v>1165</v>
      </c>
      <c r="C850" s="28">
        <f>C851+C852+C853+C854+C855</f>
        <v>236800</v>
      </c>
      <c r="D850" s="28">
        <f>D851+D852+D853+D854+D855</f>
        <v>0</v>
      </c>
      <c r="E850" s="28">
        <f>E851+E852+E853+E854+E855</f>
        <v>236800</v>
      </c>
      <c r="F850" s="28">
        <f>F851+F852+F853+F854+F855</f>
        <v>0</v>
      </c>
      <c r="G850" s="28">
        <f t="shared" si="13"/>
        <v>0</v>
      </c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</row>
    <row r="851" spans="1:221" s="29" customFormat="1" ht="12.75">
      <c r="A851" s="12" t="s">
        <v>1166</v>
      </c>
      <c r="B851" s="24" t="s">
        <v>1137</v>
      </c>
      <c r="C851" s="25">
        <v>0</v>
      </c>
      <c r="D851" s="25">
        <v>0</v>
      </c>
      <c r="E851" s="25">
        <v>0</v>
      </c>
      <c r="F851" s="25"/>
      <c r="G851" s="25">
        <f t="shared" si="13"/>
        <v>0</v>
      </c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</row>
    <row r="852" spans="1:221" s="29" customFormat="1" ht="12.75">
      <c r="A852" s="12" t="s">
        <v>1167</v>
      </c>
      <c r="B852" s="24" t="s">
        <v>251</v>
      </c>
      <c r="C852" s="25">
        <v>157250</v>
      </c>
      <c r="D852" s="25">
        <v>0</v>
      </c>
      <c r="E852" s="25">
        <v>157250</v>
      </c>
      <c r="F852" s="25"/>
      <c r="G852" s="25">
        <f t="shared" si="13"/>
        <v>0</v>
      </c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</row>
    <row r="853" spans="1:7" ht="12.75">
      <c r="A853" s="12" t="s">
        <v>1168</v>
      </c>
      <c r="B853" s="24" t="s">
        <v>1140</v>
      </c>
      <c r="C853" s="25">
        <v>0</v>
      </c>
      <c r="D853" s="25">
        <v>0</v>
      </c>
      <c r="E853" s="25">
        <v>0</v>
      </c>
      <c r="F853" s="25"/>
      <c r="G853" s="25">
        <f t="shared" si="13"/>
        <v>0</v>
      </c>
    </row>
    <row r="854" spans="1:7" ht="12.75">
      <c r="A854" s="12" t="s">
        <v>1169</v>
      </c>
      <c r="B854" s="24" t="s">
        <v>1142</v>
      </c>
      <c r="C854" s="25">
        <v>33300</v>
      </c>
      <c r="D854" s="25">
        <v>0</v>
      </c>
      <c r="E854" s="25">
        <v>33300</v>
      </c>
      <c r="F854" s="25"/>
      <c r="G854" s="25">
        <f t="shared" si="13"/>
        <v>0</v>
      </c>
    </row>
    <row r="855" spans="1:7" ht="12.75">
      <c r="A855" s="12" t="s">
        <v>1170</v>
      </c>
      <c r="B855" s="24" t="s">
        <v>1688</v>
      </c>
      <c r="C855" s="25">
        <v>46250</v>
      </c>
      <c r="D855" s="25">
        <v>0</v>
      </c>
      <c r="E855" s="25">
        <v>46250</v>
      </c>
      <c r="F855" s="25"/>
      <c r="G855" s="25">
        <f t="shared" si="13"/>
        <v>0</v>
      </c>
    </row>
    <row r="856" spans="1:221" s="29" customFormat="1" ht="12.75">
      <c r="A856" s="26" t="s">
        <v>1171</v>
      </c>
      <c r="B856" s="27" t="s">
        <v>1172</v>
      </c>
      <c r="C856" s="28">
        <f>SUM(C857:C861)</f>
        <v>146730</v>
      </c>
      <c r="D856" s="28">
        <f>SUM(D857:D861)</f>
        <v>0</v>
      </c>
      <c r="E856" s="28">
        <f>SUM(E857:E861)</f>
        <v>146670</v>
      </c>
      <c r="F856" s="28">
        <f>SUM(F857:F861)</f>
        <v>0</v>
      </c>
      <c r="G856" s="28">
        <f t="shared" si="13"/>
        <v>60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</row>
    <row r="857" spans="1:7" ht="12.75">
      <c r="A857" s="12" t="s">
        <v>1173</v>
      </c>
      <c r="B857" s="24" t="s">
        <v>1137</v>
      </c>
      <c r="C857" s="25">
        <v>10000</v>
      </c>
      <c r="D857" s="25">
        <v>0</v>
      </c>
      <c r="E857" s="25">
        <v>10000</v>
      </c>
      <c r="F857" s="25"/>
      <c r="G857" s="25">
        <f t="shared" si="13"/>
        <v>0</v>
      </c>
    </row>
    <row r="858" spans="1:7" ht="12.75">
      <c r="A858" s="12" t="s">
        <v>1174</v>
      </c>
      <c r="B858" s="24" t="s">
        <v>251</v>
      </c>
      <c r="C858" s="25">
        <v>92380</v>
      </c>
      <c r="D858" s="25">
        <v>0</v>
      </c>
      <c r="E858" s="25">
        <f>99820-7500</f>
        <v>92320</v>
      </c>
      <c r="F858" s="25"/>
      <c r="G858" s="25">
        <f t="shared" si="13"/>
        <v>60</v>
      </c>
    </row>
    <row r="859" spans="1:7" ht="12.75">
      <c r="A859" s="12" t="s">
        <v>1175</v>
      </c>
      <c r="B859" s="24" t="s">
        <v>1140</v>
      </c>
      <c r="C859" s="25">
        <v>5600</v>
      </c>
      <c r="D859" s="25">
        <v>0</v>
      </c>
      <c r="E859" s="25">
        <v>5600</v>
      </c>
      <c r="F859" s="25"/>
      <c r="G859" s="25">
        <f t="shared" si="13"/>
        <v>0</v>
      </c>
    </row>
    <row r="860" spans="1:7" ht="12.75">
      <c r="A860" s="12" t="s">
        <v>1176</v>
      </c>
      <c r="B860" s="24" t="s">
        <v>1142</v>
      </c>
      <c r="C860" s="25">
        <v>27900</v>
      </c>
      <c r="D860" s="25">
        <v>0</v>
      </c>
      <c r="E860" s="25">
        <v>27900</v>
      </c>
      <c r="F860" s="25"/>
      <c r="G860" s="25">
        <f t="shared" si="13"/>
        <v>0</v>
      </c>
    </row>
    <row r="861" spans="1:7" ht="12.75">
      <c r="A861" s="12" t="s">
        <v>1177</v>
      </c>
      <c r="B861" s="24" t="s">
        <v>1688</v>
      </c>
      <c r="C861" s="25">
        <v>10850</v>
      </c>
      <c r="D861" s="25">
        <v>0</v>
      </c>
      <c r="E861" s="25">
        <v>10850</v>
      </c>
      <c r="F861" s="25"/>
      <c r="G861" s="25">
        <f t="shared" si="13"/>
        <v>0</v>
      </c>
    </row>
    <row r="862" spans="1:221" s="29" customFormat="1" ht="12.75">
      <c r="A862" s="26" t="s">
        <v>1178</v>
      </c>
      <c r="B862" s="27" t="s">
        <v>875</v>
      </c>
      <c r="C862" s="28">
        <f>SUM(C863:C867)</f>
        <v>56130</v>
      </c>
      <c r="D862" s="28">
        <f>SUM(D863:D867)</f>
        <v>0</v>
      </c>
      <c r="E862" s="28">
        <f>SUM(E863:E867)</f>
        <v>56130</v>
      </c>
      <c r="F862" s="28">
        <f>SUM(F863:F867)</f>
        <v>0</v>
      </c>
      <c r="G862" s="28">
        <f t="shared" si="13"/>
        <v>0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</row>
    <row r="863" spans="1:7" ht="12.75">
      <c r="A863" s="12" t="s">
        <v>1179</v>
      </c>
      <c r="B863" s="24" t="s">
        <v>1137</v>
      </c>
      <c r="C863" s="25">
        <v>2800</v>
      </c>
      <c r="D863" s="25">
        <v>0</v>
      </c>
      <c r="E863" s="25">
        <v>2800</v>
      </c>
      <c r="F863" s="25"/>
      <c r="G863" s="25">
        <f t="shared" si="13"/>
        <v>0</v>
      </c>
    </row>
    <row r="864" spans="1:7" ht="12.75">
      <c r="A864" s="12" t="s">
        <v>1180</v>
      </c>
      <c r="B864" s="24" t="s">
        <v>251</v>
      </c>
      <c r="C864" s="25">
        <v>44640</v>
      </c>
      <c r="D864" s="25">
        <v>0</v>
      </c>
      <c r="E864" s="25">
        <v>44640</v>
      </c>
      <c r="F864" s="25"/>
      <c r="G864" s="25">
        <f t="shared" si="13"/>
        <v>0</v>
      </c>
    </row>
    <row r="865" spans="1:7" ht="12.75">
      <c r="A865" s="12" t="s">
        <v>1181</v>
      </c>
      <c r="B865" s="24" t="s">
        <v>1140</v>
      </c>
      <c r="C865" s="25">
        <v>2800</v>
      </c>
      <c r="D865" s="25">
        <v>0</v>
      </c>
      <c r="E865" s="25">
        <v>2800</v>
      </c>
      <c r="F865" s="25"/>
      <c r="G865" s="25">
        <f t="shared" si="13"/>
        <v>0</v>
      </c>
    </row>
    <row r="866" spans="1:7" ht="12.75">
      <c r="A866" s="12" t="s">
        <v>1182</v>
      </c>
      <c r="B866" s="24" t="s">
        <v>1142</v>
      </c>
      <c r="C866" s="25">
        <v>4340</v>
      </c>
      <c r="D866" s="25">
        <v>0</v>
      </c>
      <c r="E866" s="25">
        <v>4340</v>
      </c>
      <c r="F866" s="25"/>
      <c r="G866" s="25">
        <f t="shared" si="13"/>
        <v>0</v>
      </c>
    </row>
    <row r="867" spans="1:7" ht="12.75">
      <c r="A867" s="12" t="s">
        <v>1183</v>
      </c>
      <c r="B867" s="24" t="s">
        <v>1688</v>
      </c>
      <c r="C867" s="25">
        <v>1550</v>
      </c>
      <c r="D867" s="25">
        <v>0</v>
      </c>
      <c r="E867" s="25">
        <v>1550</v>
      </c>
      <c r="F867" s="25"/>
      <c r="G867" s="25">
        <f t="shared" si="13"/>
        <v>0</v>
      </c>
    </row>
    <row r="868" spans="1:7" ht="12.75">
      <c r="A868" s="26" t="s">
        <v>1184</v>
      </c>
      <c r="B868" s="27" t="s">
        <v>1185</v>
      </c>
      <c r="C868" s="44">
        <f>SUM(C869:C873)</f>
        <v>33600</v>
      </c>
      <c r="D868" s="44">
        <f>SUM(D869:D873)</f>
        <v>0</v>
      </c>
      <c r="E868" s="44">
        <f>SUM(E869:E873)</f>
        <v>33600</v>
      </c>
      <c r="F868" s="44">
        <f>SUM(F869:F873)</f>
        <v>0</v>
      </c>
      <c r="G868" s="44">
        <f t="shared" si="13"/>
        <v>0</v>
      </c>
    </row>
    <row r="869" spans="1:7" ht="12.75">
      <c r="A869" s="12" t="s">
        <v>1186</v>
      </c>
      <c r="B869" s="24" t="s">
        <v>1137</v>
      </c>
      <c r="C869" s="25">
        <v>5600</v>
      </c>
      <c r="D869" s="25">
        <v>0</v>
      </c>
      <c r="E869" s="25">
        <v>5600</v>
      </c>
      <c r="F869" s="25"/>
      <c r="G869" s="25">
        <f t="shared" si="13"/>
        <v>0</v>
      </c>
    </row>
    <row r="870" spans="1:7" ht="12.75">
      <c r="A870" s="12" t="s">
        <v>1187</v>
      </c>
      <c r="B870" s="24" t="s">
        <v>251</v>
      </c>
      <c r="C870" s="25">
        <v>11200</v>
      </c>
      <c r="D870" s="25">
        <v>0</v>
      </c>
      <c r="E870" s="25">
        <v>11200</v>
      </c>
      <c r="F870" s="25"/>
      <c r="G870" s="25">
        <f t="shared" si="13"/>
        <v>0</v>
      </c>
    </row>
    <row r="871" spans="1:7" ht="12.75">
      <c r="A871" s="12" t="s">
        <v>1188</v>
      </c>
      <c r="B871" s="24" t="s">
        <v>1140</v>
      </c>
      <c r="C871" s="25">
        <v>5600</v>
      </c>
      <c r="D871" s="25">
        <v>0</v>
      </c>
      <c r="E871" s="25">
        <v>5600</v>
      </c>
      <c r="F871" s="25"/>
      <c r="G871" s="25">
        <f t="shared" si="13"/>
        <v>0</v>
      </c>
    </row>
    <row r="872" spans="1:7" ht="12.75">
      <c r="A872" s="12" t="s">
        <v>1189</v>
      </c>
      <c r="B872" s="24" t="s">
        <v>1142</v>
      </c>
      <c r="C872" s="25">
        <v>8750</v>
      </c>
      <c r="D872" s="25">
        <v>0</v>
      </c>
      <c r="E872" s="25">
        <v>8750</v>
      </c>
      <c r="F872" s="25"/>
      <c r="G872" s="25">
        <f t="shared" si="13"/>
        <v>0</v>
      </c>
    </row>
    <row r="873" spans="1:7" ht="12.75">
      <c r="A873" s="12" t="s">
        <v>1190</v>
      </c>
      <c r="B873" s="24" t="s">
        <v>1688</v>
      </c>
      <c r="C873" s="25">
        <v>2450</v>
      </c>
      <c r="D873" s="25">
        <v>0</v>
      </c>
      <c r="E873" s="25">
        <v>2450</v>
      </c>
      <c r="F873" s="25"/>
      <c r="G873" s="25">
        <f t="shared" si="13"/>
        <v>0</v>
      </c>
    </row>
    <row r="874" spans="1:7" ht="12.75">
      <c r="A874" s="26" t="s">
        <v>1191</v>
      </c>
      <c r="B874" s="27" t="s">
        <v>1192</v>
      </c>
      <c r="C874" s="44">
        <f>SUM(C875:C883)</f>
        <v>135500</v>
      </c>
      <c r="D874" s="44">
        <f>SUM(D875:D883)</f>
        <v>1878.5</v>
      </c>
      <c r="E874" s="44">
        <f>SUM(E875:E883)</f>
        <v>125634</v>
      </c>
      <c r="F874" s="44">
        <f>SUM(F875:F883)</f>
        <v>0</v>
      </c>
      <c r="G874" s="44">
        <f t="shared" si="13"/>
        <v>7987.5</v>
      </c>
    </row>
    <row r="875" spans="1:7" ht="12.75">
      <c r="A875" s="12" t="s">
        <v>1193</v>
      </c>
      <c r="B875" s="24" t="s">
        <v>1194</v>
      </c>
      <c r="C875" s="25">
        <v>24500</v>
      </c>
      <c r="D875" s="25">
        <v>0</v>
      </c>
      <c r="E875" s="25">
        <v>24500</v>
      </c>
      <c r="F875" s="25"/>
      <c r="G875" s="25">
        <f t="shared" si="13"/>
        <v>0</v>
      </c>
    </row>
    <row r="876" spans="1:7" ht="12.75">
      <c r="A876" s="12" t="s">
        <v>1195</v>
      </c>
      <c r="B876" s="24" t="s">
        <v>1196</v>
      </c>
      <c r="C876" s="25">
        <v>6000</v>
      </c>
      <c r="D876" s="25">
        <v>0</v>
      </c>
      <c r="E876" s="25">
        <v>6000</v>
      </c>
      <c r="F876" s="25"/>
      <c r="G876" s="25">
        <f t="shared" si="13"/>
        <v>0</v>
      </c>
    </row>
    <row r="877" spans="1:7" ht="12.75">
      <c r="A877" s="12" t="s">
        <v>1197</v>
      </c>
      <c r="B877" s="24" t="s">
        <v>1198</v>
      </c>
      <c r="C877" s="25">
        <v>15000</v>
      </c>
      <c r="D877" s="25">
        <v>0</v>
      </c>
      <c r="E877" s="25">
        <v>15000</v>
      </c>
      <c r="F877" s="25"/>
      <c r="G877" s="25">
        <f t="shared" si="13"/>
        <v>0</v>
      </c>
    </row>
    <row r="878" spans="1:7" ht="12.75">
      <c r="A878" s="12" t="s">
        <v>1199</v>
      </c>
      <c r="B878" s="24" t="s">
        <v>1200</v>
      </c>
      <c r="C878" s="25">
        <v>30000</v>
      </c>
      <c r="D878" s="25">
        <v>0</v>
      </c>
      <c r="E878" s="25">
        <v>34366</v>
      </c>
      <c r="F878" s="25"/>
      <c r="G878" s="25">
        <f t="shared" si="13"/>
        <v>-4366</v>
      </c>
    </row>
    <row r="879" spans="1:7" ht="12.75">
      <c r="A879" s="12" t="s">
        <v>1201</v>
      </c>
      <c r="B879" s="24" t="s">
        <v>1202</v>
      </c>
      <c r="C879" s="25">
        <v>5000</v>
      </c>
      <c r="D879" s="25">
        <v>0</v>
      </c>
      <c r="E879" s="25">
        <v>5000</v>
      </c>
      <c r="F879" s="25"/>
      <c r="G879" s="25">
        <f t="shared" si="13"/>
        <v>0</v>
      </c>
    </row>
    <row r="880" spans="1:7" ht="12.75">
      <c r="A880" s="12" t="s">
        <v>1203</v>
      </c>
      <c r="B880" s="24" t="s">
        <v>1204</v>
      </c>
      <c r="C880" s="25">
        <v>15000</v>
      </c>
      <c r="D880" s="25">
        <v>0</v>
      </c>
      <c r="E880" s="25">
        <v>15000</v>
      </c>
      <c r="F880" s="25"/>
      <c r="G880" s="25">
        <f t="shared" si="13"/>
        <v>0</v>
      </c>
    </row>
    <row r="881" spans="1:7" ht="12.75">
      <c r="A881" s="12" t="s">
        <v>1205</v>
      </c>
      <c r="B881" s="24" t="s">
        <v>129</v>
      </c>
      <c r="C881" s="25">
        <v>35000</v>
      </c>
      <c r="D881" s="25">
        <f>1332.5+546</f>
        <v>1878.5</v>
      </c>
      <c r="E881" s="25">
        <v>25768</v>
      </c>
      <c r="F881" s="25"/>
      <c r="G881" s="25">
        <f t="shared" si="13"/>
        <v>7353.5</v>
      </c>
    </row>
    <row r="882" spans="1:7" ht="12.75">
      <c r="A882" s="12" t="s">
        <v>1206</v>
      </c>
      <c r="B882" s="24" t="s">
        <v>1207</v>
      </c>
      <c r="C882" s="25">
        <v>0</v>
      </c>
      <c r="D882" s="25">
        <v>0</v>
      </c>
      <c r="E882" s="25">
        <v>0</v>
      </c>
      <c r="F882" s="25"/>
      <c r="G882" s="25">
        <f t="shared" si="13"/>
        <v>0</v>
      </c>
    </row>
    <row r="883" spans="1:7" ht="12.75">
      <c r="A883" s="12" t="s">
        <v>1208</v>
      </c>
      <c r="B883" s="24" t="s">
        <v>1209</v>
      </c>
      <c r="C883" s="25">
        <v>5000</v>
      </c>
      <c r="D883" s="25">
        <v>0</v>
      </c>
      <c r="E883" s="25">
        <v>0</v>
      </c>
      <c r="F883" s="25"/>
      <c r="G883" s="25">
        <f t="shared" si="13"/>
        <v>5000</v>
      </c>
    </row>
    <row r="884" spans="1:7" ht="12.75">
      <c r="A884" s="26" t="s">
        <v>1210</v>
      </c>
      <c r="B884" s="27" t="s">
        <v>1211</v>
      </c>
      <c r="C884" s="44">
        <f>SUM(C885:C893)</f>
        <v>81870</v>
      </c>
      <c r="D884" s="44">
        <f>SUM(D885:D893)</f>
        <v>0</v>
      </c>
      <c r="E884" s="44">
        <f>SUM(E885:E893)</f>
        <v>82298.6</v>
      </c>
      <c r="F884" s="44">
        <f>SUM(F885:F893)</f>
        <v>0</v>
      </c>
      <c r="G884" s="44">
        <f t="shared" si="13"/>
        <v>-428.6000000000058</v>
      </c>
    </row>
    <row r="885" spans="1:7" ht="12.75">
      <c r="A885" s="12" t="s">
        <v>1212</v>
      </c>
      <c r="B885" s="24" t="s">
        <v>1213</v>
      </c>
      <c r="C885" s="25">
        <v>31200</v>
      </c>
      <c r="D885" s="25">
        <v>0</v>
      </c>
      <c r="E885" s="25">
        <v>31628.6</v>
      </c>
      <c r="F885" s="25"/>
      <c r="G885" s="25">
        <f t="shared" si="13"/>
        <v>-428.59999999999854</v>
      </c>
    </row>
    <row r="886" spans="1:7" ht="12.75">
      <c r="A886" s="12" t="s">
        <v>1214</v>
      </c>
      <c r="B886" s="24" t="s">
        <v>1215</v>
      </c>
      <c r="C886" s="25">
        <v>21600</v>
      </c>
      <c r="D886" s="25">
        <v>0</v>
      </c>
      <c r="E886" s="25">
        <v>21600</v>
      </c>
      <c r="F886" s="25"/>
      <c r="G886" s="25">
        <f t="shared" si="13"/>
        <v>0</v>
      </c>
    </row>
    <row r="887" spans="1:7" ht="12.75">
      <c r="A887" s="12" t="s">
        <v>1216</v>
      </c>
      <c r="B887" s="24" t="s">
        <v>1217</v>
      </c>
      <c r="C887" s="25">
        <v>570</v>
      </c>
      <c r="D887" s="25">
        <v>0</v>
      </c>
      <c r="E887" s="25">
        <v>570</v>
      </c>
      <c r="F887" s="25"/>
      <c r="G887" s="25">
        <f t="shared" si="13"/>
        <v>0</v>
      </c>
    </row>
    <row r="888" spans="1:7" ht="12.75">
      <c r="A888" s="12" t="s">
        <v>1218</v>
      </c>
      <c r="B888" s="24" t="s">
        <v>1219</v>
      </c>
      <c r="C888" s="25">
        <v>13300</v>
      </c>
      <c r="D888" s="25">
        <v>0</v>
      </c>
      <c r="E888" s="25">
        <v>13300</v>
      </c>
      <c r="F888" s="25"/>
      <c r="G888" s="25">
        <f t="shared" si="13"/>
        <v>0</v>
      </c>
    </row>
    <row r="889" spans="1:7" ht="12.75">
      <c r="A889" s="12" t="s">
        <v>1220</v>
      </c>
      <c r="B889" s="24" t="s">
        <v>1221</v>
      </c>
      <c r="C889" s="25">
        <v>1000</v>
      </c>
      <c r="D889" s="25">
        <v>0</v>
      </c>
      <c r="E889" s="25">
        <v>1000</v>
      </c>
      <c r="F889" s="25"/>
      <c r="G889" s="25">
        <f t="shared" si="13"/>
        <v>0</v>
      </c>
    </row>
    <row r="890" spans="1:7" ht="12.75">
      <c r="A890" s="12" t="s">
        <v>1222</v>
      </c>
      <c r="B890" s="24" t="s">
        <v>1223</v>
      </c>
      <c r="C890" s="25">
        <v>200</v>
      </c>
      <c r="D890" s="25">
        <v>0</v>
      </c>
      <c r="E890" s="25">
        <v>200</v>
      </c>
      <c r="F890" s="25"/>
      <c r="G890" s="25">
        <f t="shared" si="13"/>
        <v>0</v>
      </c>
    </row>
    <row r="891" spans="1:7" ht="12.75">
      <c r="A891" s="12" t="s">
        <v>1224</v>
      </c>
      <c r="B891" s="24" t="s">
        <v>1225</v>
      </c>
      <c r="C891" s="25">
        <v>2000</v>
      </c>
      <c r="D891" s="25">
        <v>0</v>
      </c>
      <c r="E891" s="25">
        <v>2000</v>
      </c>
      <c r="F891" s="25"/>
      <c r="G891" s="25">
        <f t="shared" si="13"/>
        <v>0</v>
      </c>
    </row>
    <row r="892" spans="1:7" ht="12.75">
      <c r="A892" s="12" t="s">
        <v>1226</v>
      </c>
      <c r="B892" s="24" t="s">
        <v>1399</v>
      </c>
      <c r="C892" s="25">
        <v>10500</v>
      </c>
      <c r="D892" s="25">
        <v>0</v>
      </c>
      <c r="E892" s="25">
        <v>10500</v>
      </c>
      <c r="F892" s="25"/>
      <c r="G892" s="25">
        <f t="shared" si="13"/>
        <v>0</v>
      </c>
    </row>
    <row r="893" spans="1:7" ht="12.75">
      <c r="A893" s="12" t="s">
        <v>1227</v>
      </c>
      <c r="B893" s="24" t="s">
        <v>1400</v>
      </c>
      <c r="C893" s="25">
        <v>1500</v>
      </c>
      <c r="D893" s="25">
        <v>0</v>
      </c>
      <c r="E893" s="25">
        <v>1500</v>
      </c>
      <c r="F893" s="25"/>
      <c r="G893" s="25">
        <f t="shared" si="13"/>
        <v>0</v>
      </c>
    </row>
    <row r="894" spans="1:7" ht="12.75">
      <c r="A894" s="26" t="s">
        <v>1228</v>
      </c>
      <c r="B894" s="27" t="s">
        <v>1229</v>
      </c>
      <c r="C894" s="44">
        <f>SUM(C895:C900)</f>
        <v>5000</v>
      </c>
      <c r="D894" s="44">
        <f>SUM(D895:D900)</f>
        <v>0</v>
      </c>
      <c r="E894" s="44">
        <f>SUM(E895:E900)</f>
        <v>5000</v>
      </c>
      <c r="F894" s="44">
        <f>SUM(F895:F900)</f>
        <v>0</v>
      </c>
      <c r="G894" s="44">
        <f t="shared" si="13"/>
        <v>0</v>
      </c>
    </row>
    <row r="895" spans="1:7" ht="12.75">
      <c r="A895" s="12" t="s">
        <v>1230</v>
      </c>
      <c r="B895" s="24" t="s">
        <v>1137</v>
      </c>
      <c r="C895" s="25">
        <v>0</v>
      </c>
      <c r="D895" s="25">
        <v>0</v>
      </c>
      <c r="E895" s="25">
        <v>0</v>
      </c>
      <c r="F895" s="25"/>
      <c r="G895" s="25">
        <f t="shared" si="13"/>
        <v>0</v>
      </c>
    </row>
    <row r="896" spans="1:7" ht="12.75">
      <c r="A896" s="12" t="s">
        <v>1231</v>
      </c>
      <c r="B896" s="24" t="s">
        <v>251</v>
      </c>
      <c r="C896" s="25">
        <v>0</v>
      </c>
      <c r="D896" s="25">
        <v>0</v>
      </c>
      <c r="E896" s="25">
        <v>0</v>
      </c>
      <c r="F896" s="25"/>
      <c r="G896" s="25">
        <f t="shared" si="13"/>
        <v>0</v>
      </c>
    </row>
    <row r="897" spans="1:7" ht="12.75">
      <c r="A897" s="12" t="s">
        <v>1232</v>
      </c>
      <c r="B897" s="24" t="s">
        <v>1140</v>
      </c>
      <c r="C897" s="25">
        <v>0</v>
      </c>
      <c r="D897" s="25">
        <v>0</v>
      </c>
      <c r="E897" s="25">
        <v>0</v>
      </c>
      <c r="F897" s="25"/>
      <c r="G897" s="25">
        <f t="shared" si="13"/>
        <v>0</v>
      </c>
    </row>
    <row r="898" spans="1:7" ht="12.75">
      <c r="A898" s="12" t="s">
        <v>1233</v>
      </c>
      <c r="B898" s="24" t="s">
        <v>1142</v>
      </c>
      <c r="C898" s="25">
        <v>0</v>
      </c>
      <c r="D898" s="25">
        <v>0</v>
      </c>
      <c r="E898" s="25">
        <v>0</v>
      </c>
      <c r="F898" s="25"/>
      <c r="G898" s="25">
        <f t="shared" si="13"/>
        <v>0</v>
      </c>
    </row>
    <row r="899" spans="1:7" ht="12.75">
      <c r="A899" s="12" t="s">
        <v>1234</v>
      </c>
      <c r="B899" s="24" t="s">
        <v>1688</v>
      </c>
      <c r="C899" s="25">
        <v>0</v>
      </c>
      <c r="D899" s="25">
        <v>0</v>
      </c>
      <c r="E899" s="25">
        <v>0</v>
      </c>
      <c r="F899" s="25"/>
      <c r="G899" s="25">
        <f t="shared" si="13"/>
        <v>0</v>
      </c>
    </row>
    <row r="900" spans="1:7" ht="12.75">
      <c r="A900" s="12" t="s">
        <v>1235</v>
      </c>
      <c r="B900" s="24" t="s">
        <v>1236</v>
      </c>
      <c r="C900" s="25">
        <v>5000</v>
      </c>
      <c r="D900" s="25">
        <v>0</v>
      </c>
      <c r="E900" s="25">
        <v>5000</v>
      </c>
      <c r="F900" s="25"/>
      <c r="G900" s="25">
        <f t="shared" si="13"/>
        <v>0</v>
      </c>
    </row>
    <row r="901" spans="1:7" ht="12.75">
      <c r="A901" s="26" t="s">
        <v>1237</v>
      </c>
      <c r="B901" s="27" t="s">
        <v>1238</v>
      </c>
      <c r="C901" s="44">
        <f>SUM(C902:C906)</f>
        <v>30500</v>
      </c>
      <c r="D901" s="44">
        <f>SUM(D902:D906)</f>
        <v>0</v>
      </c>
      <c r="E901" s="44">
        <f>SUM(E902:E906)</f>
        <v>29000</v>
      </c>
      <c r="F901" s="44">
        <f>SUM(F902:F906)</f>
        <v>0</v>
      </c>
      <c r="G901" s="44">
        <f t="shared" si="13"/>
        <v>1500</v>
      </c>
    </row>
    <row r="902" spans="1:7" ht="12.75">
      <c r="A902" s="12" t="s">
        <v>1239</v>
      </c>
      <c r="B902" s="24" t="s">
        <v>1240</v>
      </c>
      <c r="C902" s="25">
        <v>4500</v>
      </c>
      <c r="D902" s="25">
        <v>0</v>
      </c>
      <c r="E902" s="25">
        <v>3000</v>
      </c>
      <c r="F902" s="25"/>
      <c r="G902" s="25">
        <f aca="true" t="shared" si="14" ref="G902:G965">C902-D902-E902</f>
        <v>1500</v>
      </c>
    </row>
    <row r="903" spans="1:7" ht="12.75">
      <c r="A903" s="12" t="s">
        <v>1241</v>
      </c>
      <c r="B903" s="24" t="s">
        <v>1242</v>
      </c>
      <c r="C903" s="25">
        <v>5000</v>
      </c>
      <c r="D903" s="25">
        <v>0</v>
      </c>
      <c r="E903" s="25">
        <v>5000</v>
      </c>
      <c r="F903" s="25"/>
      <c r="G903" s="25">
        <f t="shared" si="14"/>
        <v>0</v>
      </c>
    </row>
    <row r="904" spans="1:7" ht="12.75">
      <c r="A904" s="12" t="s">
        <v>1243</v>
      </c>
      <c r="B904" s="24" t="s">
        <v>1244</v>
      </c>
      <c r="C904" s="25">
        <v>6000</v>
      </c>
      <c r="D904" s="25">
        <v>0</v>
      </c>
      <c r="E904" s="25">
        <v>6000</v>
      </c>
      <c r="F904" s="25"/>
      <c r="G904" s="25">
        <f t="shared" si="14"/>
        <v>0</v>
      </c>
    </row>
    <row r="905" spans="1:7" ht="12.75">
      <c r="A905" s="12" t="s">
        <v>719</v>
      </c>
      <c r="B905" s="24" t="s">
        <v>721</v>
      </c>
      <c r="C905" s="25">
        <v>7500</v>
      </c>
      <c r="D905" s="25">
        <v>0</v>
      </c>
      <c r="E905" s="25">
        <v>7500</v>
      </c>
      <c r="F905" s="25"/>
      <c r="G905" s="25">
        <f t="shared" si="14"/>
        <v>0</v>
      </c>
    </row>
    <row r="906" spans="1:7" ht="12.75">
      <c r="A906" s="12" t="s">
        <v>720</v>
      </c>
      <c r="B906" s="24" t="s">
        <v>722</v>
      </c>
      <c r="C906" s="25">
        <v>7500</v>
      </c>
      <c r="D906" s="25">
        <v>0</v>
      </c>
      <c r="E906" s="25">
        <v>7500</v>
      </c>
      <c r="F906" s="25"/>
      <c r="G906" s="25">
        <f t="shared" si="14"/>
        <v>0</v>
      </c>
    </row>
    <row r="907" spans="1:221" s="23" customFormat="1" ht="12.75">
      <c r="A907" s="20" t="s">
        <v>1245</v>
      </c>
      <c r="B907" s="21" t="s">
        <v>1246</v>
      </c>
      <c r="C907" s="38">
        <f>SUM(C908:C913)</f>
        <v>257834</v>
      </c>
      <c r="D907" s="38">
        <f>SUM(D908:D913)</f>
        <v>13560</v>
      </c>
      <c r="E907" s="38">
        <f>SUM(E908:E913)</f>
        <v>47058.28</v>
      </c>
      <c r="F907" s="38">
        <f>SUM(F908:F913)</f>
        <v>0</v>
      </c>
      <c r="G907" s="38">
        <f t="shared" si="14"/>
        <v>197215.72</v>
      </c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</row>
    <row r="908" spans="1:7" ht="12.75">
      <c r="A908" s="12" t="s">
        <v>1247</v>
      </c>
      <c r="B908" s="24" t="s">
        <v>1248</v>
      </c>
      <c r="C908" s="25">
        <f>27120+15534+3776+11099+59743</f>
        <v>117272</v>
      </c>
      <c r="D908" s="25">
        <v>0</v>
      </c>
      <c r="E908" s="25">
        <v>9840.33</v>
      </c>
      <c r="F908" s="25"/>
      <c r="G908" s="25">
        <f t="shared" si="14"/>
        <v>107431.67</v>
      </c>
    </row>
    <row r="909" spans="1:7" ht="12.75">
      <c r="A909" s="12" t="s">
        <v>1249</v>
      </c>
      <c r="B909" s="24" t="s">
        <v>1250</v>
      </c>
      <c r="C909" s="25">
        <f>95600-15534</f>
        <v>80066</v>
      </c>
      <c r="D909" s="25">
        <v>0</v>
      </c>
      <c r="E909" s="25">
        <v>37217.95</v>
      </c>
      <c r="F909" s="25"/>
      <c r="G909" s="25">
        <f t="shared" si="14"/>
        <v>42848.05</v>
      </c>
    </row>
    <row r="910" spans="1:7" ht="12.75">
      <c r="A910" s="12" t="s">
        <v>1251</v>
      </c>
      <c r="B910" s="24" t="s">
        <v>1252</v>
      </c>
      <c r="C910" s="25">
        <f>8780-3776</f>
        <v>5004</v>
      </c>
      <c r="D910" s="25">
        <v>0</v>
      </c>
      <c r="E910" s="25">
        <v>0</v>
      </c>
      <c r="F910" s="25"/>
      <c r="G910" s="25">
        <f t="shared" si="14"/>
        <v>5004</v>
      </c>
    </row>
    <row r="911" spans="1:7" ht="12.75">
      <c r="A911" s="12" t="s">
        <v>1253</v>
      </c>
      <c r="B911" s="24" t="s">
        <v>1254</v>
      </c>
      <c r="C911" s="25">
        <v>10536</v>
      </c>
      <c r="D911" s="25">
        <v>0</v>
      </c>
      <c r="E911" s="25">
        <v>0</v>
      </c>
      <c r="F911" s="25"/>
      <c r="G911" s="25">
        <f t="shared" si="14"/>
        <v>10536</v>
      </c>
    </row>
    <row r="912" spans="1:7" ht="12.75">
      <c r="A912" s="12" t="s">
        <v>1255</v>
      </c>
      <c r="B912" s="24" t="s">
        <v>1256</v>
      </c>
      <c r="C912" s="25">
        <f>51237-11099</f>
        <v>40138</v>
      </c>
      <c r="D912" s="25">
        <f>11000+2560</f>
        <v>13560</v>
      </c>
      <c r="E912" s="25">
        <v>0</v>
      </c>
      <c r="F912" s="25"/>
      <c r="G912" s="25">
        <f t="shared" si="14"/>
        <v>26578</v>
      </c>
    </row>
    <row r="913" spans="1:7" ht="12.75">
      <c r="A913" s="12" t="s">
        <v>1257</v>
      </c>
      <c r="B913" s="24" t="s">
        <v>1258</v>
      </c>
      <c r="C913" s="25">
        <v>4818</v>
      </c>
      <c r="D913" s="25">
        <v>0</v>
      </c>
      <c r="E913" s="25">
        <v>0</v>
      </c>
      <c r="F913" s="25"/>
      <c r="G913" s="25">
        <f t="shared" si="14"/>
        <v>4818</v>
      </c>
    </row>
    <row r="914" spans="1:221" s="19" customFormat="1" ht="12.75">
      <c r="A914" s="16" t="s">
        <v>1259</v>
      </c>
      <c r="B914" s="17" t="s">
        <v>1260</v>
      </c>
      <c r="C914" s="18">
        <f>C915+C919+C952+C953+C956+C960+C961+C962+C963</f>
        <v>2047110</v>
      </c>
      <c r="D914" s="18">
        <f>D915+D919+D952+D953+D956+D960+D961+D962+D963</f>
        <v>0</v>
      </c>
      <c r="E914" s="18">
        <f>E915+E919+E952+E953+E956+E960+E961+E962+E963</f>
        <v>1026302</v>
      </c>
      <c r="F914" s="18">
        <f>F915+F919+F952+F953+F956+F960+F961+F962+F963</f>
        <v>546672</v>
      </c>
      <c r="G914" s="18">
        <f>G915+G919+G952+G953+G956+G960+G961+G962+G963</f>
        <v>474136</v>
      </c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</row>
    <row r="915" spans="1:221" s="23" customFormat="1" ht="12.75">
      <c r="A915" s="20" t="s">
        <v>1261</v>
      </c>
      <c r="B915" s="21" t="s">
        <v>1262</v>
      </c>
      <c r="C915" s="22">
        <f>SUM(C916:C918)</f>
        <v>265564</v>
      </c>
      <c r="D915" s="22">
        <f>SUM(D916:D918)</f>
        <v>0</v>
      </c>
      <c r="E915" s="22">
        <f>SUM(E916:E918)</f>
        <v>265564</v>
      </c>
      <c r="F915" s="22">
        <f>SUM(F916:F918)</f>
        <v>0</v>
      </c>
      <c r="G915" s="22">
        <f t="shared" si="14"/>
        <v>0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</row>
    <row r="916" spans="1:7" ht="12.75">
      <c r="A916" s="12" t="s">
        <v>1263</v>
      </c>
      <c r="B916" s="24" t="s">
        <v>1264</v>
      </c>
      <c r="C916" s="25">
        <v>104564</v>
      </c>
      <c r="D916" s="25">
        <v>0</v>
      </c>
      <c r="E916" s="25">
        <v>104564</v>
      </c>
      <c r="F916" s="25"/>
      <c r="G916" s="25">
        <f t="shared" si="14"/>
        <v>0</v>
      </c>
    </row>
    <row r="917" spans="1:7" ht="12.75">
      <c r="A917" s="12" t="s">
        <v>1265</v>
      </c>
      <c r="B917" s="24" t="s">
        <v>1266</v>
      </c>
      <c r="C917" s="25">
        <v>100000</v>
      </c>
      <c r="D917" s="25">
        <v>0</v>
      </c>
      <c r="E917" s="25">
        <v>100000</v>
      </c>
      <c r="F917" s="25"/>
      <c r="G917" s="25">
        <f t="shared" si="14"/>
        <v>0</v>
      </c>
    </row>
    <row r="918" spans="1:7" ht="12.75">
      <c r="A918" s="12" t="s">
        <v>1267</v>
      </c>
      <c r="B918" s="24" t="s">
        <v>1268</v>
      </c>
      <c r="C918" s="25">
        <v>61000</v>
      </c>
      <c r="D918" s="25">
        <v>0</v>
      </c>
      <c r="E918" s="25">
        <v>61000</v>
      </c>
      <c r="F918" s="25"/>
      <c r="G918" s="25">
        <f t="shared" si="14"/>
        <v>0</v>
      </c>
    </row>
    <row r="919" spans="1:221" s="23" customFormat="1" ht="12.75">
      <c r="A919" s="20" t="s">
        <v>1269</v>
      </c>
      <c r="B919" s="21" t="s">
        <v>1270</v>
      </c>
      <c r="C919" s="22">
        <f>C920+C924+C928+C932+C936+C940+C944+C945+C946+C947</f>
        <v>1445046</v>
      </c>
      <c r="D919" s="22">
        <f>D920+D924+D928+D932+D936+D940+D944+D945+D946+D947</f>
        <v>0</v>
      </c>
      <c r="E919" s="22">
        <f>E920+E924+E928+E932+E936+E940+E944+E945+E946+E947</f>
        <v>574738</v>
      </c>
      <c r="F919" s="22">
        <f>F920+F924+F928+F932+F936+F940+F944+F945+F946+F947</f>
        <v>446672</v>
      </c>
      <c r="G919" s="22">
        <f>G920+G924+G928+G932+G936+G940+G944+G945+G946+G947</f>
        <v>423636</v>
      </c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</row>
    <row r="920" spans="1:221" s="43" customFormat="1" ht="12.75">
      <c r="A920" s="26" t="s">
        <v>1271</v>
      </c>
      <c r="B920" s="49" t="s">
        <v>1272</v>
      </c>
      <c r="C920" s="42">
        <f>SUM(C921:C923)</f>
        <v>300758</v>
      </c>
      <c r="D920" s="42">
        <f>SUM(D921:D923)</f>
        <v>0</v>
      </c>
      <c r="E920" s="42">
        <f>SUM(E921:E923)</f>
        <v>75005</v>
      </c>
      <c r="F920" s="42">
        <f>SUM(F921:F923)</f>
        <v>142737</v>
      </c>
      <c r="G920" s="42">
        <f>SUM(G921:G923)</f>
        <v>83016</v>
      </c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</row>
    <row r="921" spans="1:7" ht="12.75">
      <c r="A921" s="12" t="s">
        <v>1273</v>
      </c>
      <c r="B921" s="24" t="s">
        <v>1416</v>
      </c>
      <c r="C921" s="25">
        <v>5000</v>
      </c>
      <c r="D921" s="25">
        <v>0</v>
      </c>
      <c r="E921" s="25">
        <v>0</v>
      </c>
      <c r="F921" s="25"/>
      <c r="G921" s="25">
        <f t="shared" si="14"/>
        <v>5000</v>
      </c>
    </row>
    <row r="922" spans="1:7" ht="12.75">
      <c r="A922" s="12" t="s">
        <v>1274</v>
      </c>
      <c r="B922" s="24" t="s">
        <v>1275</v>
      </c>
      <c r="C922" s="25">
        <f>64163-7672</f>
        <v>56491</v>
      </c>
      <c r="D922" s="25">
        <v>0</v>
      </c>
      <c r="E922" s="25">
        <f>64163-62163</f>
        <v>2000</v>
      </c>
      <c r="F922" s="25"/>
      <c r="G922" s="25">
        <f t="shared" si="14"/>
        <v>54491</v>
      </c>
    </row>
    <row r="923" spans="1:7" ht="12.75">
      <c r="A923" s="45" t="s">
        <v>1276</v>
      </c>
      <c r="B923" s="45" t="s">
        <v>1277</v>
      </c>
      <c r="C923" s="25">
        <f>177482+61785</f>
        <v>239267</v>
      </c>
      <c r="D923" s="25">
        <v>0</v>
      </c>
      <c r="E923" s="25">
        <f>119982-58719-12258+24000</f>
        <v>73005</v>
      </c>
      <c r="F923" s="25">
        <f>57500+85237</f>
        <v>142737</v>
      </c>
      <c r="G923" s="25">
        <f>C923-D923-E923-F923</f>
        <v>23525</v>
      </c>
    </row>
    <row r="924" spans="1:221" s="29" customFormat="1" ht="12.75">
      <c r="A924" s="26" t="s">
        <v>1278</v>
      </c>
      <c r="B924" s="27" t="s">
        <v>1279</v>
      </c>
      <c r="C924" s="44">
        <f>SUM(C925:C927)</f>
        <v>390000</v>
      </c>
      <c r="D924" s="44">
        <f>SUM(D925:D927)</f>
        <v>0</v>
      </c>
      <c r="E924" s="44">
        <f>SUM(E925:E927)</f>
        <v>235000</v>
      </c>
      <c r="F924" s="44">
        <f>SUM(F925:F927)</f>
        <v>0</v>
      </c>
      <c r="G924" s="44">
        <f t="shared" si="14"/>
        <v>155000</v>
      </c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</row>
    <row r="925" spans="1:7" ht="12.75">
      <c r="A925" s="12" t="s">
        <v>1280</v>
      </c>
      <c r="B925" s="24" t="s">
        <v>1416</v>
      </c>
      <c r="C925" s="25">
        <f>96000+108000</f>
        <v>204000</v>
      </c>
      <c r="D925" s="25">
        <v>0</v>
      </c>
      <c r="E925" s="25">
        <f>80000+20000</f>
        <v>100000</v>
      </c>
      <c r="F925" s="25"/>
      <c r="G925" s="25">
        <f t="shared" si="14"/>
        <v>104000</v>
      </c>
    </row>
    <row r="926" spans="1:7" ht="12.75">
      <c r="A926" s="12" t="s">
        <v>1281</v>
      </c>
      <c r="B926" s="24" t="s">
        <v>1275</v>
      </c>
      <c r="C926" s="25">
        <f>25000+8000</f>
        <v>33000</v>
      </c>
      <c r="D926" s="25">
        <v>0</v>
      </c>
      <c r="E926" s="25">
        <v>25000</v>
      </c>
      <c r="F926" s="25"/>
      <c r="G926" s="25">
        <f t="shared" si="14"/>
        <v>8000</v>
      </c>
    </row>
    <row r="927" spans="1:7" ht="12.75">
      <c r="A927" s="12" t="s">
        <v>1282</v>
      </c>
      <c r="B927" s="24" t="s">
        <v>1277</v>
      </c>
      <c r="C927" s="25">
        <f>132000+21000</f>
        <v>153000</v>
      </c>
      <c r="D927" s="25">
        <v>0</v>
      </c>
      <c r="E927" s="25">
        <v>110000</v>
      </c>
      <c r="F927" s="25"/>
      <c r="G927" s="25">
        <f t="shared" si="14"/>
        <v>43000</v>
      </c>
    </row>
    <row r="928" spans="1:221" s="29" customFormat="1" ht="12.75">
      <c r="A928" s="26" t="s">
        <v>1283</v>
      </c>
      <c r="B928" s="27" t="s">
        <v>1284</v>
      </c>
      <c r="C928" s="44">
        <f>SUM(C929:C931)</f>
        <v>291772</v>
      </c>
      <c r="D928" s="44">
        <f>SUM(D929:D931)</f>
        <v>0</v>
      </c>
      <c r="E928" s="44">
        <f>SUM(E929:E931)</f>
        <v>120000</v>
      </c>
      <c r="F928" s="44">
        <f>SUM(F929:F931)</f>
        <v>171772</v>
      </c>
      <c r="G928" s="44">
        <f>SUM(G929:G931)</f>
        <v>0</v>
      </c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</row>
    <row r="929" spans="1:7" ht="12.75">
      <c r="A929" s="12" t="s">
        <v>1285</v>
      </c>
      <c r="B929" s="24" t="s">
        <v>1416</v>
      </c>
      <c r="C929" s="25">
        <f>131520-14802</f>
        <v>116718</v>
      </c>
      <c r="D929" s="25">
        <v>0</v>
      </c>
      <c r="E929" s="25">
        <f>120000-20000</f>
        <v>100000</v>
      </c>
      <c r="F929" s="25">
        <v>16718</v>
      </c>
      <c r="G929" s="25">
        <f>C929-D929-E929-F929</f>
        <v>0</v>
      </c>
    </row>
    <row r="930" spans="1:7" ht="12.75">
      <c r="A930" s="12" t="s">
        <v>1286</v>
      </c>
      <c r="B930" s="24" t="s">
        <v>1275</v>
      </c>
      <c r="C930" s="25">
        <f>34959-2748</f>
        <v>32211</v>
      </c>
      <c r="D930" s="25">
        <v>0</v>
      </c>
      <c r="E930" s="25">
        <f>34959-14959</f>
        <v>20000</v>
      </c>
      <c r="F930" s="25">
        <v>12211</v>
      </c>
      <c r="G930" s="25">
        <f>C930-D930-E930-F930</f>
        <v>0</v>
      </c>
    </row>
    <row r="931" spans="1:7" ht="12.75">
      <c r="A931" s="45" t="s">
        <v>1287</v>
      </c>
      <c r="B931" s="45" t="s">
        <v>1277</v>
      </c>
      <c r="C931" s="25">
        <f>297778-154935</f>
        <v>142843</v>
      </c>
      <c r="D931" s="25">
        <v>0</v>
      </c>
      <c r="E931" s="25">
        <f>21246-21246</f>
        <v>0</v>
      </c>
      <c r="F931" s="25">
        <f>174000-31157</f>
        <v>142843</v>
      </c>
      <c r="G931" s="25">
        <f>C931-D931-E931-F931</f>
        <v>0</v>
      </c>
    </row>
    <row r="932" spans="1:221" s="29" customFormat="1" ht="12.75">
      <c r="A932" s="26" t="s">
        <v>1288</v>
      </c>
      <c r="B932" s="27" t="s">
        <v>1289</v>
      </c>
      <c r="C932" s="44">
        <f>SUM(C933:C935)</f>
        <v>61400</v>
      </c>
      <c r="D932" s="44">
        <f>SUM(D933:D935)</f>
        <v>0</v>
      </c>
      <c r="E932" s="44">
        <f>SUM(E933:E935)</f>
        <v>39708</v>
      </c>
      <c r="F932" s="44">
        <f>SUM(F933:F935)</f>
        <v>0</v>
      </c>
      <c r="G932" s="44">
        <f t="shared" si="14"/>
        <v>21692</v>
      </c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</row>
    <row r="933" spans="1:7" ht="12.75">
      <c r="A933" s="12" t="s">
        <v>1290</v>
      </c>
      <c r="B933" s="24" t="s">
        <v>1416</v>
      </c>
      <c r="C933" s="25">
        <f>5000+9400</f>
        <v>14400</v>
      </c>
      <c r="D933" s="25">
        <v>0</v>
      </c>
      <c r="E933" s="25">
        <v>5000</v>
      </c>
      <c r="F933" s="25"/>
      <c r="G933" s="25">
        <f t="shared" si="14"/>
        <v>9400</v>
      </c>
    </row>
    <row r="934" spans="1:7" ht="12.75">
      <c r="A934" s="12" t="s">
        <v>1291</v>
      </c>
      <c r="B934" s="24" t="s">
        <v>1275</v>
      </c>
      <c r="C934" s="25">
        <f>3486+6405</f>
        <v>9891</v>
      </c>
      <c r="D934" s="25">
        <v>0</v>
      </c>
      <c r="E934" s="25">
        <v>3486</v>
      </c>
      <c r="F934" s="25"/>
      <c r="G934" s="25">
        <f t="shared" si="14"/>
        <v>6405</v>
      </c>
    </row>
    <row r="935" spans="1:7" ht="12.75">
      <c r="A935" s="12" t="s">
        <v>1292</v>
      </c>
      <c r="B935" s="24" t="s">
        <v>522</v>
      </c>
      <c r="C935" s="25">
        <f>31222+5887</f>
        <v>37109</v>
      </c>
      <c r="D935" s="25">
        <v>0</v>
      </c>
      <c r="E935" s="25">
        <v>31222</v>
      </c>
      <c r="F935" s="25"/>
      <c r="G935" s="25">
        <f t="shared" si="14"/>
        <v>5887</v>
      </c>
    </row>
    <row r="936" spans="1:221" s="29" customFormat="1" ht="12.75">
      <c r="A936" s="26" t="s">
        <v>1293</v>
      </c>
      <c r="B936" s="27" t="s">
        <v>1294</v>
      </c>
      <c r="C936" s="44">
        <f>SUM(C937:C939)</f>
        <v>96000</v>
      </c>
      <c r="D936" s="44">
        <f>SUM(D937:D939)</f>
        <v>0</v>
      </c>
      <c r="E936" s="44">
        <f>SUM(E937:E939)</f>
        <v>0</v>
      </c>
      <c r="F936" s="44">
        <f>SUM(F937:F939)</f>
        <v>96000</v>
      </c>
      <c r="G936" s="44">
        <f>SUM(G937:G939)</f>
        <v>0</v>
      </c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</row>
    <row r="937" spans="1:7" ht="12.75">
      <c r="A937" s="45" t="s">
        <v>1295</v>
      </c>
      <c r="B937" s="45" t="s">
        <v>1416</v>
      </c>
      <c r="C937" s="25">
        <v>24000</v>
      </c>
      <c r="D937" s="25">
        <v>0</v>
      </c>
      <c r="E937" s="25">
        <v>0</v>
      </c>
      <c r="F937" s="25">
        <v>24000</v>
      </c>
      <c r="G937" s="25">
        <f>C937-D937-E937-F937</f>
        <v>0</v>
      </c>
    </row>
    <row r="938" spans="1:7" ht="12.75">
      <c r="A938" s="45" t="s">
        <v>1296</v>
      </c>
      <c r="B938" s="45" t="s">
        <v>1275</v>
      </c>
      <c r="C938" s="25">
        <v>12000</v>
      </c>
      <c r="D938" s="25">
        <v>0</v>
      </c>
      <c r="E938" s="25">
        <v>0</v>
      </c>
      <c r="F938" s="25">
        <v>12000</v>
      </c>
      <c r="G938" s="25">
        <f>C938-D938-E938-F938</f>
        <v>0</v>
      </c>
    </row>
    <row r="939" spans="1:7" ht="12.75">
      <c r="A939" s="45" t="s">
        <v>1297</v>
      </c>
      <c r="B939" s="45" t="s">
        <v>1277</v>
      </c>
      <c r="C939" s="25">
        <v>60000</v>
      </c>
      <c r="D939" s="25">
        <v>0</v>
      </c>
      <c r="E939" s="25">
        <v>0</v>
      </c>
      <c r="F939" s="25">
        <v>60000</v>
      </c>
      <c r="G939" s="25">
        <f>C939-D939-E939-F939</f>
        <v>0</v>
      </c>
    </row>
    <row r="940" spans="1:221" s="29" customFormat="1" ht="12.75">
      <c r="A940" s="26" t="s">
        <v>1298</v>
      </c>
      <c r="B940" s="27" t="s">
        <v>1299</v>
      </c>
      <c r="C940" s="44">
        <f>SUM(C941:C943)</f>
        <v>62629</v>
      </c>
      <c r="D940" s="44">
        <f>SUM(D941:D943)</f>
        <v>0</v>
      </c>
      <c r="E940" s="44">
        <f>SUM(E941:E943)</f>
        <v>4507</v>
      </c>
      <c r="F940" s="44">
        <f>SUM(F941:F943)</f>
        <v>0</v>
      </c>
      <c r="G940" s="44">
        <f t="shared" si="14"/>
        <v>58122</v>
      </c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</row>
    <row r="941" spans="1:7" ht="12.75">
      <c r="A941" s="12" t="s">
        <v>1300</v>
      </c>
      <c r="B941" s="24" t="s">
        <v>1416</v>
      </c>
      <c r="C941" s="25">
        <v>0</v>
      </c>
      <c r="D941" s="25">
        <v>0</v>
      </c>
      <c r="E941" s="25">
        <v>0</v>
      </c>
      <c r="F941" s="25"/>
      <c r="G941" s="25">
        <f t="shared" si="14"/>
        <v>0</v>
      </c>
    </row>
    <row r="942" spans="1:7" ht="12.75">
      <c r="A942" s="12" t="s">
        <v>1301</v>
      </c>
      <c r="B942" s="24" t="s">
        <v>1275</v>
      </c>
      <c r="C942" s="25">
        <v>23322</v>
      </c>
      <c r="D942" s="25">
        <v>0</v>
      </c>
      <c r="E942" s="25">
        <v>0</v>
      </c>
      <c r="F942" s="25"/>
      <c r="G942" s="25">
        <f t="shared" si="14"/>
        <v>23322</v>
      </c>
    </row>
    <row r="943" spans="1:7" ht="12.75">
      <c r="A943" s="12" t="s">
        <v>1302</v>
      </c>
      <c r="B943" s="24" t="s">
        <v>1277</v>
      </c>
      <c r="C943" s="25">
        <f>42934-3627</f>
        <v>39307</v>
      </c>
      <c r="D943" s="25">
        <v>0</v>
      </c>
      <c r="E943" s="25">
        <v>4507</v>
      </c>
      <c r="F943" s="25"/>
      <c r="G943" s="25">
        <f t="shared" si="14"/>
        <v>34800</v>
      </c>
    </row>
    <row r="944" spans="1:221" s="37" customFormat="1" ht="12.75">
      <c r="A944" s="12" t="s">
        <v>1303</v>
      </c>
      <c r="B944" s="24" t="s">
        <v>1304</v>
      </c>
      <c r="C944" s="25">
        <f>96320-23933</f>
        <v>72387</v>
      </c>
      <c r="D944" s="25">
        <v>0</v>
      </c>
      <c r="E944" s="25">
        <f>96320-42496</f>
        <v>53824</v>
      </c>
      <c r="F944" s="25">
        <v>18363</v>
      </c>
      <c r="G944" s="25">
        <f>C944-D944-E944-F944</f>
        <v>200</v>
      </c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</row>
    <row r="945" spans="1:7" ht="12.75">
      <c r="A945" s="12" t="s">
        <v>1305</v>
      </c>
      <c r="B945" s="24" t="s">
        <v>1306</v>
      </c>
      <c r="C945" s="25">
        <v>11500</v>
      </c>
      <c r="D945" s="25">
        <v>0</v>
      </c>
      <c r="E945" s="25">
        <v>11494</v>
      </c>
      <c r="F945" s="25"/>
      <c r="G945" s="25">
        <f t="shared" si="14"/>
        <v>6</v>
      </c>
    </row>
    <row r="946" spans="1:7" ht="12.75">
      <c r="A946" s="12" t="s">
        <v>1307</v>
      </c>
      <c r="B946" s="24" t="s">
        <v>1093</v>
      </c>
      <c r="C946" s="25">
        <f>44000-14000</f>
        <v>30000</v>
      </c>
      <c r="D946" s="25">
        <v>0</v>
      </c>
      <c r="E946" s="25">
        <v>0</v>
      </c>
      <c r="F946" s="25"/>
      <c r="G946" s="25">
        <f t="shared" si="14"/>
        <v>30000</v>
      </c>
    </row>
    <row r="947" spans="1:221" s="29" customFormat="1" ht="12.75">
      <c r="A947" s="26" t="s">
        <v>1308</v>
      </c>
      <c r="B947" s="27" t="s">
        <v>655</v>
      </c>
      <c r="C947" s="44">
        <f>SUM(C948:C951)</f>
        <v>128600</v>
      </c>
      <c r="D947" s="44">
        <f>SUM(D948:D951)</f>
        <v>0</v>
      </c>
      <c r="E947" s="44">
        <f>SUM(E948:E951)</f>
        <v>35200</v>
      </c>
      <c r="F947" s="44">
        <f>SUM(F948:F951)</f>
        <v>17800</v>
      </c>
      <c r="G947" s="44">
        <f>SUM(G948:G951)</f>
        <v>75600</v>
      </c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</row>
    <row r="948" spans="1:7" ht="12.75">
      <c r="A948" s="12" t="s">
        <v>1309</v>
      </c>
      <c r="B948" s="24" t="s">
        <v>1310</v>
      </c>
      <c r="C948" s="25">
        <f>52000+2000-1000</f>
        <v>53000</v>
      </c>
      <c r="D948" s="25">
        <v>0</v>
      </c>
      <c r="E948" s="25">
        <f>101440-66240</f>
        <v>35200</v>
      </c>
      <c r="F948" s="25">
        <f>8900+8900</f>
        <v>17800</v>
      </c>
      <c r="G948" s="25">
        <f>C948-D948-E948-F948</f>
        <v>0</v>
      </c>
    </row>
    <row r="949" spans="1:7" ht="12.75">
      <c r="A949" s="45" t="s">
        <v>1311</v>
      </c>
      <c r="B949" s="45" t="s">
        <v>1312</v>
      </c>
      <c r="C949" s="25">
        <f>64000-6400</f>
        <v>57600</v>
      </c>
      <c r="D949" s="25">
        <v>0</v>
      </c>
      <c r="E949" s="25">
        <v>0</v>
      </c>
      <c r="F949" s="25">
        <f>18000-18000</f>
        <v>0</v>
      </c>
      <c r="G949" s="25">
        <f>C949-D949-E949-F949</f>
        <v>57600</v>
      </c>
    </row>
    <row r="950" spans="1:7" ht="12.75">
      <c r="A950" s="12" t="s">
        <v>1313</v>
      </c>
      <c r="B950" s="24" t="s">
        <v>1314</v>
      </c>
      <c r="C950" s="25">
        <f>14000-2000</f>
        <v>12000</v>
      </c>
      <c r="D950" s="25">
        <v>0</v>
      </c>
      <c r="E950" s="25">
        <v>0</v>
      </c>
      <c r="F950" s="25"/>
      <c r="G950" s="25">
        <f t="shared" si="14"/>
        <v>12000</v>
      </c>
    </row>
    <row r="951" spans="1:7" ht="12.75">
      <c r="A951" s="12" t="s">
        <v>1315</v>
      </c>
      <c r="B951" s="24" t="s">
        <v>1316</v>
      </c>
      <c r="C951" s="25">
        <f>7000-1000</f>
        <v>6000</v>
      </c>
      <c r="D951" s="25">
        <v>0</v>
      </c>
      <c r="E951" s="25">
        <v>0</v>
      </c>
      <c r="F951" s="25"/>
      <c r="G951" s="25">
        <f t="shared" si="14"/>
        <v>6000</v>
      </c>
    </row>
    <row r="952" spans="1:221" s="37" customFormat="1" ht="12.75">
      <c r="A952" s="35" t="s">
        <v>1317</v>
      </c>
      <c r="B952" s="36" t="s">
        <v>1318</v>
      </c>
      <c r="C952" s="25">
        <v>54000</v>
      </c>
      <c r="D952" s="25">
        <v>0</v>
      </c>
      <c r="E952" s="25">
        <v>42000</v>
      </c>
      <c r="F952" s="25"/>
      <c r="G952" s="25">
        <f t="shared" si="14"/>
        <v>12000</v>
      </c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</row>
    <row r="953" spans="1:221" s="23" customFormat="1" ht="12.75">
      <c r="A953" s="20" t="s">
        <v>1319</v>
      </c>
      <c r="B953" s="21" t="s">
        <v>1320</v>
      </c>
      <c r="C953" s="22">
        <f>C954+C955</f>
        <v>172000</v>
      </c>
      <c r="D953" s="22">
        <f>D954+D955</f>
        <v>0</v>
      </c>
      <c r="E953" s="22">
        <f>E954+E955</f>
        <v>72000</v>
      </c>
      <c r="F953" s="22">
        <f>F954+F955</f>
        <v>100000</v>
      </c>
      <c r="G953" s="22">
        <f>G954+G955</f>
        <v>0</v>
      </c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</row>
    <row r="954" spans="1:221" s="34" customFormat="1" ht="12.75">
      <c r="A954" s="12" t="s">
        <v>1321</v>
      </c>
      <c r="B954" s="24" t="s">
        <v>1322</v>
      </c>
      <c r="C954" s="33">
        <v>72000</v>
      </c>
      <c r="D954" s="33">
        <v>0</v>
      </c>
      <c r="E954" s="33">
        <v>72000</v>
      </c>
      <c r="F954" s="33"/>
      <c r="G954" s="33">
        <f t="shared" si="14"/>
        <v>0</v>
      </c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</row>
    <row r="955" spans="1:221" s="37" customFormat="1" ht="12.75">
      <c r="A955" s="45" t="s">
        <v>1323</v>
      </c>
      <c r="B955" s="45" t="s">
        <v>1324</v>
      </c>
      <c r="C955" s="25">
        <v>100000</v>
      </c>
      <c r="D955" s="25">
        <v>0</v>
      </c>
      <c r="E955" s="25">
        <v>0</v>
      </c>
      <c r="F955" s="25">
        <f>167500-67500</f>
        <v>100000</v>
      </c>
      <c r="G955" s="25">
        <f>C955-D955-E955-F955</f>
        <v>0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</row>
    <row r="956" spans="1:221" s="23" customFormat="1" ht="12.75">
      <c r="A956" s="20" t="s">
        <v>1325</v>
      </c>
      <c r="B956" s="21" t="s">
        <v>1326</v>
      </c>
      <c r="C956" s="22">
        <f>C957+C958+C959</f>
        <v>10000</v>
      </c>
      <c r="D956" s="22">
        <f>D957+D958+D959</f>
        <v>0</v>
      </c>
      <c r="E956" s="22">
        <f>E957+E958+E959</f>
        <v>0</v>
      </c>
      <c r="F956" s="22">
        <f>F957+F958+F959</f>
        <v>0</v>
      </c>
      <c r="G956" s="22">
        <f t="shared" si="14"/>
        <v>10000</v>
      </c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</row>
    <row r="957" spans="1:7" ht="12.75">
      <c r="A957" s="12" t="s">
        <v>1327</v>
      </c>
      <c r="B957" s="24" t="s">
        <v>1328</v>
      </c>
      <c r="C957" s="25">
        <v>10000</v>
      </c>
      <c r="D957" s="25">
        <v>0</v>
      </c>
      <c r="E957" s="25">
        <v>0</v>
      </c>
      <c r="F957" s="25"/>
      <c r="G957" s="25">
        <f t="shared" si="14"/>
        <v>10000</v>
      </c>
    </row>
    <row r="958" spans="1:7" ht="12.75">
      <c r="A958" s="12" t="s">
        <v>1329</v>
      </c>
      <c r="B958" s="24" t="s">
        <v>1330</v>
      </c>
      <c r="C958" s="25">
        <f>20000-20000</f>
        <v>0</v>
      </c>
      <c r="D958" s="25">
        <v>0</v>
      </c>
      <c r="E958" s="25">
        <v>0</v>
      </c>
      <c r="F958" s="25"/>
      <c r="G958" s="25">
        <f t="shared" si="14"/>
        <v>0</v>
      </c>
    </row>
    <row r="959" spans="1:7" ht="12.75">
      <c r="A959" s="12" t="s">
        <v>1331</v>
      </c>
      <c r="B959" s="24" t="s">
        <v>1332</v>
      </c>
      <c r="C959" s="25">
        <f>3000-3000</f>
        <v>0</v>
      </c>
      <c r="D959" s="25">
        <v>0</v>
      </c>
      <c r="E959" s="25">
        <v>0</v>
      </c>
      <c r="F959" s="25"/>
      <c r="G959" s="25">
        <f t="shared" si="14"/>
        <v>0</v>
      </c>
    </row>
    <row r="960" spans="1:7" ht="12.75">
      <c r="A960" s="12" t="s">
        <v>1333</v>
      </c>
      <c r="B960" s="24" t="s">
        <v>1334</v>
      </c>
      <c r="C960" s="25">
        <v>12000</v>
      </c>
      <c r="D960" s="25">
        <v>0</v>
      </c>
      <c r="E960" s="25">
        <v>6000</v>
      </c>
      <c r="F960" s="25"/>
      <c r="G960" s="25">
        <f t="shared" si="14"/>
        <v>6000</v>
      </c>
    </row>
    <row r="961" spans="1:7" ht="12.75">
      <c r="A961" s="12" t="s">
        <v>1335</v>
      </c>
      <c r="B961" s="24" t="s">
        <v>1336</v>
      </c>
      <c r="C961" s="25">
        <v>6000</v>
      </c>
      <c r="D961" s="25">
        <v>0</v>
      </c>
      <c r="E961" s="25">
        <v>0</v>
      </c>
      <c r="F961" s="25"/>
      <c r="G961" s="25">
        <f t="shared" si="14"/>
        <v>6000</v>
      </c>
    </row>
    <row r="962" spans="1:7" ht="12.75">
      <c r="A962" s="12" t="s">
        <v>1337</v>
      </c>
      <c r="B962" s="24" t="s">
        <v>1338</v>
      </c>
      <c r="C962" s="25">
        <v>60000</v>
      </c>
      <c r="D962" s="25">
        <v>0</v>
      </c>
      <c r="E962" s="25">
        <v>48000</v>
      </c>
      <c r="F962" s="25"/>
      <c r="G962" s="25">
        <f t="shared" si="14"/>
        <v>12000</v>
      </c>
    </row>
    <row r="963" spans="1:7" ht="12.75">
      <c r="A963" s="12" t="s">
        <v>1339</v>
      </c>
      <c r="B963" s="24" t="s">
        <v>1340</v>
      </c>
      <c r="C963" s="25">
        <v>22500</v>
      </c>
      <c r="D963" s="25">
        <v>0</v>
      </c>
      <c r="E963" s="25">
        <v>18000</v>
      </c>
      <c r="F963" s="25"/>
      <c r="G963" s="25">
        <f t="shared" si="14"/>
        <v>4500</v>
      </c>
    </row>
    <row r="964" spans="1:221" s="19" customFormat="1" ht="12.75">
      <c r="A964" s="16" t="s">
        <v>1348</v>
      </c>
      <c r="B964" s="17" t="s">
        <v>1349</v>
      </c>
      <c r="C964" s="18">
        <f>C965+C966+C968+C973+C979</f>
        <v>1064036</v>
      </c>
      <c r="D964" s="18">
        <f>D965+D966+D968+D973+D979</f>
        <v>0</v>
      </c>
      <c r="E964" s="18">
        <f>E965+E966+E968+E973+E979</f>
        <v>813662.5</v>
      </c>
      <c r="F964" s="18">
        <f>F965+F966+F968+F973+F979</f>
        <v>0</v>
      </c>
      <c r="G964" s="18">
        <f t="shared" si="14"/>
        <v>250373.5</v>
      </c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</row>
    <row r="965" spans="1:7" ht="12.75">
      <c r="A965" s="12" t="s">
        <v>1350</v>
      </c>
      <c r="B965" s="24" t="s">
        <v>1416</v>
      </c>
      <c r="C965" s="25">
        <f>331000+167</f>
        <v>331167</v>
      </c>
      <c r="D965" s="25">
        <v>0</v>
      </c>
      <c r="E965" s="25">
        <f>357167-26000</f>
        <v>331167</v>
      </c>
      <c r="F965" s="25"/>
      <c r="G965" s="25">
        <f t="shared" si="14"/>
        <v>0</v>
      </c>
    </row>
    <row r="966" spans="1:221" s="23" customFormat="1" ht="12.75">
      <c r="A966" s="20" t="s">
        <v>1351</v>
      </c>
      <c r="B966" s="21" t="s">
        <v>1352</v>
      </c>
      <c r="C966" s="22">
        <f>SUM(C967:C967)</f>
        <v>27900</v>
      </c>
      <c r="D966" s="22">
        <f>SUM(D967:D967)</f>
        <v>0</v>
      </c>
      <c r="E966" s="22">
        <f>SUM(E967:E967)</f>
        <v>27900</v>
      </c>
      <c r="F966" s="22">
        <f>SUM(F967:F967)</f>
        <v>0</v>
      </c>
      <c r="G966" s="22">
        <f aca="true" t="shared" si="15" ref="G966:G996">C966-D966-E966</f>
        <v>0</v>
      </c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</row>
    <row r="967" spans="1:7" ht="12.75">
      <c r="A967" s="12" t="s">
        <v>1353</v>
      </c>
      <c r="B967" s="24" t="s">
        <v>1354</v>
      </c>
      <c r="C967" s="25">
        <v>27900</v>
      </c>
      <c r="D967" s="25">
        <v>0</v>
      </c>
      <c r="E967" s="25">
        <v>27900</v>
      </c>
      <c r="F967" s="25"/>
      <c r="G967" s="25">
        <f t="shared" si="15"/>
        <v>0</v>
      </c>
    </row>
    <row r="968" spans="1:221" s="23" customFormat="1" ht="12.75">
      <c r="A968" s="20" t="s">
        <v>1355</v>
      </c>
      <c r="B968" s="21" t="s">
        <v>1356</v>
      </c>
      <c r="C968" s="22">
        <f>SUM(C969:C972)</f>
        <v>332800</v>
      </c>
      <c r="D968" s="22">
        <f>SUM(D969:D972)</f>
        <v>0</v>
      </c>
      <c r="E968" s="22">
        <f>SUM(E969:E972)</f>
        <v>92800</v>
      </c>
      <c r="F968" s="22">
        <f>SUM(F969:F972)</f>
        <v>0</v>
      </c>
      <c r="G968" s="22">
        <f t="shared" si="15"/>
        <v>240000</v>
      </c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</row>
    <row r="969" spans="1:7" ht="12.75">
      <c r="A969" s="12" t="s">
        <v>1357</v>
      </c>
      <c r="B969" s="24" t="s">
        <v>1358</v>
      </c>
      <c r="C969" s="25">
        <v>240000</v>
      </c>
      <c r="D969" s="25">
        <v>0</v>
      </c>
      <c r="E969" s="25">
        <v>0</v>
      </c>
      <c r="F969" s="25"/>
      <c r="G969" s="25">
        <f t="shared" si="15"/>
        <v>240000</v>
      </c>
    </row>
    <row r="970" spans="1:7" ht="12.75">
      <c r="A970" s="12" t="s">
        <v>1359</v>
      </c>
      <c r="B970" s="24" t="s">
        <v>1360</v>
      </c>
      <c r="C970" s="25">
        <v>72000</v>
      </c>
      <c r="D970" s="25">
        <v>0</v>
      </c>
      <c r="E970" s="25">
        <v>72000</v>
      </c>
      <c r="F970" s="25"/>
      <c r="G970" s="25">
        <f t="shared" si="15"/>
        <v>0</v>
      </c>
    </row>
    <row r="971" spans="1:7" ht="12.75">
      <c r="A971" s="12" t="s">
        <v>1361</v>
      </c>
      <c r="B971" s="24" t="s">
        <v>1362</v>
      </c>
      <c r="C971" s="25">
        <v>10800</v>
      </c>
      <c r="D971" s="25">
        <v>0</v>
      </c>
      <c r="E971" s="25">
        <v>10800</v>
      </c>
      <c r="F971" s="25"/>
      <c r="G971" s="25">
        <f t="shared" si="15"/>
        <v>0</v>
      </c>
    </row>
    <row r="972" spans="1:7" ht="12.75">
      <c r="A972" s="12" t="s">
        <v>1363</v>
      </c>
      <c r="B972" s="24" t="s">
        <v>1364</v>
      </c>
      <c r="C972" s="25">
        <v>10000</v>
      </c>
      <c r="D972" s="25">
        <v>0</v>
      </c>
      <c r="E972" s="25">
        <v>10000</v>
      </c>
      <c r="F972" s="25"/>
      <c r="G972" s="25">
        <f t="shared" si="15"/>
        <v>0</v>
      </c>
    </row>
    <row r="973" spans="1:221" s="23" customFormat="1" ht="12.75">
      <c r="A973" s="20" t="s">
        <v>1365</v>
      </c>
      <c r="B973" s="21" t="s">
        <v>1366</v>
      </c>
      <c r="C973" s="22">
        <f>SUM(C974:C978)</f>
        <v>244000</v>
      </c>
      <c r="D973" s="22">
        <f>SUM(D974:D978)</f>
        <v>0</v>
      </c>
      <c r="E973" s="22">
        <f>SUM(E974:E978)</f>
        <v>244000</v>
      </c>
      <c r="F973" s="22">
        <f>SUM(F974:F978)</f>
        <v>0</v>
      </c>
      <c r="G973" s="22">
        <f t="shared" si="15"/>
        <v>0</v>
      </c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</row>
    <row r="974" spans="1:7" ht="12.75">
      <c r="A974" s="12" t="s">
        <v>1367</v>
      </c>
      <c r="B974" s="24" t="s">
        <v>1368</v>
      </c>
      <c r="C974" s="25">
        <v>60000</v>
      </c>
      <c r="D974" s="25">
        <v>0</v>
      </c>
      <c r="E974" s="25">
        <v>60000</v>
      </c>
      <c r="F974" s="25"/>
      <c r="G974" s="25">
        <f t="shared" si="15"/>
        <v>0</v>
      </c>
    </row>
    <row r="975" spans="1:7" ht="12.75">
      <c r="A975" s="12" t="s">
        <v>1369</v>
      </c>
      <c r="B975" s="24" t="s">
        <v>1370</v>
      </c>
      <c r="C975" s="25">
        <v>111000</v>
      </c>
      <c r="D975" s="25">
        <v>0</v>
      </c>
      <c r="E975" s="25">
        <v>111000</v>
      </c>
      <c r="F975" s="25"/>
      <c r="G975" s="25">
        <f t="shared" si="15"/>
        <v>0</v>
      </c>
    </row>
    <row r="976" spans="1:7" ht="12.75">
      <c r="A976" s="12" t="s">
        <v>1371</v>
      </c>
      <c r="B976" s="24" t="s">
        <v>1372</v>
      </c>
      <c r="C976" s="25">
        <v>10000</v>
      </c>
      <c r="D976" s="25">
        <v>0</v>
      </c>
      <c r="E976" s="25">
        <v>10000</v>
      </c>
      <c r="F976" s="25"/>
      <c r="G976" s="25">
        <f t="shared" si="15"/>
        <v>0</v>
      </c>
    </row>
    <row r="977" spans="1:7" ht="12.75">
      <c r="A977" s="12" t="s">
        <v>1373</v>
      </c>
      <c r="B977" s="24" t="s">
        <v>1374</v>
      </c>
      <c r="C977" s="25">
        <v>48000</v>
      </c>
      <c r="D977" s="25">
        <v>0</v>
      </c>
      <c r="E977" s="25">
        <v>48000</v>
      </c>
      <c r="F977" s="25"/>
      <c r="G977" s="25">
        <f t="shared" si="15"/>
        <v>0</v>
      </c>
    </row>
    <row r="978" spans="1:7" ht="12.75">
      <c r="A978" s="12" t="s">
        <v>1375</v>
      </c>
      <c r="B978" s="24" t="s">
        <v>1376</v>
      </c>
      <c r="C978" s="25">
        <v>15000</v>
      </c>
      <c r="D978" s="25">
        <v>0</v>
      </c>
      <c r="E978" s="25">
        <v>15000</v>
      </c>
      <c r="F978" s="25"/>
      <c r="G978" s="25">
        <f t="shared" si="15"/>
        <v>0</v>
      </c>
    </row>
    <row r="979" spans="1:221" s="23" customFormat="1" ht="12.75">
      <c r="A979" s="20" t="s">
        <v>506</v>
      </c>
      <c r="B979" s="21" t="s">
        <v>513</v>
      </c>
      <c r="C979" s="22">
        <f>SUM(C980:C985)</f>
        <v>128169</v>
      </c>
      <c r="D979" s="22">
        <f>SUM(D980:D985)</f>
        <v>0</v>
      </c>
      <c r="E979" s="22">
        <f>SUM(E980:E985)</f>
        <v>117795.5</v>
      </c>
      <c r="F979" s="22">
        <f>SUM(F980:F985)</f>
        <v>0</v>
      </c>
      <c r="G979" s="22">
        <f t="shared" si="15"/>
        <v>10373.5</v>
      </c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</row>
    <row r="980" spans="1:7" ht="12.75">
      <c r="A980" s="12" t="s">
        <v>507</v>
      </c>
      <c r="B980" s="24" t="s">
        <v>514</v>
      </c>
      <c r="C980" s="25">
        <v>13899</v>
      </c>
      <c r="D980" s="25">
        <v>0</v>
      </c>
      <c r="E980" s="25">
        <v>13899.2</v>
      </c>
      <c r="F980" s="25"/>
      <c r="G980" s="25">
        <f t="shared" si="15"/>
        <v>-0.2000000000007276</v>
      </c>
    </row>
    <row r="981" spans="1:7" ht="12.75">
      <c r="A981" s="55" t="s">
        <v>508</v>
      </c>
      <c r="B981" s="24" t="s">
        <v>515</v>
      </c>
      <c r="C981" s="25">
        <f>35020-2000</f>
        <v>33020</v>
      </c>
      <c r="D981" s="25">
        <v>0</v>
      </c>
      <c r="E981" s="25">
        <v>33020</v>
      </c>
      <c r="F981" s="25"/>
      <c r="G981" s="25">
        <f t="shared" si="15"/>
        <v>0</v>
      </c>
    </row>
    <row r="982" spans="1:7" ht="12.75">
      <c r="A982" s="12" t="s">
        <v>509</v>
      </c>
      <c r="B982" s="24" t="s">
        <v>518</v>
      </c>
      <c r="C982" s="25">
        <f>23000-13850</f>
        <v>9150</v>
      </c>
      <c r="D982" s="25">
        <v>0</v>
      </c>
      <c r="E982" s="25">
        <v>9149.98</v>
      </c>
      <c r="F982" s="25"/>
      <c r="G982" s="25">
        <f t="shared" si="15"/>
        <v>0.020000000000436557</v>
      </c>
    </row>
    <row r="983" spans="1:7" ht="12.75">
      <c r="A983" s="12" t="s">
        <v>510</v>
      </c>
      <c r="B983" s="24" t="s">
        <v>519</v>
      </c>
      <c r="C983" s="25">
        <v>67750</v>
      </c>
      <c r="D983" s="25">
        <v>0</v>
      </c>
      <c r="E983" s="25">
        <v>57376.3</v>
      </c>
      <c r="F983" s="25"/>
      <c r="G983" s="25">
        <f t="shared" si="15"/>
        <v>10373.699999999997</v>
      </c>
    </row>
    <row r="984" spans="1:7" ht="12.75">
      <c r="A984" s="12" t="s">
        <v>511</v>
      </c>
      <c r="B984" s="24" t="s">
        <v>520</v>
      </c>
      <c r="C984" s="25">
        <f>9030-4680</f>
        <v>4350</v>
      </c>
      <c r="D984" s="25">
        <v>0</v>
      </c>
      <c r="E984" s="25">
        <v>4350.02</v>
      </c>
      <c r="F984" s="25"/>
      <c r="G984" s="25">
        <f t="shared" si="15"/>
        <v>-0.020000000000436557</v>
      </c>
    </row>
    <row r="985" spans="1:7" ht="12.75">
      <c r="A985" s="12" t="s">
        <v>512</v>
      </c>
      <c r="B985" s="24" t="s">
        <v>1211</v>
      </c>
      <c r="C985" s="25">
        <f>1110-1110</f>
        <v>0</v>
      </c>
      <c r="D985" s="25">
        <v>0</v>
      </c>
      <c r="E985" s="25">
        <v>0</v>
      </c>
      <c r="F985" s="25"/>
      <c r="G985" s="25">
        <f t="shared" si="15"/>
        <v>0</v>
      </c>
    </row>
    <row r="986" spans="1:7" ht="12.75">
      <c r="A986" s="12" t="s">
        <v>1377</v>
      </c>
      <c r="B986" s="15" t="s">
        <v>1378</v>
      </c>
      <c r="C986" s="14">
        <f>C987</f>
        <v>721999.89</v>
      </c>
      <c r="D986" s="14">
        <f>D987</f>
        <v>54803.4</v>
      </c>
      <c r="E986" s="14">
        <f>E987</f>
        <v>293369.69</v>
      </c>
      <c r="F986" s="14">
        <f>F987</f>
        <v>0</v>
      </c>
      <c r="G986" s="14">
        <f t="shared" si="15"/>
        <v>373826.8</v>
      </c>
    </row>
    <row r="987" spans="1:221" s="19" customFormat="1" ht="12.75">
      <c r="A987" s="16" t="s">
        <v>1379</v>
      </c>
      <c r="B987" s="17" t="s">
        <v>1380</v>
      </c>
      <c r="C987" s="18">
        <f>C988+C991+C992+C995+C996</f>
        <v>721999.89</v>
      </c>
      <c r="D987" s="18">
        <f>D988+D991+D992+D995+D996</f>
        <v>54803.4</v>
      </c>
      <c r="E987" s="18">
        <f>E988+E991+E992+E995+E996</f>
        <v>293369.69</v>
      </c>
      <c r="F987" s="18">
        <f>F988+F991+F992+F995+F996</f>
        <v>0</v>
      </c>
      <c r="G987" s="18">
        <f t="shared" si="15"/>
        <v>373826.8</v>
      </c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</row>
    <row r="988" spans="1:221" s="23" customFormat="1" ht="12.75">
      <c r="A988" s="20" t="s">
        <v>1381</v>
      </c>
      <c r="B988" s="21" t="s">
        <v>1382</v>
      </c>
      <c r="C988" s="22">
        <f>SUM(C989:C990)</f>
        <v>377000</v>
      </c>
      <c r="D988" s="22">
        <f>SUM(D989:D990)</f>
        <v>30345</v>
      </c>
      <c r="E988" s="22">
        <f>SUM(E989:E990)</f>
        <v>109458</v>
      </c>
      <c r="F988" s="22">
        <f>SUM(F989:F990)</f>
        <v>0</v>
      </c>
      <c r="G988" s="22">
        <f t="shared" si="15"/>
        <v>237197</v>
      </c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</row>
    <row r="989" spans="1:7" ht="12.75">
      <c r="A989" s="12" t="s">
        <v>1383</v>
      </c>
      <c r="B989" s="24" t="s">
        <v>1384</v>
      </c>
      <c r="C989" s="25">
        <v>170000</v>
      </c>
      <c r="D989" s="25">
        <v>7995</v>
      </c>
      <c r="E989" s="25">
        <v>88179</v>
      </c>
      <c r="F989" s="25"/>
      <c r="G989" s="25">
        <f t="shared" si="15"/>
        <v>73826</v>
      </c>
    </row>
    <row r="990" spans="1:7" ht="12.75">
      <c r="A990" s="12" t="s">
        <v>1385</v>
      </c>
      <c r="B990" s="24" t="s">
        <v>1386</v>
      </c>
      <c r="C990" s="25">
        <v>207000</v>
      </c>
      <c r="D990" s="25">
        <v>22350</v>
      </c>
      <c r="E990" s="25">
        <v>21279</v>
      </c>
      <c r="F990" s="25"/>
      <c r="G990" s="25">
        <f t="shared" si="15"/>
        <v>163371</v>
      </c>
    </row>
    <row r="991" spans="1:7" ht="12.75">
      <c r="A991" s="12" t="s">
        <v>1387</v>
      </c>
      <c r="B991" s="24" t="s">
        <v>1388</v>
      </c>
      <c r="C991" s="25">
        <v>80000</v>
      </c>
      <c r="D991" s="25">
        <v>0</v>
      </c>
      <c r="E991" s="25">
        <v>79634.92</v>
      </c>
      <c r="F991" s="25"/>
      <c r="G991" s="25">
        <f t="shared" si="15"/>
        <v>365.08000000000175</v>
      </c>
    </row>
    <row r="992" spans="1:221" s="23" customFormat="1" ht="12.75">
      <c r="A992" s="20" t="s">
        <v>1389</v>
      </c>
      <c r="B992" s="21" t="s">
        <v>1390</v>
      </c>
      <c r="C992" s="22">
        <f>SUM(C993:C994)</f>
        <v>145000</v>
      </c>
      <c r="D992" s="22">
        <f>SUM(D993:D994)</f>
        <v>24458.4</v>
      </c>
      <c r="E992" s="22">
        <f>SUM(E993:E994)</f>
        <v>57539.8</v>
      </c>
      <c r="F992" s="22">
        <f>SUM(F993:F994)</f>
        <v>0</v>
      </c>
      <c r="G992" s="22">
        <f t="shared" si="15"/>
        <v>63001.8</v>
      </c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</row>
    <row r="993" spans="1:7" ht="12.75">
      <c r="A993" s="12" t="s">
        <v>1391</v>
      </c>
      <c r="B993" s="24" t="s">
        <v>1392</v>
      </c>
      <c r="C993" s="25">
        <v>120000</v>
      </c>
      <c r="D993" s="25">
        <v>24458.4</v>
      </c>
      <c r="E993" s="25">
        <v>57539.8</v>
      </c>
      <c r="F993" s="25"/>
      <c r="G993" s="25">
        <f t="shared" si="15"/>
        <v>38001.8</v>
      </c>
    </row>
    <row r="994" spans="1:7" ht="12.75">
      <c r="A994" s="12" t="s">
        <v>1393</v>
      </c>
      <c r="B994" s="24" t="s">
        <v>1394</v>
      </c>
      <c r="C994" s="25">
        <v>25000</v>
      </c>
      <c r="D994" s="25">
        <v>0</v>
      </c>
      <c r="E994" s="25">
        <v>0</v>
      </c>
      <c r="F994" s="25"/>
      <c r="G994" s="25">
        <f t="shared" si="15"/>
        <v>25000</v>
      </c>
    </row>
    <row r="995" spans="1:7" ht="12.75">
      <c r="A995" s="12" t="s">
        <v>1395</v>
      </c>
      <c r="B995" s="24" t="s">
        <v>1396</v>
      </c>
      <c r="C995" s="25">
        <v>74999.89</v>
      </c>
      <c r="D995" s="25">
        <v>0</v>
      </c>
      <c r="E995" s="25">
        <v>20062.53</v>
      </c>
      <c r="F995" s="25"/>
      <c r="G995" s="25">
        <f t="shared" si="15"/>
        <v>54937.36</v>
      </c>
    </row>
    <row r="996" spans="1:7" ht="12.75">
      <c r="A996" s="12" t="s">
        <v>1397</v>
      </c>
      <c r="B996" s="24" t="s">
        <v>1398</v>
      </c>
      <c r="C996" s="25">
        <v>45000</v>
      </c>
      <c r="D996" s="25">
        <v>0</v>
      </c>
      <c r="E996" s="25">
        <v>26674.44</v>
      </c>
      <c r="F996" s="25"/>
      <c r="G996" s="25">
        <f t="shared" si="15"/>
        <v>18325.56</v>
      </c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</sheetData>
  <printOptions horizontalCentered="1"/>
  <pageMargins left="0" right="0" top="0.5" bottom="0.61" header="0.5" footer="0.5"/>
  <pageSetup fitToHeight="0" horizontalDpi="300" verticalDpi="300" orientation="portrait" scale="85" r:id="rId3"/>
  <headerFooter alignWithMargins="0">
    <oddFooter>&amp;CPage &amp;P&amp;R&amp;D</oddFooter>
  </headerFooter>
  <rowBreaks count="24" manualBreakCount="24">
    <brk id="4" max="65535" man="1"/>
    <brk id="5" max="65535" man="1"/>
    <brk id="68" max="21" man="1"/>
    <brk id="148" max="21" man="1"/>
    <brk id="195" max="21" man="1"/>
    <brk id="244" max="21" man="1"/>
    <brk id="335" max="21" man="1"/>
    <brk id="336" max="21" man="1"/>
    <brk id="492" max="21" man="1"/>
    <brk id="557" max="21" man="1"/>
    <brk id="558" max="21" man="1"/>
    <brk id="598" max="21" man="1"/>
    <brk id="645" max="21" man="1"/>
    <brk id="686" max="21" man="1"/>
    <brk id="721" max="21" man="1"/>
    <brk id="785" max="21" man="1"/>
    <brk id="786" max="21" man="1"/>
    <brk id="803" max="21" man="1"/>
    <brk id="812" max="21" man="1"/>
    <brk id="913" max="21" man="1"/>
    <brk id="963" max="21" man="1"/>
    <brk id="985" max="21" man="1"/>
    <brk id="1006" max="65535" man="1"/>
    <brk id="1022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Sherie Landrud</dc:creator>
  <cp:keywords/>
  <dc:description/>
  <cp:lastModifiedBy>Philip Michael Tuts</cp:lastModifiedBy>
  <cp:lastPrinted>2000-03-14T18:21:02Z</cp:lastPrinted>
  <dcterms:created xsi:type="dcterms:W3CDTF">1998-05-07T15:27:59Z</dcterms:created>
  <dcterms:modified xsi:type="dcterms:W3CDTF">2000-03-14T23:19:03Z</dcterms:modified>
  <cp:category/>
  <cp:version/>
  <cp:contentType/>
  <cp:contentStatus/>
</cp:coreProperties>
</file>