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5326" windowWidth="12525" windowHeight="6540" activeTab="0"/>
  </bookViews>
  <sheets>
    <sheet name="t-35" sheetId="1" r:id="rId1"/>
  </sheets>
  <definedNames>
    <definedName name="_xlnm.Print_Area" localSheetId="0">'t-35'!$C$1:$CK$64</definedName>
    <definedName name="_xlnm.Print_Titles" localSheetId="0">'t-35'!$B:$B,'t-35'!$1:$3</definedName>
    <definedName name="Print_Titles_MI">'t-35'!$1:$3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<sst xmlns="http://schemas.openxmlformats.org/spreadsheetml/2006/main" count="189" uniqueCount="88">
  <si>
    <t xml:space="preserve">                           BY CMAQ, STP, AND OTHER</t>
  </si>
  <si>
    <t>CUMULATIVE</t>
  </si>
  <si>
    <t xml:space="preserve"> STATE</t>
  </si>
  <si>
    <t>CMAQ</t>
  </si>
  <si>
    <t>STP</t>
  </si>
  <si>
    <t>OTHER</t>
  </si>
  <si>
    <t>TOTAL</t>
  </si>
  <si>
    <t xml:space="preserve"> </t>
  </si>
  <si>
    <t xml:space="preserve">TOTAL </t>
  </si>
  <si>
    <t xml:space="preserve"> TOTAL</t>
  </si>
  <si>
    <t xml:space="preserve"> STP</t>
  </si>
  <si>
    <t>% OF</t>
  </si>
  <si>
    <t xml:space="preserve">               FY 1998</t>
  </si>
  <si>
    <t xml:space="preserve">               FY 1997</t>
  </si>
  <si>
    <t xml:space="preserve">                FY 1996</t>
  </si>
  <si>
    <t xml:space="preserve">               FY 1995</t>
  </si>
  <si>
    <t xml:space="preserve">                FY 1994</t>
  </si>
  <si>
    <t xml:space="preserve">               FY 1993</t>
  </si>
  <si>
    <t xml:space="preserve">                FY 1992</t>
  </si>
  <si>
    <t>Alabama</t>
  </si>
  <si>
    <t>Alaska</t>
  </si>
  <si>
    <t>Arkansas</t>
  </si>
  <si>
    <t>Arizona</t>
  </si>
  <si>
    <t>California</t>
  </si>
  <si>
    <t>Colorado</t>
  </si>
  <si>
    <t>Connecticut</t>
  </si>
  <si>
    <t>Dist. of Columbia</t>
  </si>
  <si>
    <t>Florida</t>
  </si>
  <si>
    <t>Georgia</t>
  </si>
  <si>
    <t>Hawaii</t>
  </si>
  <si>
    <t>Idaho</t>
  </si>
  <si>
    <t>Illinois</t>
  </si>
  <si>
    <t>Indiana</t>
  </si>
  <si>
    <t>Iowa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</si>
  <si>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</si>
  <si>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</si>
  <si>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</si>
  <si>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</si>
  <si>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</si>
  <si>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</si>
  <si>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</si>
  <si>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Missouri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</si>
  <si>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</si>
  <si>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</si>
  <si>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</si>
  <si>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</si>
  <si>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</si>
  <si>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</si>
  <si>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</si>
  <si>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Ohio</t>
  </si>
  <si>
    <t>Oklahoma</t>
  </si>
  <si>
    <t>Oregon</t>
  </si>
  <si>
    <t>Pennsylvania</t>
  </si>
  <si>
    <t>Rhode Island</t>
  </si>
  <si>
    <t>Tennessee</t>
  </si>
  <si>
    <t>Texas</t>
  </si>
  <si>
    <t>Utah</t>
  </si>
  <si>
    <t>Vermont</t>
  </si>
  <si>
    <t>Virginia</t>
  </si>
  <si>
    <t>Virgin Islands</t>
  </si>
  <si>
    <t>Washington</t>
  </si>
  <si>
    <t>West Virginia</t>
  </si>
  <si>
    <t>Wisconsin</t>
  </si>
  <si>
    <t>Montana</t>
  </si>
  <si>
    <t>South Carolina</t>
  </si>
  <si>
    <t xml:space="preserve">               FY 1999</t>
  </si>
  <si>
    <t>Puerto Rico</t>
  </si>
  <si>
    <t>Rank</t>
  </si>
  <si>
    <t xml:space="preserve">               FY 2000</t>
  </si>
  <si>
    <t xml:space="preserve">                  BY CMAQ, STP, AND OTHER</t>
  </si>
  <si>
    <t>Mississippi</t>
  </si>
  <si>
    <t xml:space="preserve">                 </t>
  </si>
  <si>
    <t xml:space="preserve">               FY 2001</t>
  </si>
  <si>
    <t>NOTE:   Cumulative obligations may exceed cumulative transfers due to recoveries/re-obligations.</t>
  </si>
  <si>
    <t xml:space="preserve">               FY 2002</t>
  </si>
  <si>
    <t xml:space="preserve">               FY 2003</t>
  </si>
  <si>
    <t>Wyoming</t>
  </si>
  <si>
    <t xml:space="preserve">               FY 2004</t>
  </si>
  <si>
    <t>Kansas</t>
  </si>
  <si>
    <t xml:space="preserve">               FY 2005</t>
  </si>
  <si>
    <t>FY 1992 - 2006</t>
  </si>
  <si>
    <t xml:space="preserve">             FY 1992 - FY 2006 FLEXIBLE FUND OBLIGATIONS </t>
  </si>
  <si>
    <t xml:space="preserve"> FY 1992 - FY 2006 FLEXIBLE FUND OBLIGATIONS </t>
  </si>
  <si>
    <t xml:space="preserve">               FY 2006</t>
  </si>
  <si>
    <t xml:space="preserve">                              TABLE H-35</t>
  </si>
  <si>
    <t xml:space="preserve">                           TABLE H-35</t>
  </si>
  <si>
    <t xml:space="preserve">                            TABLE H-35</t>
  </si>
  <si>
    <t>TABLE H-35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</si>
</sst>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.0%"/>
    <numFmt numFmtId="166" formatCode="&quot;$&quot;#,##0"/>
  </numFmts>
  <fonts count="11">
    <font>
      <sz val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b/>
      <i/>
      <sz val="18"/>
      <name val="Arial"/>
      <family val="0"/>
    </font>
    <font>
      <b/>
      <i/>
      <sz val="24"/>
      <name val="Arial"/>
      <family val="0"/>
    </font>
    <font>
      <b/>
      <i/>
      <sz val="14"/>
      <name val="Arial"/>
      <family val="0"/>
    </font>
    <font>
      <b/>
      <i/>
      <sz val="16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5" fontId="0" fillId="0" borderId="0" xfId="0" applyNumberFormat="1" applyAlignment="1" applyProtection="1">
      <alignment/>
      <protection/>
    </xf>
    <xf numFmtId="5" fontId="0" fillId="0" borderId="0" xfId="0" applyNumberFormat="1" applyFon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4" xfId="0" applyBorder="1" applyAlignment="1">
      <alignment/>
    </xf>
    <xf numFmtId="37" fontId="0" fillId="0" borderId="4" xfId="0" applyNumberFormat="1" applyFont="1" applyBorder="1" applyAlignment="1" applyProtection="1">
      <alignment/>
      <protection/>
    </xf>
    <xf numFmtId="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0" fillId="0" borderId="5" xfId="0" applyBorder="1" applyAlignment="1">
      <alignment/>
    </xf>
    <xf numFmtId="5" fontId="2" fillId="0" borderId="6" xfId="0" applyNumberFormat="1" applyFont="1" applyBorder="1" applyAlignment="1" applyProtection="1">
      <alignment/>
      <protection/>
    </xf>
    <xf numFmtId="37" fontId="2" fillId="0" borderId="6" xfId="0" applyNumberFormat="1" applyFont="1" applyBorder="1" applyAlignment="1" applyProtection="1">
      <alignment/>
      <protection/>
    </xf>
    <xf numFmtId="37" fontId="2" fillId="0" borderId="7" xfId="0" applyNumberFormat="1" applyFont="1" applyBorder="1" applyAlignment="1" applyProtection="1">
      <alignment/>
      <protection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5" fontId="2" fillId="0" borderId="10" xfId="0" applyNumberFormat="1" applyFont="1" applyBorder="1" applyAlignment="1" applyProtection="1">
      <alignment/>
      <protection/>
    </xf>
    <xf numFmtId="37" fontId="2" fillId="0" borderId="10" xfId="0" applyNumberFormat="1" applyFont="1" applyBorder="1" applyAlignment="1" applyProtection="1">
      <alignment/>
      <protection/>
    </xf>
    <xf numFmtId="37" fontId="2" fillId="0" borderId="11" xfId="0" applyNumberFormat="1" applyFont="1" applyBorder="1" applyAlignment="1" applyProtection="1">
      <alignment/>
      <protection/>
    </xf>
    <xf numFmtId="0" fontId="5" fillId="0" borderId="2" xfId="0" applyFont="1" applyBorder="1" applyAlignment="1">
      <alignment/>
    </xf>
    <xf numFmtId="37" fontId="0" fillId="0" borderId="4" xfId="0" applyNumberFormat="1" applyBorder="1" applyAlignment="1" applyProtection="1">
      <alignment/>
      <protection/>
    </xf>
    <xf numFmtId="37" fontId="0" fillId="0" borderId="6" xfId="0" applyNumberFormat="1" applyBorder="1" applyAlignment="1" applyProtection="1">
      <alignment/>
      <protection/>
    </xf>
    <xf numFmtId="37" fontId="0" fillId="0" borderId="7" xfId="0" applyNumberFormat="1" applyBorder="1" applyAlignment="1" applyProtection="1">
      <alignment/>
      <protection/>
    </xf>
    <xf numFmtId="165" fontId="0" fillId="0" borderId="12" xfId="0" applyNumberFormat="1" applyFont="1" applyBorder="1" applyAlignment="1" applyProtection="1">
      <alignment/>
      <protection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6" xfId="0" applyBorder="1" applyAlignment="1">
      <alignment/>
    </xf>
    <xf numFmtId="0" fontId="3" fillId="0" borderId="2" xfId="0" applyFont="1" applyBorder="1" applyAlignment="1">
      <alignment/>
    </xf>
    <xf numFmtId="5" fontId="2" fillId="0" borderId="11" xfId="0" applyNumberFormat="1" applyFont="1" applyBorder="1" applyAlignment="1" applyProtection="1">
      <alignment/>
      <protection/>
    </xf>
    <xf numFmtId="0" fontId="2" fillId="0" borderId="6" xfId="0" applyFont="1" applyBorder="1" applyAlignment="1">
      <alignment/>
    </xf>
    <xf numFmtId="0" fontId="0" fillId="0" borderId="0" xfId="0" applyBorder="1" applyAlignment="1">
      <alignment/>
    </xf>
    <xf numFmtId="37" fontId="0" fillId="0" borderId="0" xfId="0" applyNumberFormat="1" applyFont="1" applyBorder="1" applyAlignment="1" applyProtection="1">
      <alignment/>
      <protection/>
    </xf>
    <xf numFmtId="0" fontId="2" fillId="0" borderId="13" xfId="0" applyFont="1" applyBorder="1" applyAlignment="1">
      <alignment/>
    </xf>
    <xf numFmtId="165" fontId="0" fillId="0" borderId="14" xfId="0" applyNumberFormat="1" applyFont="1" applyBorder="1" applyAlignment="1" applyProtection="1">
      <alignment/>
      <protection/>
    </xf>
    <xf numFmtId="165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Border="1" applyAlignment="1" applyProtection="1">
      <alignment/>
      <protection/>
    </xf>
    <xf numFmtId="0" fontId="0" fillId="0" borderId="16" xfId="0" applyBorder="1" applyAlignment="1">
      <alignment/>
    </xf>
    <xf numFmtId="37" fontId="0" fillId="0" borderId="0" xfId="0" applyNumberForma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0" fillId="0" borderId="4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166" fontId="0" fillId="0" borderId="0" xfId="0" applyNumberFormat="1" applyFont="1" applyBorder="1" applyAlignment="1" applyProtection="1">
      <alignment/>
      <protection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9" xfId="0" applyBorder="1" applyAlignment="1">
      <alignment/>
    </xf>
    <xf numFmtId="37" fontId="0" fillId="0" borderId="19" xfId="0" applyNumberFormat="1" applyFont="1" applyBorder="1" applyAlignment="1" applyProtection="1">
      <alignment/>
      <protection/>
    </xf>
    <xf numFmtId="165" fontId="0" fillId="0" borderId="20" xfId="0" applyNumberFormat="1" applyFont="1" applyBorder="1" applyAlignment="1" applyProtection="1">
      <alignment/>
      <protection/>
    </xf>
    <xf numFmtId="3" fontId="0" fillId="0" borderId="19" xfId="0" applyNumberFormat="1" applyFont="1" applyBorder="1" applyAlignment="1" applyProtection="1">
      <alignment/>
      <protection/>
    </xf>
    <xf numFmtId="37" fontId="0" fillId="0" borderId="19" xfId="0" applyNumberFormat="1" applyBorder="1" applyAlignment="1" applyProtection="1">
      <alignment/>
      <protection/>
    </xf>
    <xf numFmtId="0" fontId="2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5" fontId="0" fillId="0" borderId="0" xfId="0" applyNumberFormat="1" applyFont="1" applyAlignment="1" applyProtection="1">
      <alignment/>
      <protection/>
    </xf>
    <xf numFmtId="5" fontId="0" fillId="0" borderId="10" xfId="0" applyNumberFormat="1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2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8" fillId="0" borderId="0" xfId="0" applyNumberFormat="1" applyFont="1" applyAlignment="1">
      <alignment horizontal="center"/>
    </xf>
    <xf numFmtId="3" fontId="2" fillId="0" borderId="3" xfId="0" applyNumberFormat="1" applyFont="1" applyBorder="1" applyAlignment="1">
      <alignment/>
    </xf>
    <xf numFmtId="3" fontId="2" fillId="0" borderId="6" xfId="0" applyNumberFormat="1" applyFont="1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0" fontId="0" fillId="0" borderId="0" xfId="0" applyFill="1" applyBorder="1" applyAlignment="1">
      <alignment/>
    </xf>
    <xf numFmtId="0" fontId="9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CG69"/>
  <sheetViews>
    <sheetView tabSelected="1" defaultGridColor="0" view="pageBreakPreview" zoomScale="60" zoomScaleNormal="75" colorId="22" workbookViewId="0" topLeftCell="B1">
      <pane xSplit="1" ySplit="7" topLeftCell="X8" activePane="bottomRight" state="frozen"/>
      <selection pane="topLeft" activeCell="B1" sqref="B1"/>
      <selection pane="topRight" activeCell="C1" sqref="C1"/>
      <selection pane="bottomLeft" activeCell="B8" sqref="B8"/>
      <selection pane="bottomRight" activeCell="AC38" sqref="AC38"/>
    </sheetView>
  </sheetViews>
  <sheetFormatPr defaultColWidth="9.77734375" defaultRowHeight="15"/>
  <cols>
    <col min="1" max="1" width="3.10546875" style="0" customWidth="1"/>
    <col min="2" max="2" width="17.77734375" style="0" customWidth="1"/>
    <col min="3" max="3" width="14.77734375" style="0" customWidth="1"/>
    <col min="4" max="4" width="14.88671875" style="66" customWidth="1"/>
    <col min="5" max="5" width="14.77734375" style="66" customWidth="1"/>
    <col min="6" max="6" width="17.99609375" style="66" customWidth="1"/>
    <col min="7" max="7" width="14.88671875" style="0" customWidth="1"/>
    <col min="8" max="8" width="6.88671875" style="0" customWidth="1"/>
    <col min="9" max="9" width="14.88671875" style="66" customWidth="1"/>
    <col min="10" max="11" width="14.77734375" style="66" customWidth="1"/>
    <col min="12" max="12" width="14.88671875" style="0" customWidth="1"/>
    <col min="13" max="13" width="6.88671875" style="0" customWidth="1"/>
    <col min="14" max="14" width="14.88671875" style="66" customWidth="1"/>
    <col min="15" max="16" width="14.77734375" style="66" customWidth="1"/>
    <col min="17" max="17" width="14.88671875" style="0" customWidth="1"/>
    <col min="18" max="18" width="6.88671875" style="0" customWidth="1"/>
    <col min="19" max="19" width="14.88671875" style="66" customWidth="1"/>
    <col min="20" max="21" width="14.77734375" style="66" customWidth="1"/>
    <col min="22" max="22" width="14.88671875" style="0" customWidth="1"/>
    <col min="23" max="23" width="6.88671875" style="0" customWidth="1"/>
    <col min="24" max="24" width="14.88671875" style="0" customWidth="1"/>
    <col min="25" max="26" width="14.77734375" style="0" customWidth="1"/>
    <col min="27" max="27" width="14.88671875" style="0" customWidth="1"/>
    <col min="28" max="28" width="6.88671875" style="0" customWidth="1"/>
    <col min="29" max="29" width="14.88671875" style="0" customWidth="1"/>
    <col min="30" max="31" width="14.77734375" style="0" customWidth="1"/>
    <col min="32" max="32" width="14.88671875" style="0" customWidth="1"/>
    <col min="33" max="33" width="6.88671875" style="0" customWidth="1"/>
    <col min="34" max="34" width="14.88671875" style="0" customWidth="1"/>
    <col min="35" max="36" width="14.77734375" style="0" customWidth="1"/>
    <col min="37" max="37" width="14.88671875" style="0" customWidth="1"/>
    <col min="38" max="38" width="6.88671875" style="0" customWidth="1"/>
    <col min="39" max="40" width="14.77734375" style="0" customWidth="1"/>
    <col min="41" max="41" width="14.88671875" style="0" customWidth="1"/>
    <col min="42" max="42" width="14.77734375" style="0" customWidth="1"/>
    <col min="43" max="43" width="6.88671875" style="0" customWidth="1"/>
    <col min="44" max="47" width="14.77734375" style="0" customWidth="1"/>
    <col min="48" max="48" width="6.99609375" style="0" customWidth="1"/>
    <col min="49" max="52" width="14.77734375" style="0" customWidth="1"/>
    <col min="53" max="53" width="6.99609375" style="0" customWidth="1"/>
    <col min="54" max="54" width="15.5546875" style="0" customWidth="1"/>
    <col min="55" max="55" width="14.3359375" style="0" customWidth="1"/>
    <col min="56" max="56" width="16.88671875" style="0" customWidth="1"/>
    <col min="57" max="57" width="14.77734375" style="0" customWidth="1"/>
    <col min="58" max="58" width="6.99609375" style="0" customWidth="1"/>
    <col min="59" max="62" width="14.77734375" style="0" customWidth="1"/>
    <col min="63" max="63" width="6.99609375" style="0" customWidth="1"/>
    <col min="64" max="67" width="14.77734375" style="0" customWidth="1"/>
    <col min="68" max="68" width="6.99609375" style="0" customWidth="1"/>
    <col min="69" max="72" width="14.77734375" style="0" customWidth="1"/>
    <col min="73" max="73" width="6.99609375" style="0" customWidth="1"/>
    <col min="74" max="77" width="14.77734375" style="0" customWidth="1"/>
    <col min="78" max="78" width="6.99609375" style="0" customWidth="1"/>
    <col min="79" max="82" width="14.77734375" style="0" customWidth="1"/>
    <col min="83" max="83" width="6.99609375" style="0" customWidth="1"/>
    <col min="84" max="16384" width="11.4453125" style="0" customWidth="1"/>
  </cols>
  <sheetData>
    <row r="1" spans="3:83" ht="15.75">
      <c r="C1" s="80" t="s">
        <v>84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1" t="s">
        <v>85</v>
      </c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81" t="s">
        <v>84</v>
      </c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BD1" s="1" t="s">
        <v>86</v>
      </c>
      <c r="BL1" s="81" t="s">
        <v>86</v>
      </c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80" t="s">
        <v>87</v>
      </c>
      <c r="CB1" s="80"/>
      <c r="CC1" s="80"/>
      <c r="CD1" s="80"/>
      <c r="CE1" s="80"/>
    </row>
    <row r="2" spans="35:77" ht="10.5" customHeight="1">
      <c r="AI2" s="1"/>
      <c r="AX2" s="1"/>
      <c r="AZ2" s="4"/>
      <c r="BJ2" s="4"/>
      <c r="BL2" s="4"/>
      <c r="BO2" s="4"/>
      <c r="BV2" s="4"/>
      <c r="BY2" s="1"/>
    </row>
    <row r="3" spans="3:83" ht="24.75" customHeight="1">
      <c r="C3" s="78" t="s">
        <v>81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2"/>
      <c r="R3" s="2"/>
      <c r="S3" s="78" t="s">
        <v>81</v>
      </c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8" t="s">
        <v>81</v>
      </c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8" t="s">
        <v>81</v>
      </c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8" t="s">
        <v>82</v>
      </c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82" t="s">
        <v>82</v>
      </c>
      <c r="CB3" s="82"/>
      <c r="CC3" s="82"/>
      <c r="CD3" s="82"/>
      <c r="CE3" s="82"/>
    </row>
    <row r="4" spans="2:83" ht="21.75" customHeight="1">
      <c r="B4" s="2"/>
      <c r="C4" s="78" t="s">
        <v>0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2"/>
      <c r="R4" s="2"/>
      <c r="S4" s="78" t="s">
        <v>0</v>
      </c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8" t="s">
        <v>0</v>
      </c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8" t="s">
        <v>0</v>
      </c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8" t="s">
        <v>69</v>
      </c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82" t="s">
        <v>69</v>
      </c>
      <c r="CB4" s="82"/>
      <c r="CC4" s="82"/>
      <c r="CD4" s="82"/>
      <c r="CE4" s="82"/>
    </row>
    <row r="5" spans="2:52" ht="15" customHeight="1">
      <c r="B5" s="5"/>
      <c r="C5" s="3"/>
      <c r="D5" s="67"/>
      <c r="E5" s="67"/>
      <c r="F5" s="67"/>
      <c r="G5" s="3"/>
      <c r="H5" s="3"/>
      <c r="I5" s="67"/>
      <c r="J5" s="67"/>
      <c r="K5" s="67"/>
      <c r="L5" s="3"/>
      <c r="M5" s="3"/>
      <c r="N5" s="67"/>
      <c r="O5" s="67"/>
      <c r="P5" s="67"/>
      <c r="Q5" s="3"/>
      <c r="R5" s="3"/>
      <c r="S5" s="67"/>
      <c r="T5" s="67"/>
      <c r="U5" s="67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2:83" ht="23.25">
      <c r="B6" s="6"/>
      <c r="C6" s="7"/>
      <c r="D6" s="68" t="s">
        <v>80</v>
      </c>
      <c r="E6" s="69"/>
      <c r="F6" s="69" t="s">
        <v>1</v>
      </c>
      <c r="G6" s="7"/>
      <c r="H6" s="58" t="s">
        <v>11</v>
      </c>
      <c r="I6" s="68"/>
      <c r="J6" s="69" t="s">
        <v>83</v>
      </c>
      <c r="K6" s="69"/>
      <c r="L6" s="7"/>
      <c r="M6" s="58" t="s">
        <v>11</v>
      </c>
      <c r="N6" s="68"/>
      <c r="O6" s="69" t="s">
        <v>79</v>
      </c>
      <c r="P6" s="69"/>
      <c r="Q6" s="7"/>
      <c r="R6" s="58" t="s">
        <v>11</v>
      </c>
      <c r="S6" s="68"/>
      <c r="T6" s="69" t="s">
        <v>77</v>
      </c>
      <c r="U6" s="69"/>
      <c r="V6" s="7"/>
      <c r="W6" s="58" t="s">
        <v>11</v>
      </c>
      <c r="X6" s="7"/>
      <c r="Y6" s="27" t="s">
        <v>75</v>
      </c>
      <c r="Z6" s="27"/>
      <c r="AA6" s="7"/>
      <c r="AB6" s="58" t="s">
        <v>11</v>
      </c>
      <c r="AC6" s="7"/>
      <c r="AD6" s="27" t="s">
        <v>74</v>
      </c>
      <c r="AE6" s="27"/>
      <c r="AF6" s="7"/>
      <c r="AG6" s="58" t="s">
        <v>11</v>
      </c>
      <c r="AH6" s="7"/>
      <c r="AI6" s="27" t="s">
        <v>72</v>
      </c>
      <c r="AJ6" s="27"/>
      <c r="AK6" s="7"/>
      <c r="AL6" s="58" t="s">
        <v>11</v>
      </c>
      <c r="AM6" s="7"/>
      <c r="AN6" s="27" t="s">
        <v>68</v>
      </c>
      <c r="AO6" s="27"/>
      <c r="AP6" s="7"/>
      <c r="AQ6" s="58" t="s">
        <v>11</v>
      </c>
      <c r="AR6" s="7"/>
      <c r="AS6" s="27" t="s">
        <v>65</v>
      </c>
      <c r="AT6" s="27"/>
      <c r="AU6" s="7"/>
      <c r="AV6" s="58" t="s">
        <v>11</v>
      </c>
      <c r="AW6" s="7"/>
      <c r="AX6" s="27" t="s">
        <v>12</v>
      </c>
      <c r="AY6" s="27"/>
      <c r="AZ6" s="7"/>
      <c r="BA6" s="58" t="s">
        <v>11</v>
      </c>
      <c r="BB6" s="7"/>
      <c r="BC6" s="27" t="s">
        <v>13</v>
      </c>
      <c r="BD6" s="27"/>
      <c r="BE6" s="7"/>
      <c r="BF6" s="58" t="s">
        <v>11</v>
      </c>
      <c r="BG6" s="7"/>
      <c r="BH6" s="27" t="s">
        <v>14</v>
      </c>
      <c r="BI6" s="27"/>
      <c r="BJ6" s="7"/>
      <c r="BK6" s="58" t="s">
        <v>11</v>
      </c>
      <c r="BL6" s="7"/>
      <c r="BM6" s="27" t="s">
        <v>15</v>
      </c>
      <c r="BN6" s="27"/>
      <c r="BO6" s="7"/>
      <c r="BP6" s="58" t="s">
        <v>11</v>
      </c>
      <c r="BQ6" s="7"/>
      <c r="BR6" s="27" t="s">
        <v>16</v>
      </c>
      <c r="BS6" s="27"/>
      <c r="BT6" s="7"/>
      <c r="BU6" s="58" t="s">
        <v>11</v>
      </c>
      <c r="BV6" s="35"/>
      <c r="BW6" s="27" t="s">
        <v>17</v>
      </c>
      <c r="BX6" s="27"/>
      <c r="BY6" s="35"/>
      <c r="BZ6" s="58" t="s">
        <v>11</v>
      </c>
      <c r="CA6" s="35"/>
      <c r="CB6" s="27" t="s">
        <v>18</v>
      </c>
      <c r="CC6" s="27"/>
      <c r="CD6" s="35"/>
      <c r="CE6" s="58" t="s">
        <v>11</v>
      </c>
    </row>
    <row r="7" spans="2:85" ht="21" thickBot="1">
      <c r="B7" s="50" t="s">
        <v>2</v>
      </c>
      <c r="C7" s="51" t="s">
        <v>3</v>
      </c>
      <c r="D7" s="70" t="s">
        <v>4</v>
      </c>
      <c r="E7" s="70" t="s">
        <v>5</v>
      </c>
      <c r="F7" s="70" t="s">
        <v>9</v>
      </c>
      <c r="G7" s="52" t="s">
        <v>67</v>
      </c>
      <c r="H7" s="60" t="s">
        <v>6</v>
      </c>
      <c r="I7" s="70" t="s">
        <v>3</v>
      </c>
      <c r="J7" s="70" t="s">
        <v>10</v>
      </c>
      <c r="K7" s="70" t="s">
        <v>5</v>
      </c>
      <c r="L7" s="52" t="s">
        <v>6</v>
      </c>
      <c r="M7" s="60" t="s">
        <v>6</v>
      </c>
      <c r="N7" s="70" t="s">
        <v>3</v>
      </c>
      <c r="O7" s="70" t="s">
        <v>10</v>
      </c>
      <c r="P7" s="70" t="s">
        <v>5</v>
      </c>
      <c r="Q7" s="52" t="s">
        <v>6</v>
      </c>
      <c r="R7" s="60" t="s">
        <v>6</v>
      </c>
      <c r="S7" s="70" t="s">
        <v>3</v>
      </c>
      <c r="T7" s="70" t="s">
        <v>10</v>
      </c>
      <c r="U7" s="70" t="s">
        <v>5</v>
      </c>
      <c r="V7" s="52" t="s">
        <v>6</v>
      </c>
      <c r="W7" s="60" t="s">
        <v>6</v>
      </c>
      <c r="X7" s="52" t="s">
        <v>3</v>
      </c>
      <c r="Y7" s="52" t="s">
        <v>10</v>
      </c>
      <c r="Z7" s="52" t="s">
        <v>5</v>
      </c>
      <c r="AA7" s="52" t="s">
        <v>6</v>
      </c>
      <c r="AB7" s="60" t="s">
        <v>6</v>
      </c>
      <c r="AC7" s="52" t="s">
        <v>3</v>
      </c>
      <c r="AD7" s="52" t="s">
        <v>10</v>
      </c>
      <c r="AE7" s="52" t="s">
        <v>5</v>
      </c>
      <c r="AF7" s="52" t="s">
        <v>6</v>
      </c>
      <c r="AG7" s="60" t="s">
        <v>6</v>
      </c>
      <c r="AH7" s="52" t="s">
        <v>3</v>
      </c>
      <c r="AI7" s="52" t="s">
        <v>10</v>
      </c>
      <c r="AJ7" s="52" t="s">
        <v>5</v>
      </c>
      <c r="AK7" s="52" t="s">
        <v>6</v>
      </c>
      <c r="AL7" s="60" t="s">
        <v>6</v>
      </c>
      <c r="AM7" s="52" t="s">
        <v>3</v>
      </c>
      <c r="AN7" s="52" t="s">
        <v>10</v>
      </c>
      <c r="AO7" s="52" t="s">
        <v>5</v>
      </c>
      <c r="AP7" s="52" t="s">
        <v>6</v>
      </c>
      <c r="AQ7" s="60" t="s">
        <v>6</v>
      </c>
      <c r="AR7" s="52" t="s">
        <v>3</v>
      </c>
      <c r="AS7" s="52" t="s">
        <v>10</v>
      </c>
      <c r="AT7" s="52" t="s">
        <v>5</v>
      </c>
      <c r="AU7" s="52" t="s">
        <v>6</v>
      </c>
      <c r="AV7" s="60" t="s">
        <v>6</v>
      </c>
      <c r="AW7" s="52" t="s">
        <v>3</v>
      </c>
      <c r="AX7" s="52" t="s">
        <v>10</v>
      </c>
      <c r="AY7" s="52" t="s">
        <v>5</v>
      </c>
      <c r="AZ7" s="52" t="s">
        <v>6</v>
      </c>
      <c r="BA7" s="60" t="s">
        <v>6</v>
      </c>
      <c r="BB7" s="52" t="s">
        <v>3</v>
      </c>
      <c r="BC7" s="52" t="s">
        <v>4</v>
      </c>
      <c r="BD7" s="52" t="s">
        <v>5</v>
      </c>
      <c r="BE7" s="52" t="s">
        <v>6</v>
      </c>
      <c r="BF7" s="60" t="s">
        <v>6</v>
      </c>
      <c r="BG7" s="51" t="s">
        <v>3</v>
      </c>
      <c r="BH7" s="51" t="s">
        <v>4</v>
      </c>
      <c r="BI7" s="51" t="s">
        <v>5</v>
      </c>
      <c r="BJ7" s="51" t="s">
        <v>6</v>
      </c>
      <c r="BK7" s="59" t="s">
        <v>6</v>
      </c>
      <c r="BL7" s="51" t="s">
        <v>3</v>
      </c>
      <c r="BM7" s="51" t="s">
        <v>10</v>
      </c>
      <c r="BN7" s="51" t="s">
        <v>5</v>
      </c>
      <c r="BO7" s="51" t="s">
        <v>6</v>
      </c>
      <c r="BP7" s="59" t="s">
        <v>6</v>
      </c>
      <c r="BQ7" s="51" t="s">
        <v>3</v>
      </c>
      <c r="BR7" s="51" t="s">
        <v>4</v>
      </c>
      <c r="BS7" s="51" t="s">
        <v>5</v>
      </c>
      <c r="BT7" s="51" t="s">
        <v>6</v>
      </c>
      <c r="BU7" s="59" t="s">
        <v>6</v>
      </c>
      <c r="BV7" s="51" t="s">
        <v>3</v>
      </c>
      <c r="BW7" s="51" t="s">
        <v>4</v>
      </c>
      <c r="BX7" s="51" t="s">
        <v>5</v>
      </c>
      <c r="BY7" s="51" t="s">
        <v>6</v>
      </c>
      <c r="BZ7" s="59" t="s">
        <v>6</v>
      </c>
      <c r="CA7" s="51" t="s">
        <v>3</v>
      </c>
      <c r="CB7" s="51" t="s">
        <v>4</v>
      </c>
      <c r="CC7" s="51" t="s">
        <v>5</v>
      </c>
      <c r="CD7" s="51" t="s">
        <v>6</v>
      </c>
      <c r="CE7" s="76" t="s">
        <v>6</v>
      </c>
      <c r="CF7" s="77"/>
      <c r="CG7" s="61"/>
    </row>
    <row r="8" spans="2:83" ht="15.75">
      <c r="B8" s="8"/>
      <c r="C8" s="9"/>
      <c r="D8" s="71"/>
      <c r="E8" s="71"/>
      <c r="F8" s="71"/>
      <c r="G8" s="9"/>
      <c r="H8" s="40"/>
      <c r="I8" s="71"/>
      <c r="J8" s="71"/>
      <c r="K8" s="71"/>
      <c r="L8" s="9"/>
      <c r="M8" s="40"/>
      <c r="N8" s="71"/>
      <c r="O8" s="71"/>
      <c r="P8" s="71"/>
      <c r="Q8" s="9"/>
      <c r="R8" s="40"/>
      <c r="S8" s="71"/>
      <c r="T8" s="71"/>
      <c r="U8" s="71"/>
      <c r="V8" s="9"/>
      <c r="W8" s="40"/>
      <c r="X8" s="9"/>
      <c r="Y8" s="9"/>
      <c r="Z8" s="9"/>
      <c r="AA8" s="9"/>
      <c r="AB8" s="40"/>
      <c r="AC8" s="9"/>
      <c r="AD8" s="9"/>
      <c r="AE8" s="9"/>
      <c r="AF8" s="9"/>
      <c r="AG8" s="40"/>
      <c r="AH8" s="9"/>
      <c r="AI8" s="9"/>
      <c r="AJ8" s="9"/>
      <c r="AK8" s="9"/>
      <c r="AL8" s="40"/>
      <c r="AM8" s="9"/>
      <c r="AN8" s="9"/>
      <c r="AO8" s="9"/>
      <c r="AP8" s="9"/>
      <c r="AQ8" s="40"/>
      <c r="AR8" s="9"/>
      <c r="AS8" s="9"/>
      <c r="AT8" s="9"/>
      <c r="AU8" s="9"/>
      <c r="AV8" s="40"/>
      <c r="AW8" s="9"/>
      <c r="AX8" s="9"/>
      <c r="AY8" s="9"/>
      <c r="AZ8" s="9"/>
      <c r="BA8" s="40"/>
      <c r="BB8" s="9"/>
      <c r="BC8" s="9"/>
      <c r="BD8" s="9"/>
      <c r="BE8" s="9"/>
      <c r="BF8" s="40"/>
      <c r="BG8" s="9"/>
      <c r="BH8" s="9"/>
      <c r="BI8" s="9"/>
      <c r="BJ8" s="9"/>
      <c r="BK8" s="40"/>
      <c r="BL8" s="9"/>
      <c r="BM8" s="9"/>
      <c r="BN8" s="9"/>
      <c r="BO8" s="9"/>
      <c r="BP8" s="40"/>
      <c r="BQ8" s="9"/>
      <c r="BR8" s="9"/>
      <c r="BS8" s="9"/>
      <c r="BT8" s="9"/>
      <c r="BU8" s="40"/>
      <c r="BV8" s="9"/>
      <c r="BW8" s="9"/>
      <c r="BX8" s="9"/>
      <c r="BY8" s="9"/>
      <c r="BZ8" s="40"/>
      <c r="CA8" s="9"/>
      <c r="CB8" s="9"/>
      <c r="CC8" s="9"/>
      <c r="CD8" s="9"/>
      <c r="CE8" s="40"/>
    </row>
    <row r="9" spans="2:83" ht="15">
      <c r="B9" t="s">
        <v>19</v>
      </c>
      <c r="C9" s="11">
        <f>CA9+BV9+BQ9+BL9+BG9+BB9+AW9+AR9+AM9+AH9+AC9+X9+S9+N9+I9</f>
        <v>16904353</v>
      </c>
      <c r="D9" s="49">
        <f>CB9+BW9+BR9+BM9+BH9+BC9+AX9+AS9+AN9+AI9+AD9+Y9+T9+O9+J9</f>
        <v>15147369</v>
      </c>
      <c r="E9" s="49">
        <f>CC9+BX9+BS9+BN9+BI9+BD9+AY9+AT9+AO9+AJ9+AE9+Z9+U9+P9+K9</f>
        <v>0</v>
      </c>
      <c r="F9" s="49">
        <f aca="true" t="shared" si="0" ref="F9:F57">C9+D9+E9</f>
        <v>32051722</v>
      </c>
      <c r="G9" s="11">
        <f>RANK(F9,F$9:F$58,0)</f>
        <v>34</v>
      </c>
      <c r="H9" s="41">
        <f aca="true" t="shared" si="1" ref="H9:H57">F9/F$61</f>
        <v>0.002544587255596308</v>
      </c>
      <c r="I9" s="49">
        <v>3478524</v>
      </c>
      <c r="J9" s="49"/>
      <c r="K9" s="49"/>
      <c r="L9" s="11">
        <f aca="true" t="shared" si="2" ref="L9:L58">I9+J9+K9</f>
        <v>3478524</v>
      </c>
      <c r="M9" s="41">
        <f aca="true" t="shared" si="3" ref="M9:M58">L9/L$61</f>
        <v>0.0027108218450324845</v>
      </c>
      <c r="N9" s="49">
        <v>1870000</v>
      </c>
      <c r="O9" s="49">
        <v>930000</v>
      </c>
      <c r="P9" s="49"/>
      <c r="Q9" s="11">
        <f>N9+O9+P9</f>
        <v>2800000</v>
      </c>
      <c r="R9" s="41">
        <f aca="true" t="shared" si="4" ref="R9:R58">Q9/Q$61</f>
        <v>0.002807149388419897</v>
      </c>
      <c r="S9" s="49"/>
      <c r="T9" s="49"/>
      <c r="U9" s="49"/>
      <c r="V9" s="11"/>
      <c r="W9" s="41"/>
      <c r="X9" s="49">
        <v>826022</v>
      </c>
      <c r="Y9" s="49">
        <v>2600000</v>
      </c>
      <c r="Z9" s="49"/>
      <c r="AA9" s="11">
        <f>X9+Y9+Z9</f>
        <v>3426022</v>
      </c>
      <c r="AB9" s="41">
        <f aca="true" t="shared" si="5" ref="AB9:AB58">AA9/AA$61</f>
        <v>0.00397280112577839</v>
      </c>
      <c r="AC9" s="49">
        <v>1113442</v>
      </c>
      <c r="AD9" s="49">
        <v>2600000</v>
      </c>
      <c r="AE9" s="49"/>
      <c r="AF9" s="11">
        <f>AC9+AD9+AE9</f>
        <v>3713442</v>
      </c>
      <c r="AG9" s="41">
        <f aca="true" t="shared" si="6" ref="AG9:AG57">AF9/AF$61</f>
        <v>0.003217730393376219</v>
      </c>
      <c r="AH9" s="49">
        <v>4700000</v>
      </c>
      <c r="AI9" s="49">
        <v>500000</v>
      </c>
      <c r="AJ9" s="49"/>
      <c r="AK9" s="11">
        <f>AH9+AI9+AJ9</f>
        <v>5200000</v>
      </c>
      <c r="AL9" s="41">
        <f aca="true" t="shared" si="7" ref="AL9:AL57">AK9/AK$61</f>
        <v>0.0037405659581606016</v>
      </c>
      <c r="AM9" s="49">
        <v>2000000</v>
      </c>
      <c r="AN9" s="49">
        <v>500000</v>
      </c>
      <c r="AO9" s="49"/>
      <c r="AP9" s="11">
        <f>AM9+AN9+AO9</f>
        <v>2500000</v>
      </c>
      <c r="AQ9" s="41">
        <f>AP9/AP$61</f>
        <v>0.001690580259167482</v>
      </c>
      <c r="AR9" s="49"/>
      <c r="AS9" s="49"/>
      <c r="AT9" s="49"/>
      <c r="AU9" s="11"/>
      <c r="AV9" s="41"/>
      <c r="AW9" s="11">
        <v>1000000</v>
      </c>
      <c r="AX9" s="11">
        <v>720000</v>
      </c>
      <c r="AY9" s="10"/>
      <c r="AZ9" s="11">
        <f>AW9+AX9+AY9</f>
        <v>1720000</v>
      </c>
      <c r="BA9" s="41">
        <f>AZ9/AZ$61</f>
        <v>0.004478995648348447</v>
      </c>
      <c r="BB9" s="11"/>
      <c r="BC9" s="11">
        <v>1000000</v>
      </c>
      <c r="BD9" s="10"/>
      <c r="BE9" s="11">
        <f>BB9+BC9+BD9</f>
        <v>1000000</v>
      </c>
      <c r="BF9" s="41">
        <f>BE9/BE$61</f>
        <v>0.001858967970916922</v>
      </c>
      <c r="BG9" s="11">
        <v>381365</v>
      </c>
      <c r="BH9" s="11">
        <v>1714635</v>
      </c>
      <c r="BI9" s="10"/>
      <c r="BJ9" s="11">
        <f>BG9+BH9+BI9</f>
        <v>2096000</v>
      </c>
      <c r="BK9" s="41">
        <f>BJ9/BJ$61</f>
        <v>0.0030528810915690535</v>
      </c>
      <c r="BL9" s="11">
        <v>100000</v>
      </c>
      <c r="BM9" s="11">
        <v>524958</v>
      </c>
      <c r="BN9" s="10"/>
      <c r="BO9" s="11">
        <f>BL9+BM9+BN9</f>
        <v>624958</v>
      </c>
      <c r="BP9" s="41">
        <f>BO9/BO$61</f>
        <v>0.0006888281088575201</v>
      </c>
      <c r="BQ9" s="10"/>
      <c r="BR9" s="11">
        <v>764300</v>
      </c>
      <c r="BS9" s="11"/>
      <c r="BT9" s="11">
        <f aca="true" t="shared" si="8" ref="BT9:BT18">SUM(BQ9:BS9)</f>
        <v>764300</v>
      </c>
      <c r="BU9" s="41">
        <f aca="true" t="shared" si="9" ref="BU9:BU18">BT9/BT$61</f>
        <v>0.0016130192326426636</v>
      </c>
      <c r="BV9" s="11">
        <v>1435000</v>
      </c>
      <c r="BW9" s="11">
        <v>2792000</v>
      </c>
      <c r="BX9" s="10"/>
      <c r="BY9" s="11">
        <f>SUM(BV9:BX9)</f>
        <v>4227000</v>
      </c>
      <c r="BZ9" s="41">
        <f>BY9/BY$61</f>
        <v>0.00986225714191788</v>
      </c>
      <c r="CA9" s="10"/>
      <c r="CB9" s="11">
        <v>501476</v>
      </c>
      <c r="CC9" s="10"/>
      <c r="CD9" s="11">
        <f>SUM(CA9:CC9)</f>
        <v>501476</v>
      </c>
      <c r="CE9" s="41">
        <f>CD9/CD$61</f>
        <v>0.002058969432086923</v>
      </c>
    </row>
    <row r="10" spans="2:83" ht="15">
      <c r="B10" t="s">
        <v>20</v>
      </c>
      <c r="C10" s="39">
        <f aca="true" t="shared" si="10" ref="C10:C58">CA10+BV10+BQ10+BL10+BG10+BB10+AW10+AR10+AM10+AH10+AC10+X10+S10+N10+I10</f>
        <v>11911216</v>
      </c>
      <c r="D10" s="46">
        <f aca="true" t="shared" si="11" ref="D10:D58">CB10+BW10+BR10+BM10+BH10+BC10+AX10+AS10+AN10+AI10+AD10+Y10+T10+O10+J10</f>
        <v>29801853</v>
      </c>
      <c r="E10" s="46">
        <f aca="true" t="shared" si="12" ref="E10:E58">CC10+BX10+BS10+BN10+BI10+BD10+AY10+AT10+AO10+AJ10+AE10+Z10+U10+P10+K10</f>
        <v>3810550</v>
      </c>
      <c r="F10" s="46">
        <f t="shared" si="0"/>
        <v>45523619</v>
      </c>
      <c r="G10" s="13">
        <f aca="true" t="shared" si="13" ref="G10:G58">RANK(F10,F$9:F$58,0)</f>
        <v>29</v>
      </c>
      <c r="H10" s="41">
        <f t="shared" si="1"/>
        <v>0.0036141215980851804</v>
      </c>
      <c r="I10" s="46"/>
      <c r="J10" s="46">
        <v>1702189</v>
      </c>
      <c r="K10" s="46">
        <v>920162</v>
      </c>
      <c r="L10" s="13">
        <f t="shared" si="2"/>
        <v>2622351</v>
      </c>
      <c r="M10" s="41">
        <f t="shared" si="3"/>
        <v>0.002043604234480711</v>
      </c>
      <c r="N10" s="46">
        <v>788062</v>
      </c>
      <c r="O10" s="46">
        <v>1842023</v>
      </c>
      <c r="P10" s="46"/>
      <c r="Q10" s="13">
        <f aca="true" t="shared" si="14" ref="Q10:Q58">N10+O10+P10</f>
        <v>2630085</v>
      </c>
      <c r="R10" s="41">
        <f t="shared" si="4"/>
        <v>0.002636800535443695</v>
      </c>
      <c r="S10" s="46">
        <v>717496</v>
      </c>
      <c r="T10" s="46">
        <v>13357174</v>
      </c>
      <c r="U10" s="46">
        <v>2642000</v>
      </c>
      <c r="V10" s="13">
        <f>S10+T10+U10</f>
        <v>16716670</v>
      </c>
      <c r="W10" s="41">
        <f aca="true" t="shared" si="15" ref="W10:W57">V10/V$61</f>
        <v>0.017138703038430722</v>
      </c>
      <c r="X10" s="46"/>
      <c r="Y10" s="46">
        <v>498024</v>
      </c>
      <c r="Z10" s="46"/>
      <c r="AA10" s="13">
        <f>X10+Y10+Z10</f>
        <v>498024</v>
      </c>
      <c r="AB10" s="41">
        <f t="shared" si="5"/>
        <v>0.0005775065974079142</v>
      </c>
      <c r="AC10" s="46">
        <v>1284820</v>
      </c>
      <c r="AD10" s="46">
        <v>1094370</v>
      </c>
      <c r="AE10" s="46"/>
      <c r="AF10" s="13">
        <f>AC10+AD10+AE10</f>
        <v>2379190</v>
      </c>
      <c r="AG10" s="41">
        <f t="shared" si="6"/>
        <v>0.002061589214162162</v>
      </c>
      <c r="AH10" s="46"/>
      <c r="AI10" s="46">
        <v>2531707</v>
      </c>
      <c r="AJ10" s="46"/>
      <c r="AK10" s="13">
        <f>AH10+AI10+AJ10</f>
        <v>2531707</v>
      </c>
      <c r="AL10" s="41">
        <f t="shared" si="7"/>
        <v>0.0018211571192763274</v>
      </c>
      <c r="AM10" s="46"/>
      <c r="AN10" s="46">
        <v>227425</v>
      </c>
      <c r="AO10" s="46"/>
      <c r="AP10" s="13">
        <f>AM10+AN10+AO10</f>
        <v>227425</v>
      </c>
      <c r="AQ10" s="41">
        <f>AP10/AP$61</f>
        <v>0.00015379208617646585</v>
      </c>
      <c r="AR10" s="46"/>
      <c r="AS10" s="46">
        <v>2912425</v>
      </c>
      <c r="AT10" s="46"/>
      <c r="AU10" s="13">
        <f>AR10+AS10+AT10</f>
        <v>2912425</v>
      </c>
      <c r="AV10" s="41">
        <f>AU10/AU$61</f>
        <v>0.003673322467031432</v>
      </c>
      <c r="AW10" s="13">
        <v>227400</v>
      </c>
      <c r="AX10" s="13">
        <v>1136200</v>
      </c>
      <c r="AY10" s="12"/>
      <c r="AZ10" s="13">
        <f>AW10+AX10+AY10</f>
        <v>1363600</v>
      </c>
      <c r="BA10" s="41">
        <f>AZ10/AZ$61</f>
        <v>0.0035509060849348508</v>
      </c>
      <c r="BB10" s="13">
        <v>3002010</v>
      </c>
      <c r="BC10" s="13">
        <v>1355453</v>
      </c>
      <c r="BD10" s="12"/>
      <c r="BE10" s="13">
        <f>BB10+BC10+BD10</f>
        <v>4357463</v>
      </c>
      <c r="BF10" s="41">
        <f>BE10/BE$61</f>
        <v>0.008100384151455564</v>
      </c>
      <c r="BG10" s="13">
        <v>909700</v>
      </c>
      <c r="BH10" s="13">
        <v>227425</v>
      </c>
      <c r="BI10" s="12"/>
      <c r="BJ10" s="13">
        <f>BG10+BH10+BI10</f>
        <v>1137125</v>
      </c>
      <c r="BK10" s="41">
        <f>BJ10/BJ$61</f>
        <v>0.001656253535901937</v>
      </c>
      <c r="BL10" s="13">
        <v>3014746</v>
      </c>
      <c r="BM10" s="13">
        <v>120000</v>
      </c>
      <c r="BN10" s="12"/>
      <c r="BO10" s="13">
        <f>BL10+BM10+BN10</f>
        <v>3134746</v>
      </c>
      <c r="BP10" s="41">
        <f>BO10/BO$61</f>
        <v>0.003455114037949231</v>
      </c>
      <c r="BQ10" s="12"/>
      <c r="BR10" s="13">
        <v>2797438</v>
      </c>
      <c r="BS10" s="13"/>
      <c r="BT10" s="13">
        <f t="shared" si="8"/>
        <v>2797438</v>
      </c>
      <c r="BU10" s="41">
        <f t="shared" si="9"/>
        <v>0.00590386143677277</v>
      </c>
      <c r="BV10" s="13">
        <v>1966982</v>
      </c>
      <c r="BW10" s="12"/>
      <c r="BX10" s="12"/>
      <c r="BY10" s="13">
        <f>SUM(BV10:BX10)</f>
        <v>1966982</v>
      </c>
      <c r="BZ10" s="41">
        <f>BY10/BY$61</f>
        <v>0.004589278986875779</v>
      </c>
      <c r="CA10" s="12"/>
      <c r="CB10" s="12"/>
      <c r="CC10" s="13">
        <v>248388</v>
      </c>
      <c r="CD10" s="13">
        <f>SUM(CA10:CC10)</f>
        <v>248388</v>
      </c>
      <c r="CE10" s="41">
        <f>CD10/CD$61</f>
        <v>0.0010198360425966678</v>
      </c>
    </row>
    <row r="11" spans="2:83" ht="15">
      <c r="B11" t="s">
        <v>21</v>
      </c>
      <c r="C11" s="39">
        <f t="shared" si="10"/>
        <v>0</v>
      </c>
      <c r="D11" s="46">
        <f t="shared" si="11"/>
        <v>9560354</v>
      </c>
      <c r="E11" s="46">
        <f t="shared" si="12"/>
        <v>1876342</v>
      </c>
      <c r="F11" s="46">
        <f t="shared" si="0"/>
        <v>11436696</v>
      </c>
      <c r="G11" s="13">
        <f t="shared" si="13"/>
        <v>41</v>
      </c>
      <c r="H11" s="41">
        <f t="shared" si="1"/>
        <v>0.0009079596686795571</v>
      </c>
      <c r="I11" s="46"/>
      <c r="J11" s="46"/>
      <c r="K11" s="46"/>
      <c r="L11" s="13">
        <f t="shared" si="2"/>
        <v>0</v>
      </c>
      <c r="M11" s="41">
        <f t="shared" si="3"/>
        <v>0</v>
      </c>
      <c r="N11" s="46"/>
      <c r="O11" s="46"/>
      <c r="P11" s="46"/>
      <c r="Q11" s="13">
        <f t="shared" si="14"/>
        <v>0</v>
      </c>
      <c r="R11" s="41">
        <f t="shared" si="4"/>
        <v>0</v>
      </c>
      <c r="S11" s="46"/>
      <c r="T11" s="46">
        <v>1940000</v>
      </c>
      <c r="U11" s="46">
        <v>387253</v>
      </c>
      <c r="V11" s="13">
        <f>S11+T11+U11</f>
        <v>2327253</v>
      </c>
      <c r="W11" s="41">
        <f t="shared" si="15"/>
        <v>0.0023860073843831944</v>
      </c>
      <c r="X11" s="46"/>
      <c r="Y11" s="46">
        <v>3160000</v>
      </c>
      <c r="Z11" s="46">
        <v>343520</v>
      </c>
      <c r="AA11" s="13">
        <f>X11+Y11+Z11</f>
        <v>3503520</v>
      </c>
      <c r="AB11" s="41">
        <f t="shared" si="5"/>
        <v>0.004062667490222511</v>
      </c>
      <c r="AC11" s="46"/>
      <c r="AD11" s="46"/>
      <c r="AE11" s="46"/>
      <c r="AF11" s="13"/>
      <c r="AG11" s="41"/>
      <c r="AH11" s="46"/>
      <c r="AI11" s="46">
        <v>965354</v>
      </c>
      <c r="AJ11" s="46">
        <v>1145569</v>
      </c>
      <c r="AK11" s="13">
        <f>AH11+AI11+AJ11</f>
        <v>2110923</v>
      </c>
      <c r="AL11" s="41">
        <f t="shared" si="7"/>
        <v>0.0015184705219419715</v>
      </c>
      <c r="AM11" s="46"/>
      <c r="AN11" s="46"/>
      <c r="AO11" s="46"/>
      <c r="AP11" s="13"/>
      <c r="AQ11" s="41"/>
      <c r="AR11" s="46"/>
      <c r="AS11" s="46"/>
      <c r="AT11" s="46"/>
      <c r="AU11" s="13"/>
      <c r="AV11" s="41"/>
      <c r="AW11" s="12"/>
      <c r="AX11" s="12"/>
      <c r="AY11" s="12"/>
      <c r="AZ11" s="13"/>
      <c r="BA11" s="41"/>
      <c r="BB11" s="12"/>
      <c r="BC11" s="12"/>
      <c r="BD11" s="12"/>
      <c r="BE11" s="13"/>
      <c r="BF11" s="41"/>
      <c r="BG11" s="12"/>
      <c r="BH11" s="12"/>
      <c r="BI11" s="12"/>
      <c r="BJ11" s="13"/>
      <c r="BK11" s="41"/>
      <c r="BL11" s="12"/>
      <c r="BM11" s="12"/>
      <c r="BN11" s="12"/>
      <c r="BO11" s="13"/>
      <c r="BP11" s="41"/>
      <c r="BQ11" s="12"/>
      <c r="BR11" s="13">
        <v>3495000</v>
      </c>
      <c r="BS11" s="13"/>
      <c r="BT11" s="13">
        <f t="shared" si="8"/>
        <v>3495000</v>
      </c>
      <c r="BU11" s="41">
        <f t="shared" si="9"/>
        <v>0.007376033256687308</v>
      </c>
      <c r="BY11" s="12"/>
      <c r="BZ11" s="41"/>
      <c r="CD11" s="12"/>
      <c r="CE11" s="41"/>
    </row>
    <row r="12" spans="2:83" ht="15">
      <c r="B12" t="s">
        <v>22</v>
      </c>
      <c r="C12" s="39">
        <f t="shared" si="10"/>
        <v>137458367</v>
      </c>
      <c r="D12" s="46">
        <f t="shared" si="11"/>
        <v>53764336</v>
      </c>
      <c r="E12" s="46">
        <f t="shared" si="12"/>
        <v>5142956</v>
      </c>
      <c r="F12" s="46">
        <f t="shared" si="0"/>
        <v>196365659</v>
      </c>
      <c r="G12" s="13">
        <f t="shared" si="13"/>
        <v>16</v>
      </c>
      <c r="H12" s="41">
        <f t="shared" si="1"/>
        <v>0.015589476076454502</v>
      </c>
      <c r="I12" s="46">
        <v>20783959</v>
      </c>
      <c r="J12" s="46"/>
      <c r="K12" s="46">
        <v>5142956</v>
      </c>
      <c r="L12" s="13">
        <f t="shared" si="2"/>
        <v>25926915</v>
      </c>
      <c r="M12" s="41">
        <f t="shared" si="3"/>
        <v>0.02020490517136015</v>
      </c>
      <c r="N12" s="46">
        <v>19266233</v>
      </c>
      <c r="O12" s="46">
        <v>6715053</v>
      </c>
      <c r="P12" s="46"/>
      <c r="Q12" s="13">
        <f t="shared" si="14"/>
        <v>25981286</v>
      </c>
      <c r="R12" s="41">
        <f t="shared" si="4"/>
        <v>0.026047625394736585</v>
      </c>
      <c r="S12" s="46">
        <v>19553994</v>
      </c>
      <c r="T12" s="46">
        <v>12792905</v>
      </c>
      <c r="U12" s="46"/>
      <c r="V12" s="13">
        <f aca="true" t="shared" si="16" ref="V12:V53">S12+T12+U12</f>
        <v>32346899</v>
      </c>
      <c r="W12" s="41">
        <f t="shared" si="15"/>
        <v>0.03316353652821475</v>
      </c>
      <c r="X12" s="46"/>
      <c r="Y12" s="46">
        <v>2369307</v>
      </c>
      <c r="Z12" s="46"/>
      <c r="AA12" s="13">
        <f aca="true" t="shared" si="17" ref="AA12:AA31">X12+Y12+Z12</f>
        <v>2369307</v>
      </c>
      <c r="AB12" s="41">
        <f t="shared" si="5"/>
        <v>0.0027474387254123353</v>
      </c>
      <c r="AC12" s="46">
        <v>16920379</v>
      </c>
      <c r="AD12" s="46">
        <v>6861500</v>
      </c>
      <c r="AE12" s="46"/>
      <c r="AF12" s="13">
        <f aca="true" t="shared" si="18" ref="AF12:AF38">AC12+AD12+AE12</f>
        <v>23781879</v>
      </c>
      <c r="AG12" s="41">
        <f t="shared" si="6"/>
        <v>0.020607208856337503</v>
      </c>
      <c r="AH12" s="46"/>
      <c r="AI12" s="46">
        <v>3414850</v>
      </c>
      <c r="AJ12" s="46"/>
      <c r="AK12" s="13">
        <f aca="true" t="shared" si="19" ref="AK12:AK18">AH12+AI12+AJ12</f>
        <v>3414850</v>
      </c>
      <c r="AL12" s="41">
        <f t="shared" si="7"/>
        <v>0.0024564368581201403</v>
      </c>
      <c r="AM12" s="46">
        <v>3996064</v>
      </c>
      <c r="AN12" s="46">
        <v>8562270</v>
      </c>
      <c r="AO12" s="46"/>
      <c r="AP12" s="13">
        <f aca="true" t="shared" si="20" ref="AP12:AP18">AM12+AN12+AO12</f>
        <v>12558334</v>
      </c>
      <c r="AQ12" s="41">
        <f aca="true" t="shared" si="21" ref="AQ12:AQ18">AP12/AP$61</f>
        <v>0.00849234861937272</v>
      </c>
      <c r="AR12" s="46">
        <v>22641980</v>
      </c>
      <c r="AS12" s="46">
        <v>1000000</v>
      </c>
      <c r="AT12" s="46"/>
      <c r="AU12" s="13">
        <f aca="true" t="shared" si="22" ref="AU12:AU18">AR12+AS12+AT12</f>
        <v>23641980</v>
      </c>
      <c r="AV12" s="41">
        <f aca="true" t="shared" si="23" ref="AV12:AV18">AU12/AU$61</f>
        <v>0.02981866187081479</v>
      </c>
      <c r="AW12" s="13"/>
      <c r="AX12" s="13">
        <v>3302866</v>
      </c>
      <c r="AY12" s="12"/>
      <c r="AZ12" s="13">
        <f>AW12+AX12+AY12</f>
        <v>3302866</v>
      </c>
      <c r="BA12" s="41">
        <f>AZ12/AZ$61</f>
        <v>0.008600885140161654</v>
      </c>
      <c r="BB12" s="13">
        <v>3850247</v>
      </c>
      <c r="BC12" s="13">
        <f>1000000+1966853</f>
        <v>2966853</v>
      </c>
      <c r="BD12" s="12"/>
      <c r="BE12" s="13">
        <f>BB12+BC12+BD12</f>
        <v>6817100</v>
      </c>
      <c r="BF12" s="41">
        <f>BE12/BE$61</f>
        <v>0.012672770554537749</v>
      </c>
      <c r="BG12" s="13">
        <v>5549400</v>
      </c>
      <c r="BH12" s="13"/>
      <c r="BI12" s="12"/>
      <c r="BJ12" s="13">
        <f aca="true" t="shared" si="24" ref="BJ12:BJ34">BG12+BH12+BI12</f>
        <v>5549400</v>
      </c>
      <c r="BK12" s="41">
        <f aca="true" t="shared" si="25" ref="BK12:BK31">BJ12/BJ$61</f>
        <v>0.008082852256466272</v>
      </c>
      <c r="BL12" s="13">
        <v>12746531</v>
      </c>
      <c r="BM12" s="13">
        <v>2000350</v>
      </c>
      <c r="BN12" s="12"/>
      <c r="BO12" s="13">
        <f>BL12+BM12+BN12</f>
        <v>14746881</v>
      </c>
      <c r="BP12" s="41">
        <f>BO12/BO$61</f>
        <v>0.016253998109916016</v>
      </c>
      <c r="BQ12" s="12"/>
      <c r="BR12" s="13">
        <v>1791700</v>
      </c>
      <c r="BS12" s="13"/>
      <c r="BT12" s="13">
        <f t="shared" si="8"/>
        <v>1791700</v>
      </c>
      <c r="BU12" s="41">
        <f t="shared" si="9"/>
        <v>0.0037812986512179257</v>
      </c>
      <c r="BV12" s="13">
        <v>12149580</v>
      </c>
      <c r="BW12" s="13">
        <v>1386682</v>
      </c>
      <c r="BY12" s="13">
        <f>SUM(BV12:BX12)</f>
        <v>13536262</v>
      </c>
      <c r="BZ12" s="41">
        <f>BY12/BY$61</f>
        <v>0.031582232454310764</v>
      </c>
      <c r="CA12" s="12"/>
      <c r="CB12" s="13">
        <v>600000</v>
      </c>
      <c r="CC12" s="12"/>
      <c r="CD12" s="13">
        <f>SUM(CA12:CC12)</f>
        <v>600000</v>
      </c>
      <c r="CE12" s="41">
        <f>CD12/CD$61</f>
        <v>0.002463491092798367</v>
      </c>
    </row>
    <row r="13" spans="2:83" ht="15">
      <c r="B13" s="14" t="s">
        <v>23</v>
      </c>
      <c r="C13" s="15">
        <f t="shared" si="10"/>
        <v>2149666968</v>
      </c>
      <c r="D13" s="47">
        <f t="shared" si="11"/>
        <v>1815136085</v>
      </c>
      <c r="E13" s="47">
        <f t="shared" si="12"/>
        <v>102350350</v>
      </c>
      <c r="F13" s="47">
        <f t="shared" si="0"/>
        <v>4067153403</v>
      </c>
      <c r="G13" s="15">
        <f t="shared" si="13"/>
        <v>1</v>
      </c>
      <c r="H13" s="42">
        <f t="shared" si="1"/>
        <v>0.32289144139678216</v>
      </c>
      <c r="I13" s="47">
        <v>137268764</v>
      </c>
      <c r="J13" s="47"/>
      <c r="K13" s="47">
        <v>77887000</v>
      </c>
      <c r="L13" s="15">
        <f t="shared" si="2"/>
        <v>215155764</v>
      </c>
      <c r="M13" s="42">
        <f t="shared" si="3"/>
        <v>0.1676713873861022</v>
      </c>
      <c r="N13" s="47">
        <v>201595574</v>
      </c>
      <c r="O13" s="47">
        <v>143785728</v>
      </c>
      <c r="P13" s="47">
        <v>2557195</v>
      </c>
      <c r="Q13" s="15">
        <f t="shared" si="14"/>
        <v>347938497</v>
      </c>
      <c r="R13" s="42">
        <f t="shared" si="4"/>
        <v>0.3488269068076029</v>
      </c>
      <c r="S13" s="47">
        <v>168969364</v>
      </c>
      <c r="T13" s="47">
        <v>166008664</v>
      </c>
      <c r="U13" s="47">
        <v>1000000</v>
      </c>
      <c r="V13" s="15">
        <f t="shared" si="16"/>
        <v>335978028</v>
      </c>
      <c r="W13" s="42">
        <f t="shared" si="15"/>
        <v>0.34446020943941363</v>
      </c>
      <c r="X13" s="47">
        <v>150086431</v>
      </c>
      <c r="Y13" s="47">
        <v>102101283</v>
      </c>
      <c r="Z13" s="47">
        <v>954719</v>
      </c>
      <c r="AA13" s="15">
        <f t="shared" si="17"/>
        <v>253142433</v>
      </c>
      <c r="AB13" s="42">
        <f t="shared" si="5"/>
        <v>0.2935429319498476</v>
      </c>
      <c r="AC13" s="47">
        <v>231700852</v>
      </c>
      <c r="AD13" s="47">
        <v>184956604</v>
      </c>
      <c r="AE13" s="47">
        <v>7840636</v>
      </c>
      <c r="AF13" s="15">
        <f t="shared" si="18"/>
        <v>424498092</v>
      </c>
      <c r="AG13" s="42">
        <f t="shared" si="6"/>
        <v>0.36783135768880043</v>
      </c>
      <c r="AH13" s="47">
        <v>214276092</v>
      </c>
      <c r="AI13" s="47">
        <v>424897490</v>
      </c>
      <c r="AJ13" s="47"/>
      <c r="AK13" s="15">
        <f t="shared" si="19"/>
        <v>639173582</v>
      </c>
      <c r="AL13" s="42">
        <f t="shared" si="7"/>
        <v>0.45978287349707186</v>
      </c>
      <c r="AM13" s="47">
        <v>388937612</v>
      </c>
      <c r="AN13" s="47">
        <v>270064232</v>
      </c>
      <c r="AO13" s="47">
        <v>2600000</v>
      </c>
      <c r="AP13" s="15">
        <f t="shared" si="20"/>
        <v>661601844</v>
      </c>
      <c r="AQ13" s="42">
        <f t="shared" si="21"/>
        <v>0.4473964067580816</v>
      </c>
      <c r="AR13" s="47">
        <v>280225556</v>
      </c>
      <c r="AS13" s="47">
        <v>95315055</v>
      </c>
      <c r="AT13" s="47">
        <v>3405300</v>
      </c>
      <c r="AU13" s="15">
        <f t="shared" si="22"/>
        <v>378945911</v>
      </c>
      <c r="AV13" s="42">
        <f t="shared" si="23"/>
        <v>0.47794896990171193</v>
      </c>
      <c r="AW13" s="15">
        <v>51336786</v>
      </c>
      <c r="AX13" s="15">
        <v>48808943</v>
      </c>
      <c r="AY13" s="28"/>
      <c r="AZ13" s="15">
        <f>AW13+AX13+AY13</f>
        <v>100145729</v>
      </c>
      <c r="BA13" s="42">
        <f>AZ13/AZ$61</f>
        <v>0.2607862118556296</v>
      </c>
      <c r="BB13" s="15">
        <f>46442100+25950180</f>
        <v>72392280</v>
      </c>
      <c r="BC13" s="15">
        <f>88699000+23364923-10200000</f>
        <v>101863923</v>
      </c>
      <c r="BD13" s="28"/>
      <c r="BE13" s="15">
        <f>BB13+BC13+BD13</f>
        <v>174256203</v>
      </c>
      <c r="BF13" s="42">
        <f>BE13/BE$61</f>
        <v>0.3239367001105973</v>
      </c>
      <c r="BG13" s="15">
        <v>67469493</v>
      </c>
      <c r="BH13" s="15">
        <v>84422542</v>
      </c>
      <c r="BI13" s="28">
        <v>6105500</v>
      </c>
      <c r="BJ13" s="15">
        <f t="shared" si="24"/>
        <v>157997535</v>
      </c>
      <c r="BK13" s="42">
        <f t="shared" si="25"/>
        <v>0.2301277133187117</v>
      </c>
      <c r="BL13" s="15">
        <v>104323669</v>
      </c>
      <c r="BM13" s="15">
        <v>145848956</v>
      </c>
      <c r="BN13" s="28"/>
      <c r="BO13" s="15">
        <f>BL13+BM13+BN13</f>
        <v>250172625</v>
      </c>
      <c r="BP13" s="42">
        <f>BO13/BO$61</f>
        <v>0.27574002759652894</v>
      </c>
      <c r="BQ13" s="15">
        <v>30470428</v>
      </c>
      <c r="BR13" s="15">
        <v>11294230</v>
      </c>
      <c r="BS13" s="15"/>
      <c r="BT13" s="15">
        <f t="shared" si="8"/>
        <v>41764658</v>
      </c>
      <c r="BU13" s="42">
        <f t="shared" si="9"/>
        <v>0.08814234802923365</v>
      </c>
      <c r="BV13" s="15">
        <f>41345567-500</f>
        <v>41345067</v>
      </c>
      <c r="BW13" s="15">
        <f>34036935+500</f>
        <v>34037435</v>
      </c>
      <c r="BX13" s="14"/>
      <c r="BY13" s="15">
        <f>SUM(BV13:BX13)</f>
        <v>75382502</v>
      </c>
      <c r="BZ13" s="42">
        <f>BY13/BY$61</f>
        <v>0.17587925685477618</v>
      </c>
      <c r="CA13" s="15">
        <v>9269000</v>
      </c>
      <c r="CB13" s="15">
        <v>1731000</v>
      </c>
      <c r="CC13" s="28"/>
      <c r="CD13" s="15">
        <f>SUM(CA13:CC13)</f>
        <v>11000000</v>
      </c>
      <c r="CE13" s="42">
        <f>CD13/CD$61</f>
        <v>0.04516400336797006</v>
      </c>
    </row>
    <row r="14" spans="2:83" ht="15">
      <c r="B14" t="s">
        <v>24</v>
      </c>
      <c r="C14" s="13">
        <f t="shared" si="10"/>
        <v>78718402</v>
      </c>
      <c r="D14" s="46">
        <f t="shared" si="11"/>
        <v>23224759</v>
      </c>
      <c r="E14" s="46">
        <f t="shared" si="12"/>
        <v>0</v>
      </c>
      <c r="F14" s="46">
        <f t="shared" si="0"/>
        <v>101943161</v>
      </c>
      <c r="G14" s="13">
        <f>RANK(F14,F$9:F$58,0)</f>
        <v>22</v>
      </c>
      <c r="H14" s="41">
        <f t="shared" si="1"/>
        <v>0.00809327087873165</v>
      </c>
      <c r="I14" s="46">
        <v>7206152</v>
      </c>
      <c r="J14" s="46"/>
      <c r="K14" s="46"/>
      <c r="L14" s="13">
        <f t="shared" si="2"/>
        <v>7206152</v>
      </c>
      <c r="M14" s="41">
        <f t="shared" si="3"/>
        <v>0.005615771016737135</v>
      </c>
      <c r="N14" s="46">
        <v>6652504</v>
      </c>
      <c r="O14" s="46">
        <v>1015567</v>
      </c>
      <c r="P14" s="46"/>
      <c r="Q14" s="13">
        <f t="shared" si="14"/>
        <v>7668071</v>
      </c>
      <c r="R14" s="41">
        <f t="shared" si="4"/>
        <v>0.007687650292146553</v>
      </c>
      <c r="S14" s="46">
        <v>12002896</v>
      </c>
      <c r="T14" s="46">
        <v>600000</v>
      </c>
      <c r="U14" s="46"/>
      <c r="V14" s="13">
        <f t="shared" si="16"/>
        <v>12602896</v>
      </c>
      <c r="W14" s="41">
        <f t="shared" si="15"/>
        <v>0.012921071718723072</v>
      </c>
      <c r="X14" s="46">
        <v>13635370</v>
      </c>
      <c r="Y14" s="46">
        <v>773192</v>
      </c>
      <c r="Z14" s="46"/>
      <c r="AA14" s="13">
        <f t="shared" si="17"/>
        <v>14408562</v>
      </c>
      <c r="AB14" s="41">
        <f t="shared" si="5"/>
        <v>0.016708109677768482</v>
      </c>
      <c r="AC14" s="46">
        <v>8729007</v>
      </c>
      <c r="AD14" s="46">
        <v>80000</v>
      </c>
      <c r="AE14" s="46"/>
      <c r="AF14" s="13">
        <f t="shared" si="18"/>
        <v>8809007</v>
      </c>
      <c r="AG14" s="41">
        <f t="shared" si="6"/>
        <v>0.007633082611594275</v>
      </c>
      <c r="AH14" s="46">
        <v>4536881</v>
      </c>
      <c r="AI14" s="46"/>
      <c r="AJ14" s="46"/>
      <c r="AK14" s="13">
        <f t="shared" si="19"/>
        <v>4536881</v>
      </c>
      <c r="AL14" s="41">
        <f t="shared" si="7"/>
        <v>0.0032635581970818514</v>
      </c>
      <c r="AM14" s="46">
        <v>23969592</v>
      </c>
      <c r="AN14" s="46">
        <v>6000000</v>
      </c>
      <c r="AO14" s="46"/>
      <c r="AP14" s="13">
        <f t="shared" si="20"/>
        <v>29969592</v>
      </c>
      <c r="AQ14" s="41">
        <f t="shared" si="21"/>
        <v>0.02026640024420148</v>
      </c>
      <c r="AR14" s="46">
        <v>30000</v>
      </c>
      <c r="AS14" s="46">
        <v>3676000</v>
      </c>
      <c r="AT14" s="46"/>
      <c r="AU14" s="13">
        <f t="shared" si="22"/>
        <v>3706000</v>
      </c>
      <c r="AV14" s="41">
        <f t="shared" si="23"/>
        <v>0.004674226138979883</v>
      </c>
      <c r="AW14" s="13">
        <v>156000</v>
      </c>
      <c r="AX14" s="13">
        <v>9344000</v>
      </c>
      <c r="AY14" s="12"/>
      <c r="AZ14" s="13">
        <f>AW14+AX14+AY14</f>
        <v>9500000</v>
      </c>
      <c r="BA14" s="41">
        <f>AZ14/AZ$61</f>
        <v>0.024738638755412937</v>
      </c>
      <c r="BB14" s="13"/>
      <c r="BC14" s="13"/>
      <c r="BD14" s="12"/>
      <c r="BE14" s="13"/>
      <c r="BF14" s="41"/>
      <c r="BG14" s="13">
        <v>900000</v>
      </c>
      <c r="BH14" s="13"/>
      <c r="BI14" s="12"/>
      <c r="BJ14" s="13">
        <f t="shared" si="24"/>
        <v>900000</v>
      </c>
      <c r="BK14" s="41">
        <f t="shared" si="25"/>
        <v>0.0013108745145096127</v>
      </c>
      <c r="BL14" s="13">
        <v>900000</v>
      </c>
      <c r="BM14" s="13">
        <v>610000</v>
      </c>
      <c r="BN14" s="12"/>
      <c r="BO14" s="13">
        <f>BL14+BM14+BN14</f>
        <v>1510000</v>
      </c>
      <c r="BP14" s="41">
        <f>BO14/BO$61</f>
        <v>0.0016643205533409529</v>
      </c>
      <c r="BQ14" s="12"/>
      <c r="BR14" s="13">
        <v>986000</v>
      </c>
      <c r="BS14" s="12"/>
      <c r="BT14" s="13">
        <f t="shared" si="8"/>
        <v>986000</v>
      </c>
      <c r="BU14" s="41">
        <f t="shared" si="9"/>
        <v>0.002080906664118365</v>
      </c>
      <c r="BV14" s="12"/>
      <c r="BW14" s="13">
        <v>140000</v>
      </c>
      <c r="BY14" s="13">
        <f>SUM(BV14:BX14)</f>
        <v>140000</v>
      </c>
      <c r="BZ14" s="41">
        <f>BY14/BY$61</f>
        <v>0.0003266420628976823</v>
      </c>
      <c r="CA14" s="12"/>
      <c r="CC14" s="12"/>
      <c r="CD14" s="12"/>
      <c r="CE14" s="41"/>
    </row>
    <row r="15" spans="2:83" ht="15">
      <c r="B15" t="s">
        <v>25</v>
      </c>
      <c r="C15" s="39">
        <f t="shared" si="10"/>
        <v>81258160</v>
      </c>
      <c r="D15" s="46">
        <f t="shared" si="11"/>
        <v>33274380</v>
      </c>
      <c r="E15" s="46">
        <f t="shared" si="12"/>
        <v>27321112</v>
      </c>
      <c r="F15" s="46">
        <f t="shared" si="0"/>
        <v>141853652</v>
      </c>
      <c r="G15" s="13">
        <f t="shared" si="13"/>
        <v>20</v>
      </c>
      <c r="H15" s="41">
        <f t="shared" si="1"/>
        <v>0.011261766061710934</v>
      </c>
      <c r="I15" s="46">
        <v>5300000</v>
      </c>
      <c r="J15" s="46"/>
      <c r="K15" s="46">
        <v>3300000</v>
      </c>
      <c r="L15" s="13">
        <f t="shared" si="2"/>
        <v>8600000</v>
      </c>
      <c r="M15" s="41">
        <f t="shared" si="3"/>
        <v>0.006702000005542398</v>
      </c>
      <c r="N15" s="46">
        <v>800000</v>
      </c>
      <c r="O15" s="46"/>
      <c r="P15" s="46"/>
      <c r="Q15" s="13">
        <f t="shared" si="14"/>
        <v>800000</v>
      </c>
      <c r="R15" s="41">
        <f t="shared" si="4"/>
        <v>0.0008020426824056849</v>
      </c>
      <c r="S15" s="46"/>
      <c r="T15" s="46">
        <v>2000000</v>
      </c>
      <c r="U15" s="46"/>
      <c r="V15" s="13">
        <f t="shared" si="16"/>
        <v>2000000</v>
      </c>
      <c r="W15" s="41">
        <f t="shared" si="15"/>
        <v>0.0020504924770819457</v>
      </c>
      <c r="X15" s="46"/>
      <c r="Y15" s="46">
        <v>9640000</v>
      </c>
      <c r="Z15" s="46">
        <v>8875556</v>
      </c>
      <c r="AA15" s="13">
        <f t="shared" si="17"/>
        <v>18515556</v>
      </c>
      <c r="AB15" s="41">
        <f t="shared" si="5"/>
        <v>0.0214705631549397</v>
      </c>
      <c r="AC15" s="46">
        <v>6876160</v>
      </c>
      <c r="AD15" s="46">
        <v>168000</v>
      </c>
      <c r="AE15" s="46"/>
      <c r="AF15" s="13">
        <f t="shared" si="18"/>
        <v>7044160</v>
      </c>
      <c r="AG15" s="41">
        <f t="shared" si="6"/>
        <v>0.006103827049891994</v>
      </c>
      <c r="AH15" s="46">
        <v>30412400</v>
      </c>
      <c r="AI15" s="46">
        <v>2926000</v>
      </c>
      <c r="AJ15" s="46">
        <v>7145556</v>
      </c>
      <c r="AK15" s="13">
        <f t="shared" si="19"/>
        <v>40483956</v>
      </c>
      <c r="AL15" s="41">
        <f t="shared" si="7"/>
        <v>0.029121713012552237</v>
      </c>
      <c r="AM15" s="46">
        <v>10000000</v>
      </c>
      <c r="AN15" s="46">
        <v>4248000</v>
      </c>
      <c r="AO15" s="46">
        <v>8000000</v>
      </c>
      <c r="AP15" s="13">
        <f t="shared" si="20"/>
        <v>22248000</v>
      </c>
      <c r="AQ15" s="41">
        <f t="shared" si="21"/>
        <v>0.015044811842383255</v>
      </c>
      <c r="AR15" s="46"/>
      <c r="AS15" s="46">
        <v>2160000</v>
      </c>
      <c r="AT15" s="46"/>
      <c r="AU15" s="13">
        <f t="shared" si="22"/>
        <v>2160000</v>
      </c>
      <c r="AV15" s="41">
        <f t="shared" si="23"/>
        <v>0.0027243196060972876</v>
      </c>
      <c r="AW15" s="12"/>
      <c r="AX15" s="13"/>
      <c r="AY15" s="12"/>
      <c r="AZ15" s="13"/>
      <c r="BA15" s="41"/>
      <c r="BB15" s="12"/>
      <c r="BC15" s="13">
        <f>120000+200000</f>
        <v>320000</v>
      </c>
      <c r="BD15" s="12"/>
      <c r="BE15" s="13">
        <f>BB15+BC15+BD15</f>
        <v>320000</v>
      </c>
      <c r="BF15" s="41">
        <f>BE15/BE$61</f>
        <v>0.000594869750693415</v>
      </c>
      <c r="BG15" s="12"/>
      <c r="BH15" s="13">
        <v>2855920</v>
      </c>
      <c r="BI15" s="12"/>
      <c r="BJ15" s="13">
        <f t="shared" si="24"/>
        <v>2855920</v>
      </c>
      <c r="BK15" s="41">
        <f t="shared" si="25"/>
        <v>0.004159725270531436</v>
      </c>
      <c r="BL15" s="12"/>
      <c r="BM15" s="13"/>
      <c r="BN15" s="12"/>
      <c r="BO15" s="13"/>
      <c r="BP15" s="41"/>
      <c r="BQ15" s="13">
        <v>8442400</v>
      </c>
      <c r="BR15" s="13">
        <v>8894628</v>
      </c>
      <c r="BS15" s="12"/>
      <c r="BT15" s="13">
        <f t="shared" si="8"/>
        <v>17337028</v>
      </c>
      <c r="BU15" s="41">
        <f t="shared" si="9"/>
        <v>0.03658898286126439</v>
      </c>
      <c r="BV15" s="13">
        <v>5253600</v>
      </c>
      <c r="BW15" s="12"/>
      <c r="BY15" s="13">
        <f>SUM(BV15:BX15)</f>
        <v>5253600</v>
      </c>
      <c r="BZ15" s="41">
        <f>BY15/BY$61</f>
        <v>0.012257476725994742</v>
      </c>
      <c r="CA15" s="13">
        <v>14173600</v>
      </c>
      <c r="CB15" s="13">
        <v>61832</v>
      </c>
      <c r="CC15" s="12"/>
      <c r="CD15" s="13">
        <f>SUM(CA15:CC15)</f>
        <v>14235432</v>
      </c>
      <c r="CE15" s="41">
        <f>CD15/CD$61</f>
        <v>0.05844809989022807</v>
      </c>
    </row>
    <row r="16" spans="2:83" ht="15">
      <c r="B16" t="s">
        <v>26</v>
      </c>
      <c r="C16" s="39">
        <f t="shared" si="10"/>
        <v>143951466</v>
      </c>
      <c r="D16" s="46">
        <f t="shared" si="11"/>
        <v>37603200</v>
      </c>
      <c r="E16" s="46">
        <f t="shared" si="12"/>
        <v>4280368</v>
      </c>
      <c r="F16" s="46">
        <f t="shared" si="0"/>
        <v>185835034</v>
      </c>
      <c r="G16" s="13">
        <f t="shared" si="13"/>
        <v>17</v>
      </c>
      <c r="H16" s="41">
        <f t="shared" si="1"/>
        <v>0.014753449414034808</v>
      </c>
      <c r="I16" s="46">
        <v>16400000</v>
      </c>
      <c r="J16" s="46"/>
      <c r="K16" s="46"/>
      <c r="L16" s="13">
        <f t="shared" si="2"/>
        <v>16400000</v>
      </c>
      <c r="M16" s="41">
        <f t="shared" si="3"/>
        <v>0.012780558150104109</v>
      </c>
      <c r="N16" s="46">
        <v>30039424</v>
      </c>
      <c r="O16" s="46">
        <v>1760000</v>
      </c>
      <c r="P16" s="46"/>
      <c r="Q16" s="13">
        <f t="shared" si="14"/>
        <v>31799424</v>
      </c>
      <c r="R16" s="41">
        <f t="shared" si="4"/>
        <v>0.031880619154894645</v>
      </c>
      <c r="S16" s="46">
        <v>6443200</v>
      </c>
      <c r="T16" s="46"/>
      <c r="U16" s="46">
        <v>141574</v>
      </c>
      <c r="V16" s="13">
        <f t="shared" si="16"/>
        <v>6584774</v>
      </c>
      <c r="W16" s="41">
        <f t="shared" si="15"/>
        <v>0.006751014775142395</v>
      </c>
      <c r="X16" s="46">
        <v>4997600</v>
      </c>
      <c r="Y16" s="46"/>
      <c r="Z16" s="46">
        <v>627251</v>
      </c>
      <c r="AA16" s="13">
        <f t="shared" si="17"/>
        <v>5624851</v>
      </c>
      <c r="AB16" s="41">
        <f t="shared" si="5"/>
        <v>0.0065225542583018156</v>
      </c>
      <c r="AC16" s="46">
        <v>28458664</v>
      </c>
      <c r="AD16" s="46">
        <v>800000</v>
      </c>
      <c r="AE16" s="46">
        <v>3511543</v>
      </c>
      <c r="AF16" s="13">
        <f t="shared" si="18"/>
        <v>32770207</v>
      </c>
      <c r="AG16" s="41">
        <f t="shared" si="6"/>
        <v>0.02839567470318107</v>
      </c>
      <c r="AH16" s="46"/>
      <c r="AI16" s="46"/>
      <c r="AJ16" s="46"/>
      <c r="AK16" s="13">
        <f t="shared" si="19"/>
        <v>0</v>
      </c>
      <c r="AL16" s="41">
        <f t="shared" si="7"/>
        <v>0</v>
      </c>
      <c r="AM16" s="46">
        <v>13330939</v>
      </c>
      <c r="AN16" s="46"/>
      <c r="AO16" s="46"/>
      <c r="AP16" s="13">
        <f t="shared" si="20"/>
        <v>13330939</v>
      </c>
      <c r="AQ16" s="41">
        <f t="shared" si="21"/>
        <v>0.009014808923826357</v>
      </c>
      <c r="AR16" s="46">
        <v>3032400</v>
      </c>
      <c r="AS16" s="46">
        <v>2400000</v>
      </c>
      <c r="AT16" s="46"/>
      <c r="AU16" s="13">
        <f t="shared" si="22"/>
        <v>5432400</v>
      </c>
      <c r="AV16" s="41">
        <f t="shared" si="23"/>
        <v>0.006851663809334678</v>
      </c>
      <c r="AW16" s="12">
        <v>1576000</v>
      </c>
      <c r="AX16" s="13">
        <v>900000</v>
      </c>
      <c r="AY16" s="12"/>
      <c r="AZ16" s="13">
        <f>AW16+AX16+AY16</f>
        <v>2476000</v>
      </c>
      <c r="BA16" s="41">
        <f>AZ16/AZ$61</f>
        <v>0.006447670479831835</v>
      </c>
      <c r="BB16" s="12">
        <v>5187003</v>
      </c>
      <c r="BC16" s="13">
        <f>39400+475200</f>
        <v>514600</v>
      </c>
      <c r="BD16" s="12"/>
      <c r="BE16" s="13">
        <f>BB16+BC16+BD16</f>
        <v>5701603</v>
      </c>
      <c r="BF16" s="41">
        <f>BE16/BE$61</f>
        <v>0.010599097359883835</v>
      </c>
      <c r="BG16" s="12">
        <v>18620376</v>
      </c>
      <c r="BH16" s="13">
        <v>14748000</v>
      </c>
      <c r="BI16" s="12"/>
      <c r="BJ16" s="13">
        <f t="shared" si="24"/>
        <v>33368376</v>
      </c>
      <c r="BK16" s="41">
        <f t="shared" si="25"/>
        <v>0.04860194854330468</v>
      </c>
      <c r="BL16" s="12"/>
      <c r="BM16" s="13">
        <v>12000000</v>
      </c>
      <c r="BN16" s="12"/>
      <c r="BO16" s="13">
        <f aca="true" t="shared" si="26" ref="BO16:BO23">BL16+BM16+BN16</f>
        <v>12000000</v>
      </c>
      <c r="BP16" s="41">
        <f aca="true" t="shared" si="27" ref="BP16:BP23">BO16/BO$61</f>
        <v>0.013226388503371812</v>
      </c>
      <c r="BQ16" s="13">
        <v>11265860</v>
      </c>
      <c r="BR16" s="13">
        <v>4480600</v>
      </c>
      <c r="BT16" s="13">
        <f t="shared" si="8"/>
        <v>15746460</v>
      </c>
      <c r="BU16" s="41">
        <f t="shared" si="9"/>
        <v>0.033232163844090536</v>
      </c>
      <c r="BV16" s="12"/>
      <c r="BY16" s="13"/>
      <c r="BZ16" s="41"/>
      <c r="CA16" s="13">
        <v>4600000</v>
      </c>
      <c r="CC16" s="12"/>
      <c r="CD16" s="13">
        <f>SUM(CA16:CC16)</f>
        <v>4600000</v>
      </c>
      <c r="CE16" s="41">
        <f>CD16/CD$61</f>
        <v>0.01888676504478748</v>
      </c>
    </row>
    <row r="17" spans="2:83" ht="15">
      <c r="B17" t="s">
        <v>27</v>
      </c>
      <c r="C17" s="39">
        <f t="shared" si="10"/>
        <v>216753768</v>
      </c>
      <c r="D17" s="46">
        <f t="shared" si="11"/>
        <v>71061038</v>
      </c>
      <c r="E17" s="46">
        <f t="shared" si="12"/>
        <v>21979430</v>
      </c>
      <c r="F17" s="46">
        <f t="shared" si="0"/>
        <v>309794236</v>
      </c>
      <c r="G17" s="13">
        <f t="shared" si="13"/>
        <v>10</v>
      </c>
      <c r="H17" s="41">
        <f t="shared" si="1"/>
        <v>0.024594574506255698</v>
      </c>
      <c r="I17" s="46">
        <v>21110000</v>
      </c>
      <c r="J17" s="46"/>
      <c r="K17" s="46">
        <v>21850485</v>
      </c>
      <c r="L17" s="13">
        <f t="shared" si="2"/>
        <v>42960485</v>
      </c>
      <c r="M17" s="41">
        <f t="shared" si="3"/>
        <v>0.03347920589629118</v>
      </c>
      <c r="N17" s="46">
        <v>5861474</v>
      </c>
      <c r="O17" s="46">
        <v>15678877</v>
      </c>
      <c r="P17" s="46"/>
      <c r="Q17" s="13">
        <f t="shared" si="14"/>
        <v>21540351</v>
      </c>
      <c r="R17" s="41">
        <f t="shared" si="4"/>
        <v>0.02159535111999997</v>
      </c>
      <c r="S17" s="46">
        <v>12175000</v>
      </c>
      <c r="T17" s="46">
        <v>7864350</v>
      </c>
      <c r="U17" s="46"/>
      <c r="V17" s="13">
        <f t="shared" si="16"/>
        <v>20039350</v>
      </c>
      <c r="W17" s="41">
        <f t="shared" si="15"/>
        <v>0.020545268210306042</v>
      </c>
      <c r="X17" s="46">
        <v>11490000</v>
      </c>
      <c r="Y17" s="46">
        <v>8081910</v>
      </c>
      <c r="Z17" s="46"/>
      <c r="AA17" s="13">
        <f t="shared" si="17"/>
        <v>19571910</v>
      </c>
      <c r="AB17" s="41">
        <f t="shared" si="5"/>
        <v>0.022695506941179402</v>
      </c>
      <c r="AC17" s="46">
        <v>66643131</v>
      </c>
      <c r="AD17" s="46">
        <v>9075850</v>
      </c>
      <c r="AE17" s="46"/>
      <c r="AF17" s="13">
        <f t="shared" si="18"/>
        <v>75718981</v>
      </c>
      <c r="AG17" s="41">
        <f t="shared" si="6"/>
        <v>0.06561116789199252</v>
      </c>
      <c r="AH17" s="46">
        <v>16735196</v>
      </c>
      <c r="AI17" s="46">
        <v>4200000</v>
      </c>
      <c r="AJ17" s="46"/>
      <c r="AK17" s="13">
        <f t="shared" si="19"/>
        <v>20935196</v>
      </c>
      <c r="AL17" s="41">
        <f t="shared" si="7"/>
        <v>0.015059515670196153</v>
      </c>
      <c r="AM17" s="46">
        <v>39873820</v>
      </c>
      <c r="AN17" s="46">
        <v>5882550</v>
      </c>
      <c r="AO17" s="46"/>
      <c r="AP17" s="13">
        <f t="shared" si="20"/>
        <v>45756370</v>
      </c>
      <c r="AQ17" s="41">
        <f t="shared" si="21"/>
        <v>0.030941926341265278</v>
      </c>
      <c r="AR17" s="46">
        <v>11955617</v>
      </c>
      <c r="AS17" s="46">
        <v>11023068</v>
      </c>
      <c r="AT17" s="46"/>
      <c r="AU17" s="13">
        <f t="shared" si="22"/>
        <v>22978685</v>
      </c>
      <c r="AV17" s="41">
        <f t="shared" si="23"/>
        <v>0.02898207503140447</v>
      </c>
      <c r="AW17" s="13">
        <v>8588328</v>
      </c>
      <c r="AX17" s="13">
        <v>4357683</v>
      </c>
      <c r="AY17" s="12">
        <v>128945</v>
      </c>
      <c r="AZ17" s="13">
        <f>AW17+AX17+AY17</f>
        <v>13074956</v>
      </c>
      <c r="BA17" s="41">
        <f>AZ17/AZ$61</f>
        <v>0.03404806455020199</v>
      </c>
      <c r="BB17" s="13">
        <v>5289050</v>
      </c>
      <c r="BC17" s="13">
        <v>3663000</v>
      </c>
      <c r="BD17" s="12"/>
      <c r="BE17" s="13">
        <f>BB17+BC17+BD17</f>
        <v>8952050</v>
      </c>
      <c r="BF17" s="41">
        <f>BE17/BE$61</f>
        <v>0.016641574224046832</v>
      </c>
      <c r="BG17" s="13">
        <v>3697944</v>
      </c>
      <c r="BH17" s="13"/>
      <c r="BI17" s="12"/>
      <c r="BJ17" s="13">
        <f t="shared" si="24"/>
        <v>3697944</v>
      </c>
      <c r="BK17" s="41">
        <f t="shared" si="25"/>
        <v>0.005386156161870817</v>
      </c>
      <c r="BL17" s="13">
        <v>6800000</v>
      </c>
      <c r="BM17" s="13">
        <v>1233750</v>
      </c>
      <c r="BN17" s="12"/>
      <c r="BO17" s="13">
        <f t="shared" si="26"/>
        <v>8033750</v>
      </c>
      <c r="BP17" s="41">
        <f t="shared" si="27"/>
        <v>0.00885479155324694</v>
      </c>
      <c r="BQ17" s="13">
        <v>2078400</v>
      </c>
      <c r="BR17" s="13"/>
      <c r="BT17" s="13">
        <f t="shared" si="8"/>
        <v>2078400</v>
      </c>
      <c r="BU17" s="41">
        <f t="shared" si="9"/>
        <v>0.004386365528096968</v>
      </c>
      <c r="BV17" s="13">
        <v>4455808</v>
      </c>
      <c r="BW17" s="12"/>
      <c r="BY17" s="13">
        <f aca="true" t="shared" si="28" ref="BY17:BY26">SUM(BV17:BX17)</f>
        <v>4455808</v>
      </c>
      <c r="BZ17" s="41">
        <f aca="true" t="shared" si="29" ref="BZ17:BZ26">BY17/BY$61</f>
        <v>0.010396102264257115</v>
      </c>
      <c r="CA17" s="12"/>
      <c r="CB17" s="12"/>
      <c r="CC17" s="12"/>
      <c r="CD17" s="12"/>
      <c r="CE17" s="41"/>
    </row>
    <row r="18" spans="2:83" ht="15">
      <c r="B18" s="14" t="s">
        <v>28</v>
      </c>
      <c r="C18" s="15">
        <f t="shared" si="10"/>
        <v>121935821</v>
      </c>
      <c r="D18" s="47">
        <f t="shared" si="11"/>
        <v>147646059</v>
      </c>
      <c r="E18" s="47">
        <f t="shared" si="12"/>
        <v>72694000</v>
      </c>
      <c r="F18" s="47">
        <f t="shared" si="0"/>
        <v>342275880</v>
      </c>
      <c r="G18" s="15">
        <f t="shared" si="13"/>
        <v>7</v>
      </c>
      <c r="H18" s="42">
        <f t="shared" si="1"/>
        <v>0.027173293283462623</v>
      </c>
      <c r="I18" s="47">
        <v>10812000</v>
      </c>
      <c r="J18" s="47">
        <v>746000</v>
      </c>
      <c r="K18" s="47">
        <v>23080000</v>
      </c>
      <c r="L18" s="15">
        <f t="shared" si="2"/>
        <v>34638000</v>
      </c>
      <c r="M18" s="42">
        <f t="shared" si="3"/>
        <v>0.02699347397581135</v>
      </c>
      <c r="N18" s="47">
        <v>24253999</v>
      </c>
      <c r="O18" s="47">
        <v>25587920</v>
      </c>
      <c r="P18" s="47">
        <v>24583262</v>
      </c>
      <c r="Q18" s="15">
        <f t="shared" si="14"/>
        <v>74425181</v>
      </c>
      <c r="R18" s="42">
        <f t="shared" si="4"/>
        <v>0.07461521475971077</v>
      </c>
      <c r="S18" s="47">
        <v>10348000</v>
      </c>
      <c r="T18" s="47">
        <v>17600000</v>
      </c>
      <c r="U18" s="47"/>
      <c r="V18" s="15">
        <f t="shared" si="16"/>
        <v>27948000</v>
      </c>
      <c r="W18" s="42">
        <f t="shared" si="15"/>
        <v>0.028653581874743105</v>
      </c>
      <c r="X18" s="47">
        <v>26174801</v>
      </c>
      <c r="Y18" s="47">
        <v>16980000</v>
      </c>
      <c r="Z18" s="47">
        <v>8000000</v>
      </c>
      <c r="AA18" s="15">
        <f t="shared" si="17"/>
        <v>51154801</v>
      </c>
      <c r="AB18" s="42">
        <f t="shared" si="5"/>
        <v>0.059318898419732716</v>
      </c>
      <c r="AC18" s="47">
        <v>23763600</v>
      </c>
      <c r="AD18" s="47">
        <v>8480000</v>
      </c>
      <c r="AE18" s="47">
        <v>17030738</v>
      </c>
      <c r="AF18" s="15">
        <f t="shared" si="18"/>
        <v>49274338</v>
      </c>
      <c r="AG18" s="42">
        <f t="shared" si="6"/>
        <v>0.042696650438082184</v>
      </c>
      <c r="AH18" s="47">
        <v>1964000</v>
      </c>
      <c r="AI18" s="47">
        <v>19854400</v>
      </c>
      <c r="AJ18" s="47"/>
      <c r="AK18" s="15">
        <f t="shared" si="19"/>
        <v>21818400</v>
      </c>
      <c r="AL18" s="42">
        <f t="shared" si="7"/>
        <v>0.015694839288756014</v>
      </c>
      <c r="AM18" s="47">
        <v>12175600</v>
      </c>
      <c r="AN18" s="47">
        <v>45264000</v>
      </c>
      <c r="AO18" s="47"/>
      <c r="AP18" s="15">
        <f t="shared" si="20"/>
        <v>57439600</v>
      </c>
      <c r="AQ18" s="42">
        <f t="shared" si="21"/>
        <v>0.0388425015417906</v>
      </c>
      <c r="AR18" s="47">
        <v>2950600</v>
      </c>
      <c r="AS18" s="47"/>
      <c r="AT18" s="47"/>
      <c r="AU18" s="15">
        <f t="shared" si="22"/>
        <v>2950600</v>
      </c>
      <c r="AV18" s="42">
        <f t="shared" si="23"/>
        <v>0.003721471032291971</v>
      </c>
      <c r="AW18" s="15">
        <v>3580000</v>
      </c>
      <c r="AX18" s="15">
        <v>3240000</v>
      </c>
      <c r="AY18" s="28"/>
      <c r="AZ18" s="15">
        <f>AW18+AX18+AY18</f>
        <v>6820000</v>
      </c>
      <c r="BA18" s="42">
        <f>AZ18/AZ$61</f>
        <v>0.01775973855914908</v>
      </c>
      <c r="BB18" s="15">
        <v>1227017</v>
      </c>
      <c r="BC18" s="15">
        <v>2970400</v>
      </c>
      <c r="BD18" s="28"/>
      <c r="BE18" s="15">
        <f>BB18+BC18+BD18</f>
        <v>4197417</v>
      </c>
      <c r="BF18" s="42">
        <f>BE18/BE$61</f>
        <v>0.007802863763582194</v>
      </c>
      <c r="BG18" s="15">
        <v>615804</v>
      </c>
      <c r="BH18" s="15"/>
      <c r="BI18" s="28"/>
      <c r="BJ18" s="15">
        <f t="shared" si="24"/>
        <v>615804</v>
      </c>
      <c r="BK18" s="42">
        <f t="shared" si="25"/>
        <v>0.0008969352994811972</v>
      </c>
      <c r="BL18" s="15">
        <v>2883200</v>
      </c>
      <c r="BM18" s="15">
        <v>1229600</v>
      </c>
      <c r="BN18" s="28"/>
      <c r="BO18" s="15">
        <f t="shared" si="26"/>
        <v>4112800</v>
      </c>
      <c r="BP18" s="42">
        <f t="shared" si="27"/>
        <v>0.004533124219722299</v>
      </c>
      <c r="BQ18" s="15">
        <v>1187200</v>
      </c>
      <c r="BR18" s="15">
        <v>110000</v>
      </c>
      <c r="BS18" s="14"/>
      <c r="BT18" s="15">
        <f t="shared" si="8"/>
        <v>1297200</v>
      </c>
      <c r="BU18" s="42">
        <f t="shared" si="9"/>
        <v>0.0027376796396494352</v>
      </c>
      <c r="BV18" s="28"/>
      <c r="BW18" s="15">
        <v>5188784</v>
      </c>
      <c r="BX18" s="14"/>
      <c r="BY18" s="15">
        <f t="shared" si="28"/>
        <v>5188784</v>
      </c>
      <c r="BZ18" s="42">
        <f t="shared" si="29"/>
        <v>0.012106250783503483</v>
      </c>
      <c r="CA18" s="28"/>
      <c r="CB18" s="15">
        <v>394955</v>
      </c>
      <c r="CC18" s="28"/>
      <c r="CD18" s="15">
        <f>SUM(CA18:CC18)</f>
        <v>394955</v>
      </c>
      <c r="CE18" s="42">
        <f>CD18/CD$61</f>
        <v>0.001621613540926965</v>
      </c>
    </row>
    <row r="19" spans="2:83" ht="15">
      <c r="B19" t="s">
        <v>29</v>
      </c>
      <c r="C19" s="13">
        <f t="shared" si="10"/>
        <v>0</v>
      </c>
      <c r="D19" s="46">
        <f t="shared" si="11"/>
        <v>5152000</v>
      </c>
      <c r="E19" s="46">
        <f t="shared" si="12"/>
        <v>0</v>
      </c>
      <c r="F19" s="46">
        <f t="shared" si="0"/>
        <v>5152000</v>
      </c>
      <c r="G19" s="13">
        <f>RANK(F19,F$9:F$58,0)</f>
        <v>45</v>
      </c>
      <c r="H19" s="41">
        <f t="shared" si="1"/>
        <v>0.00040901744813686384</v>
      </c>
      <c r="I19" s="46"/>
      <c r="J19" s="46"/>
      <c r="K19" s="46"/>
      <c r="L19" s="13">
        <f t="shared" si="2"/>
        <v>0</v>
      </c>
      <c r="M19" s="41">
        <f t="shared" si="3"/>
        <v>0</v>
      </c>
      <c r="N19" s="46"/>
      <c r="O19" s="46"/>
      <c r="P19" s="46"/>
      <c r="Q19" s="13">
        <f t="shared" si="14"/>
        <v>0</v>
      </c>
      <c r="R19" s="41">
        <f t="shared" si="4"/>
        <v>0</v>
      </c>
      <c r="S19" s="46"/>
      <c r="T19" s="46"/>
      <c r="U19" s="46"/>
      <c r="V19" s="13"/>
      <c r="W19" s="41"/>
      <c r="X19" s="46"/>
      <c r="Y19" s="46"/>
      <c r="Z19" s="46"/>
      <c r="AA19" s="13">
        <f t="shared" si="17"/>
        <v>0</v>
      </c>
      <c r="AB19" s="41">
        <f t="shared" si="5"/>
        <v>0</v>
      </c>
      <c r="AC19" s="46"/>
      <c r="AD19" s="46">
        <v>500000</v>
      </c>
      <c r="AE19" s="46"/>
      <c r="AF19" s="13">
        <f t="shared" si="18"/>
        <v>500000</v>
      </c>
      <c r="AG19" s="41">
        <f t="shared" si="6"/>
        <v>0.00043325442990306827</v>
      </c>
      <c r="AH19" s="46"/>
      <c r="AI19" s="46"/>
      <c r="AJ19" s="46"/>
      <c r="AK19" s="13">
        <f aca="true" t="shared" si="30" ref="AK19:AK25">AH19+AI19+AJ19</f>
        <v>0</v>
      </c>
      <c r="AL19" s="41">
        <f t="shared" si="7"/>
        <v>0</v>
      </c>
      <c r="AM19" s="46"/>
      <c r="AN19" s="46"/>
      <c r="AO19" s="46"/>
      <c r="AP19" s="13"/>
      <c r="AQ19" s="41"/>
      <c r="AR19" s="46"/>
      <c r="AS19" s="46"/>
      <c r="AT19" s="46"/>
      <c r="AU19" s="13"/>
      <c r="AV19" s="41"/>
      <c r="AW19" s="12"/>
      <c r="AX19" s="13"/>
      <c r="AY19" s="12"/>
      <c r="AZ19" s="13"/>
      <c r="BA19" s="41"/>
      <c r="BB19" s="12"/>
      <c r="BC19" s="13"/>
      <c r="BD19" s="12"/>
      <c r="BE19" s="13"/>
      <c r="BF19" s="41"/>
      <c r="BG19" s="12"/>
      <c r="BH19" s="13">
        <v>977000</v>
      </c>
      <c r="BI19" s="12"/>
      <c r="BJ19" s="13">
        <f t="shared" si="24"/>
        <v>977000</v>
      </c>
      <c r="BK19" s="41">
        <f t="shared" si="25"/>
        <v>0.0014230271118621017</v>
      </c>
      <c r="BL19" s="12"/>
      <c r="BM19" s="13">
        <v>2385000</v>
      </c>
      <c r="BN19" s="12"/>
      <c r="BO19" s="13">
        <f t="shared" si="26"/>
        <v>2385000</v>
      </c>
      <c r="BP19" s="41">
        <f t="shared" si="27"/>
        <v>0.0026287447150451474</v>
      </c>
      <c r="BQ19" s="12"/>
      <c r="BR19" s="12"/>
      <c r="BT19" s="12"/>
      <c r="BU19" s="41"/>
      <c r="BV19" s="12"/>
      <c r="BW19" s="13">
        <v>1290000</v>
      </c>
      <c r="BY19" s="13">
        <f t="shared" si="28"/>
        <v>1290000</v>
      </c>
      <c r="BZ19" s="41">
        <f t="shared" si="29"/>
        <v>0.00300977329384293</v>
      </c>
      <c r="CA19" s="12"/>
      <c r="CB19" s="12"/>
      <c r="CC19" s="12"/>
      <c r="CD19" s="12"/>
      <c r="CE19" s="41"/>
    </row>
    <row r="20" spans="2:83" ht="15">
      <c r="B20" t="s">
        <v>30</v>
      </c>
      <c r="C20" s="39">
        <f t="shared" si="10"/>
        <v>11233736</v>
      </c>
      <c r="D20" s="46">
        <f t="shared" si="11"/>
        <v>1176088</v>
      </c>
      <c r="E20" s="46">
        <f t="shared" si="12"/>
        <v>0</v>
      </c>
      <c r="F20" s="46">
        <f t="shared" si="0"/>
        <v>12409824</v>
      </c>
      <c r="G20" s="13">
        <f t="shared" si="13"/>
        <v>40</v>
      </c>
      <c r="H20" s="41">
        <f t="shared" si="1"/>
        <v>0.0009852163323578432</v>
      </c>
      <c r="I20" s="46">
        <v>222384</v>
      </c>
      <c r="J20" s="46"/>
      <c r="K20" s="46"/>
      <c r="L20" s="13">
        <f t="shared" si="2"/>
        <v>222384</v>
      </c>
      <c r="M20" s="41">
        <f t="shared" si="3"/>
        <v>0.0001733043685154117</v>
      </c>
      <c r="N20" s="46"/>
      <c r="O20" s="46">
        <v>200000</v>
      </c>
      <c r="P20" s="46"/>
      <c r="Q20" s="13">
        <f t="shared" si="14"/>
        <v>200000</v>
      </c>
      <c r="R20" s="41">
        <f t="shared" si="4"/>
        <v>0.00020051067060142123</v>
      </c>
      <c r="S20" s="46">
        <v>620315</v>
      </c>
      <c r="T20" s="46">
        <v>196000</v>
      </c>
      <c r="U20" s="46"/>
      <c r="V20" s="13">
        <f t="shared" si="16"/>
        <v>816315</v>
      </c>
      <c r="W20" s="41">
        <f t="shared" si="15"/>
        <v>0.0008369238832145741</v>
      </c>
      <c r="X20" s="46">
        <v>129724</v>
      </c>
      <c r="Y20" s="46"/>
      <c r="Z20" s="46"/>
      <c r="AA20" s="13">
        <f t="shared" si="17"/>
        <v>129724</v>
      </c>
      <c r="AB20" s="41">
        <f t="shared" si="5"/>
        <v>0.00015042742085149362</v>
      </c>
      <c r="AC20" s="46">
        <v>286724</v>
      </c>
      <c r="AD20" s="46"/>
      <c r="AE20" s="46"/>
      <c r="AF20" s="13">
        <f t="shared" si="18"/>
        <v>286724</v>
      </c>
      <c r="AG20" s="41">
        <f t="shared" si="6"/>
        <v>0.0002484488863190547</v>
      </c>
      <c r="AH20" s="46">
        <v>365722</v>
      </c>
      <c r="AI20" s="46">
        <v>150000</v>
      </c>
      <c r="AJ20" s="46"/>
      <c r="AK20" s="13">
        <f t="shared" si="30"/>
        <v>515722</v>
      </c>
      <c r="AL20" s="41">
        <f t="shared" si="7"/>
        <v>0.0003709792609758657</v>
      </c>
      <c r="AM20" s="46">
        <v>769856</v>
      </c>
      <c r="AN20" s="46"/>
      <c r="AO20" s="46"/>
      <c r="AP20" s="13">
        <f aca="true" t="shared" si="31" ref="AP20:AP27">AM20+AN20+AO20</f>
        <v>769856</v>
      </c>
      <c r="AQ20" s="41">
        <f>AP20/AP$61</f>
        <v>0.0005206013424006564</v>
      </c>
      <c r="AR20" s="46">
        <v>356000</v>
      </c>
      <c r="AS20" s="46">
        <v>630088</v>
      </c>
      <c r="AT20" s="46"/>
      <c r="AU20" s="13">
        <f>AR20+AS20+AT20</f>
        <v>986088</v>
      </c>
      <c r="AV20" s="41">
        <f aca="true" t="shared" si="32" ref="AV20:AV27">AU20/AU$61</f>
        <v>0.0012437124406191027</v>
      </c>
      <c r="AW20" s="13"/>
      <c r="AX20" s="13"/>
      <c r="AY20" s="12"/>
      <c r="AZ20" s="13"/>
      <c r="BA20" s="41"/>
      <c r="BB20" s="13">
        <f>120000+600000</f>
        <v>720000</v>
      </c>
      <c r="BC20" s="13"/>
      <c r="BD20" s="12"/>
      <c r="BE20" s="13">
        <f aca="true" t="shared" si="33" ref="BE20:BE27">BB20+BC20+BD20</f>
        <v>720000</v>
      </c>
      <c r="BF20" s="41">
        <f aca="true" t="shared" si="34" ref="BF20:BF27">BE20/BE$61</f>
        <v>0.0013384569390601838</v>
      </c>
      <c r="BG20" s="13">
        <v>744000</v>
      </c>
      <c r="BH20" s="13"/>
      <c r="BI20" s="12"/>
      <c r="BJ20" s="13">
        <f t="shared" si="24"/>
        <v>744000</v>
      </c>
      <c r="BK20" s="41">
        <f t="shared" si="25"/>
        <v>0.0010836562653279464</v>
      </c>
      <c r="BL20" s="13">
        <v>768000</v>
      </c>
      <c r="BM20" s="13"/>
      <c r="BN20" s="12"/>
      <c r="BO20" s="13">
        <f t="shared" si="26"/>
        <v>768000</v>
      </c>
      <c r="BP20" s="41">
        <f t="shared" si="27"/>
        <v>0.000846488864215796</v>
      </c>
      <c r="BQ20" s="13">
        <v>2353545</v>
      </c>
      <c r="BR20" s="12"/>
      <c r="BT20" s="13">
        <f>SUM(BQ20:BS20)</f>
        <v>2353545</v>
      </c>
      <c r="BU20" s="41">
        <f>BT20/BT$61</f>
        <v>0.004967046120489308</v>
      </c>
      <c r="BV20" s="13">
        <v>3897466</v>
      </c>
      <c r="BW20" s="12"/>
      <c r="BY20" s="13">
        <f t="shared" si="28"/>
        <v>3897466</v>
      </c>
      <c r="BZ20" s="41">
        <f t="shared" si="29"/>
        <v>0.009093402387954131</v>
      </c>
      <c r="CA20" s="12"/>
      <c r="CB20" s="12"/>
      <c r="CC20" s="12"/>
      <c r="CD20" s="12"/>
      <c r="CE20" s="41"/>
    </row>
    <row r="21" spans="2:83" ht="15">
      <c r="B21" t="s">
        <v>31</v>
      </c>
      <c r="C21" s="39">
        <f t="shared" si="10"/>
        <v>400407052</v>
      </c>
      <c r="D21" s="46">
        <f t="shared" si="11"/>
        <v>9688394</v>
      </c>
      <c r="E21" s="46">
        <f t="shared" si="12"/>
        <v>6011964</v>
      </c>
      <c r="F21" s="46">
        <f t="shared" si="0"/>
        <v>416107410</v>
      </c>
      <c r="G21" s="13">
        <f t="shared" si="13"/>
        <v>5</v>
      </c>
      <c r="H21" s="41">
        <f t="shared" si="1"/>
        <v>0.033034780859673867</v>
      </c>
      <c r="I21" s="46">
        <v>37435639</v>
      </c>
      <c r="J21" s="46"/>
      <c r="K21" s="46">
        <v>446000</v>
      </c>
      <c r="L21" s="13">
        <f t="shared" si="2"/>
        <v>37881639</v>
      </c>
      <c r="M21" s="41">
        <f t="shared" si="3"/>
        <v>0.02952124939394827</v>
      </c>
      <c r="N21" s="46">
        <v>16627312</v>
      </c>
      <c r="O21" s="46">
        <v>60000</v>
      </c>
      <c r="P21" s="46"/>
      <c r="Q21" s="13">
        <f t="shared" si="14"/>
        <v>16687312</v>
      </c>
      <c r="R21" s="41">
        <f t="shared" si="4"/>
        <v>0.01672992059827572</v>
      </c>
      <c r="S21" s="46">
        <v>30451600</v>
      </c>
      <c r="T21" s="46"/>
      <c r="U21" s="46"/>
      <c r="V21" s="13">
        <f t="shared" si="16"/>
        <v>30451600</v>
      </c>
      <c r="W21" s="41">
        <f t="shared" si="15"/>
        <v>0.031220388357554286</v>
      </c>
      <c r="X21" s="46">
        <v>45961244</v>
      </c>
      <c r="Y21" s="46">
        <v>320000</v>
      </c>
      <c r="Z21" s="46">
        <v>1046897</v>
      </c>
      <c r="AA21" s="13">
        <f t="shared" si="17"/>
        <v>47328141</v>
      </c>
      <c r="AB21" s="41">
        <f t="shared" si="5"/>
        <v>0.0548815191046054</v>
      </c>
      <c r="AC21" s="46">
        <v>31338000</v>
      </c>
      <c r="AD21" s="46"/>
      <c r="AE21" s="46">
        <v>2194067</v>
      </c>
      <c r="AF21" s="13">
        <f t="shared" si="18"/>
        <v>33532067</v>
      </c>
      <c r="AG21" s="41">
        <f t="shared" si="6"/>
        <v>0.029055833143112976</v>
      </c>
      <c r="AH21" s="46">
        <v>14976200</v>
      </c>
      <c r="AI21" s="46">
        <v>436250</v>
      </c>
      <c r="AJ21" s="46">
        <v>675000</v>
      </c>
      <c r="AK21" s="13">
        <f t="shared" si="30"/>
        <v>16087450</v>
      </c>
      <c r="AL21" s="41">
        <f t="shared" si="7"/>
        <v>0.011572339966078994</v>
      </c>
      <c r="AM21" s="46">
        <v>33762800</v>
      </c>
      <c r="AN21" s="46">
        <v>498000</v>
      </c>
      <c r="AO21" s="46">
        <v>675000</v>
      </c>
      <c r="AP21" s="13">
        <f t="shared" si="31"/>
        <v>34935800</v>
      </c>
      <c r="AQ21" s="41">
        <f>AP21/AP$61</f>
        <v>0.023624709527289327</v>
      </c>
      <c r="AR21" s="46">
        <v>34196000</v>
      </c>
      <c r="AS21" s="46"/>
      <c r="AT21" s="46">
        <v>975000</v>
      </c>
      <c r="AU21" s="13">
        <f>AR21+AS21+AT21</f>
        <v>35171000</v>
      </c>
      <c r="AV21" s="41">
        <f t="shared" si="32"/>
        <v>0.044359742993540605</v>
      </c>
      <c r="AW21" s="13">
        <v>4215200</v>
      </c>
      <c r="AX21" s="13">
        <v>464625</v>
      </c>
      <c r="AY21" s="12"/>
      <c r="AZ21" s="13">
        <f aca="true" t="shared" si="35" ref="AZ21:AZ27">AW21+AX21+AY21</f>
        <v>4679825</v>
      </c>
      <c r="BA21" s="41">
        <f>AZ21/AZ$61</f>
        <v>0.01218657895932109</v>
      </c>
      <c r="BB21" s="13">
        <f>2560000+480000+30660000</f>
        <v>33700000</v>
      </c>
      <c r="BC21" s="13">
        <v>1297825</v>
      </c>
      <c r="BD21" s="12"/>
      <c r="BE21" s="13">
        <f t="shared" si="33"/>
        <v>34997825</v>
      </c>
      <c r="BF21" s="41">
        <f t="shared" si="34"/>
        <v>0.06505983572675553</v>
      </c>
      <c r="BG21" s="13">
        <v>33156440</v>
      </c>
      <c r="BH21" s="13">
        <v>1042550</v>
      </c>
      <c r="BI21" s="12"/>
      <c r="BJ21" s="13">
        <f t="shared" si="24"/>
        <v>34198990</v>
      </c>
      <c r="BK21" s="41">
        <f t="shared" si="25"/>
        <v>0.049811760458854555</v>
      </c>
      <c r="BL21" s="13">
        <v>11112800</v>
      </c>
      <c r="BM21" s="13">
        <v>4892144</v>
      </c>
      <c r="BN21" s="12"/>
      <c r="BO21" s="13">
        <f t="shared" si="26"/>
        <v>16004944</v>
      </c>
      <c r="BP21" s="41">
        <f t="shared" si="27"/>
        <v>0.017640633943225806</v>
      </c>
      <c r="BQ21" s="13">
        <v>22768800</v>
      </c>
      <c r="BR21" s="13">
        <v>137500</v>
      </c>
      <c r="BT21" s="13">
        <f>SUM(BQ21:BS21)</f>
        <v>22906300</v>
      </c>
      <c r="BU21" s="41">
        <f>BT21/BT$61</f>
        <v>0.04834266969603905</v>
      </c>
      <c r="BV21" s="13">
        <v>39805017</v>
      </c>
      <c r="BW21" s="13">
        <v>539500</v>
      </c>
      <c r="BY21" s="13">
        <f t="shared" si="28"/>
        <v>40344517</v>
      </c>
      <c r="BZ21" s="41">
        <f t="shared" si="29"/>
        <v>0.09413011613921868</v>
      </c>
      <c r="CA21" s="13">
        <v>10900000</v>
      </c>
      <c r="CB21" s="12"/>
      <c r="CC21" s="12"/>
      <c r="CD21" s="13">
        <f>SUM(CA21:CC21)</f>
        <v>10900000</v>
      </c>
      <c r="CE21" s="41">
        <f>CD21/CD$61</f>
        <v>0.04475342151917033</v>
      </c>
    </row>
    <row r="22" spans="2:83" ht="15">
      <c r="B22" t="s">
        <v>32</v>
      </c>
      <c r="C22" s="39">
        <f t="shared" si="10"/>
        <v>47982387</v>
      </c>
      <c r="D22" s="46">
        <f t="shared" si="11"/>
        <v>7542610</v>
      </c>
      <c r="E22" s="46">
        <f t="shared" si="12"/>
        <v>2715000</v>
      </c>
      <c r="F22" s="46">
        <f t="shared" si="0"/>
        <v>58239997</v>
      </c>
      <c r="G22" s="13">
        <f t="shared" si="13"/>
        <v>27</v>
      </c>
      <c r="H22" s="41">
        <f t="shared" si="1"/>
        <v>0.004623675262507494</v>
      </c>
      <c r="I22" s="46">
        <v>1503768</v>
      </c>
      <c r="J22" s="46">
        <v>975932</v>
      </c>
      <c r="K22" s="46">
        <v>2715000</v>
      </c>
      <c r="L22" s="13">
        <f t="shared" si="2"/>
        <v>5194700</v>
      </c>
      <c r="M22" s="41">
        <f t="shared" si="3"/>
        <v>0.004048241794045476</v>
      </c>
      <c r="N22" s="46">
        <v>4673016</v>
      </c>
      <c r="O22" s="46">
        <v>4368604</v>
      </c>
      <c r="P22" s="46"/>
      <c r="Q22" s="13">
        <f t="shared" si="14"/>
        <v>9041620</v>
      </c>
      <c r="R22" s="41">
        <f t="shared" si="4"/>
        <v>0.009064706447616111</v>
      </c>
      <c r="S22" s="46">
        <v>5831728</v>
      </c>
      <c r="T22" s="46"/>
      <c r="U22" s="46"/>
      <c r="V22" s="13">
        <f t="shared" si="16"/>
        <v>5831728</v>
      </c>
      <c r="W22" s="41">
        <f t="shared" si="15"/>
        <v>0.00597895719619407</v>
      </c>
      <c r="X22" s="46">
        <v>6936715</v>
      </c>
      <c r="Y22" s="46">
        <v>267000</v>
      </c>
      <c r="Z22" s="46"/>
      <c r="AA22" s="13">
        <f t="shared" si="17"/>
        <v>7203715</v>
      </c>
      <c r="AB22" s="41">
        <f t="shared" si="5"/>
        <v>0.00835339850759472</v>
      </c>
      <c r="AC22" s="46">
        <v>4345000</v>
      </c>
      <c r="AD22" s="46">
        <v>300000</v>
      </c>
      <c r="AE22" s="46"/>
      <c r="AF22" s="13">
        <f t="shared" si="18"/>
        <v>4645000</v>
      </c>
      <c r="AG22" s="41">
        <f t="shared" si="6"/>
        <v>0.004024933653799504</v>
      </c>
      <c r="AH22" s="46">
        <v>6338000</v>
      </c>
      <c r="AI22" s="46">
        <v>831074</v>
      </c>
      <c r="AJ22" s="46"/>
      <c r="AK22" s="13">
        <f t="shared" si="30"/>
        <v>7169074</v>
      </c>
      <c r="AL22" s="41">
        <f t="shared" si="7"/>
        <v>0.005156998876141203</v>
      </c>
      <c r="AM22" s="46">
        <v>5659575</v>
      </c>
      <c r="AN22" s="46"/>
      <c r="AO22" s="46"/>
      <c r="AP22" s="13">
        <f t="shared" si="31"/>
        <v>5659575</v>
      </c>
      <c r="AQ22" s="41">
        <f>AP22/AP$61</f>
        <v>0.0038271863081111206</v>
      </c>
      <c r="AR22" s="46">
        <v>393600</v>
      </c>
      <c r="AS22" s="46">
        <v>800000</v>
      </c>
      <c r="AT22" s="46"/>
      <c r="AU22" s="13">
        <f>AR22+AS22+AT22</f>
        <v>1193600</v>
      </c>
      <c r="AV22" s="41">
        <f t="shared" si="32"/>
        <v>0.0015054388341841308</v>
      </c>
      <c r="AW22" s="13">
        <v>3731748</v>
      </c>
      <c r="AY22" s="12"/>
      <c r="AZ22" s="13">
        <f t="shared" si="35"/>
        <v>3731748</v>
      </c>
      <c r="BA22" s="41">
        <f>AZ22/AZ$61</f>
        <v>0.009717722705077338</v>
      </c>
      <c r="BB22" s="13">
        <v>2389250</v>
      </c>
      <c r="BD22" s="12"/>
      <c r="BE22" s="13">
        <f t="shared" si="33"/>
        <v>2389250</v>
      </c>
      <c r="BF22" s="41">
        <f t="shared" si="34"/>
        <v>0.004441539224513256</v>
      </c>
      <c r="BG22" s="13">
        <v>1197856</v>
      </c>
      <c r="BI22" s="12"/>
      <c r="BJ22" s="13">
        <f t="shared" si="24"/>
        <v>1197856</v>
      </c>
      <c r="BK22" s="41">
        <f t="shared" si="25"/>
        <v>0.0017447098916138072</v>
      </c>
      <c r="BL22" s="13">
        <v>617960</v>
      </c>
      <c r="BM22" s="12"/>
      <c r="BN22" s="12"/>
      <c r="BO22" s="13">
        <f t="shared" si="26"/>
        <v>617960</v>
      </c>
      <c r="BP22" s="41">
        <f t="shared" si="27"/>
        <v>0.0006811149199619703</v>
      </c>
      <c r="BQ22" s="13">
        <v>2996171</v>
      </c>
      <c r="BR22" s="12"/>
      <c r="BT22" s="13">
        <f>SUM(BQ22:BS22)</f>
        <v>2996171</v>
      </c>
      <c r="BU22" s="41">
        <f>BT22/BT$61</f>
        <v>0.0063232780940549555</v>
      </c>
      <c r="BV22" s="13">
        <v>1368000</v>
      </c>
      <c r="BY22" s="13">
        <f t="shared" si="28"/>
        <v>1368000</v>
      </c>
      <c r="BZ22" s="41">
        <f t="shared" si="29"/>
        <v>0.0031917595860287817</v>
      </c>
      <c r="CC22" s="12"/>
      <c r="CD22" s="12"/>
      <c r="CE22" s="41"/>
    </row>
    <row r="23" spans="2:83" ht="15">
      <c r="B23" s="14" t="s">
        <v>33</v>
      </c>
      <c r="C23" s="15">
        <f t="shared" si="10"/>
        <v>5771480</v>
      </c>
      <c r="D23" s="47">
        <f t="shared" si="11"/>
        <v>11078182</v>
      </c>
      <c r="E23" s="47">
        <f t="shared" si="12"/>
        <v>1038096</v>
      </c>
      <c r="F23" s="47">
        <f t="shared" si="0"/>
        <v>17887758</v>
      </c>
      <c r="G23" s="15">
        <f t="shared" si="13"/>
        <v>37</v>
      </c>
      <c r="H23" s="42">
        <f t="shared" si="1"/>
        <v>0.0014201096913916483</v>
      </c>
      <c r="I23" s="47">
        <v>62000</v>
      </c>
      <c r="J23" s="47"/>
      <c r="K23" s="47">
        <v>930100</v>
      </c>
      <c r="L23" s="15">
        <f t="shared" si="2"/>
        <v>992100</v>
      </c>
      <c r="M23" s="42">
        <f t="shared" si="3"/>
        <v>0.000773145837848676</v>
      </c>
      <c r="N23" s="47">
        <v>337530</v>
      </c>
      <c r="O23" s="47">
        <v>987300</v>
      </c>
      <c r="P23" s="47"/>
      <c r="Q23" s="15">
        <f t="shared" si="14"/>
        <v>1324830</v>
      </c>
      <c r="R23" s="42">
        <f t="shared" si="4"/>
        <v>0.0013282127586644044</v>
      </c>
      <c r="S23" s="47">
        <v>1441143</v>
      </c>
      <c r="T23" s="47">
        <v>1188046</v>
      </c>
      <c r="U23" s="47"/>
      <c r="V23" s="15">
        <f t="shared" si="16"/>
        <v>2629189</v>
      </c>
      <c r="W23" s="42">
        <f t="shared" si="15"/>
        <v>0.0026955661326633017</v>
      </c>
      <c r="X23" s="47">
        <v>316000</v>
      </c>
      <c r="Y23" s="47">
        <v>239300</v>
      </c>
      <c r="Z23" s="47"/>
      <c r="AA23" s="15">
        <f t="shared" si="17"/>
        <v>555300</v>
      </c>
      <c r="AB23" s="42">
        <f t="shared" si="5"/>
        <v>0.0006439236132005983</v>
      </c>
      <c r="AC23" s="47"/>
      <c r="AD23" s="47">
        <v>1860176</v>
      </c>
      <c r="AE23" s="47"/>
      <c r="AF23" s="15">
        <f t="shared" si="18"/>
        <v>1860176</v>
      </c>
      <c r="AG23" s="42">
        <f t="shared" si="6"/>
        <v>0.0016118589847987398</v>
      </c>
      <c r="AH23" s="47">
        <v>1123556</v>
      </c>
      <c r="AI23" s="47">
        <v>2130068</v>
      </c>
      <c r="AJ23" s="47"/>
      <c r="AK23" s="15">
        <f t="shared" si="30"/>
        <v>3253624</v>
      </c>
      <c r="AL23" s="42">
        <f t="shared" si="7"/>
        <v>0.002340460610587371</v>
      </c>
      <c r="AM23" s="47"/>
      <c r="AN23" s="47">
        <v>1913964</v>
      </c>
      <c r="AO23" s="47"/>
      <c r="AP23" s="15">
        <f t="shared" si="31"/>
        <v>1913964</v>
      </c>
      <c r="AQ23" s="42">
        <f>AP23/AP$61</f>
        <v>0.0012942839020628923</v>
      </c>
      <c r="AR23" s="47"/>
      <c r="AS23" s="47">
        <v>719640</v>
      </c>
      <c r="AT23" s="47"/>
      <c r="AU23" s="15">
        <f>AR23+AS23+AT23</f>
        <v>719640</v>
      </c>
      <c r="AV23" s="42">
        <f t="shared" si="32"/>
        <v>0.0009076524820980797</v>
      </c>
      <c r="AW23" s="15">
        <v>369240</v>
      </c>
      <c r="AX23" s="28">
        <v>743883</v>
      </c>
      <c r="AY23" s="28"/>
      <c r="AZ23" s="15">
        <f t="shared" si="35"/>
        <v>1113123</v>
      </c>
      <c r="BA23" s="42">
        <f>AZ23/AZ$61</f>
        <v>0.0028986471355096333</v>
      </c>
      <c r="BB23" s="15">
        <v>64456</v>
      </c>
      <c r="BC23" s="28">
        <f>825017-347953</f>
        <v>477064</v>
      </c>
      <c r="BD23" s="28"/>
      <c r="BE23" s="15">
        <f t="shared" si="33"/>
        <v>541520</v>
      </c>
      <c r="BF23" s="42">
        <f t="shared" si="34"/>
        <v>0.0010066683356109317</v>
      </c>
      <c r="BG23" s="15">
        <v>1027705</v>
      </c>
      <c r="BH23" s="28">
        <v>663341</v>
      </c>
      <c r="BI23" s="28"/>
      <c r="BJ23" s="15">
        <f t="shared" si="24"/>
        <v>1691046</v>
      </c>
      <c r="BK23" s="42">
        <f t="shared" si="25"/>
        <v>0.0024630545602926917</v>
      </c>
      <c r="BL23" s="15">
        <v>1029850</v>
      </c>
      <c r="BM23" s="15">
        <v>155400</v>
      </c>
      <c r="BN23" s="28"/>
      <c r="BO23" s="15">
        <f t="shared" si="26"/>
        <v>1185250</v>
      </c>
      <c r="BP23" s="42">
        <f t="shared" si="27"/>
        <v>0.0013063814144684534</v>
      </c>
      <c r="BQ23" s="28"/>
      <c r="BR23" s="28"/>
      <c r="BS23" s="14"/>
      <c r="BT23" s="28"/>
      <c r="BU23" s="42"/>
      <c r="BV23" s="28"/>
      <c r="BW23" s="28"/>
      <c r="BX23" s="15">
        <v>107996</v>
      </c>
      <c r="BY23" s="15">
        <f t="shared" si="28"/>
        <v>107996</v>
      </c>
      <c r="BZ23" s="42">
        <f t="shared" si="29"/>
        <v>0.00025197168731927217</v>
      </c>
      <c r="CA23" s="28"/>
      <c r="CB23" s="28"/>
      <c r="CC23" s="28"/>
      <c r="CD23" s="28"/>
      <c r="CE23" s="42"/>
    </row>
    <row r="24" spans="2:83" ht="15">
      <c r="B24" s="75" t="s">
        <v>78</v>
      </c>
      <c r="C24" s="13">
        <f t="shared" si="10"/>
        <v>2489350</v>
      </c>
      <c r="D24" s="46">
        <f t="shared" si="11"/>
        <v>0</v>
      </c>
      <c r="E24" s="46">
        <f t="shared" si="12"/>
        <v>0</v>
      </c>
      <c r="F24" s="46">
        <f>C24+D24+E24</f>
        <v>2489350</v>
      </c>
      <c r="G24" s="13">
        <f>RANK(F24,F$9:F$58,0)</f>
        <v>46</v>
      </c>
      <c r="H24" s="41">
        <f>F24/F$61</f>
        <v>0.00019762957774058657</v>
      </c>
      <c r="I24" s="46">
        <v>794350</v>
      </c>
      <c r="J24" s="46"/>
      <c r="K24" s="46"/>
      <c r="L24" s="13">
        <f t="shared" si="2"/>
        <v>794350</v>
      </c>
      <c r="M24" s="41">
        <f t="shared" si="3"/>
        <v>0.0006190388028375121</v>
      </c>
      <c r="N24" s="46">
        <v>624000</v>
      </c>
      <c r="O24" s="46"/>
      <c r="P24" s="46"/>
      <c r="Q24" s="13">
        <f t="shared" si="14"/>
        <v>624000</v>
      </c>
      <c r="R24" s="41">
        <f t="shared" si="4"/>
        <v>0.0006255932922764342</v>
      </c>
      <c r="S24" s="46">
        <v>1071000</v>
      </c>
      <c r="T24" s="46"/>
      <c r="U24" s="46"/>
      <c r="V24" s="13">
        <f>S24+T24+U24</f>
        <v>1071000</v>
      </c>
      <c r="W24" s="41">
        <f t="shared" si="15"/>
        <v>0.0010980387214773817</v>
      </c>
      <c r="X24" s="46"/>
      <c r="Y24" s="46"/>
      <c r="Z24" s="46"/>
      <c r="AA24" s="39"/>
      <c r="AB24" s="41"/>
      <c r="AC24" s="46"/>
      <c r="AD24" s="46"/>
      <c r="AE24" s="46"/>
      <c r="AF24" s="39"/>
      <c r="AG24" s="41"/>
      <c r="AH24" s="46"/>
      <c r="AI24" s="46"/>
      <c r="AJ24" s="46"/>
      <c r="AK24" s="39"/>
      <c r="AL24" s="41"/>
      <c r="AM24" s="46"/>
      <c r="AN24" s="46"/>
      <c r="AO24" s="46"/>
      <c r="AP24" s="39"/>
      <c r="AQ24" s="41"/>
      <c r="AR24" s="46"/>
      <c r="AS24" s="46"/>
      <c r="AT24" s="46"/>
      <c r="AU24" s="39"/>
      <c r="AV24" s="41"/>
      <c r="AW24" s="39"/>
      <c r="AX24" s="45"/>
      <c r="AY24" s="45"/>
      <c r="AZ24" s="39"/>
      <c r="BA24" s="41"/>
      <c r="BB24" s="39"/>
      <c r="BC24" s="45"/>
      <c r="BD24" s="45"/>
      <c r="BE24" s="39"/>
      <c r="BF24" s="41"/>
      <c r="BG24" s="39"/>
      <c r="BH24" s="45"/>
      <c r="BI24" s="45"/>
      <c r="BJ24" s="39"/>
      <c r="BK24" s="41"/>
      <c r="BL24" s="39"/>
      <c r="BM24" s="39"/>
      <c r="BN24" s="45"/>
      <c r="BO24" s="39"/>
      <c r="BP24" s="41"/>
      <c r="BQ24" s="45"/>
      <c r="BR24" s="45"/>
      <c r="BS24" s="38"/>
      <c r="BT24" s="45"/>
      <c r="BU24" s="41"/>
      <c r="BV24" s="45"/>
      <c r="BW24" s="45"/>
      <c r="BX24" s="39"/>
      <c r="BY24" s="39"/>
      <c r="BZ24" s="41"/>
      <c r="CA24" s="45"/>
      <c r="CB24" s="45"/>
      <c r="CC24" s="45"/>
      <c r="CD24" s="45"/>
      <c r="CE24" s="41"/>
    </row>
    <row r="25" spans="2:83" ht="15">
      <c r="B25" t="s">
        <v>34</v>
      </c>
      <c r="C25" s="13">
        <f t="shared" si="10"/>
        <v>11449044</v>
      </c>
      <c r="D25" s="46">
        <f t="shared" si="11"/>
        <v>1200000</v>
      </c>
      <c r="E25" s="46">
        <f t="shared" si="12"/>
        <v>0</v>
      </c>
      <c r="F25" s="46">
        <f t="shared" si="0"/>
        <v>12649044</v>
      </c>
      <c r="G25" s="13">
        <f t="shared" si="13"/>
        <v>38</v>
      </c>
      <c r="H25" s="41">
        <f t="shared" si="1"/>
        <v>0.0010042080159648502</v>
      </c>
      <c r="I25" s="46">
        <v>78292</v>
      </c>
      <c r="J25" s="46"/>
      <c r="K25" s="46"/>
      <c r="L25" s="13">
        <f t="shared" si="2"/>
        <v>78292</v>
      </c>
      <c r="M25" s="41">
        <f t="shared" si="3"/>
        <v>6.101313772487505E-05</v>
      </c>
      <c r="N25" s="46"/>
      <c r="O25" s="46"/>
      <c r="P25" s="46"/>
      <c r="Q25" s="13">
        <f t="shared" si="14"/>
        <v>0</v>
      </c>
      <c r="R25" s="41">
        <f t="shared" si="4"/>
        <v>0</v>
      </c>
      <c r="S25" s="46">
        <v>544000</v>
      </c>
      <c r="T25" s="46"/>
      <c r="U25" s="46"/>
      <c r="V25" s="13">
        <f t="shared" si="16"/>
        <v>544000</v>
      </c>
      <c r="W25" s="41">
        <f t="shared" si="15"/>
        <v>0.0005577339537662892</v>
      </c>
      <c r="X25" s="46"/>
      <c r="Y25" s="46"/>
      <c r="Z25" s="46"/>
      <c r="AA25" s="13">
        <f t="shared" si="17"/>
        <v>0</v>
      </c>
      <c r="AB25" s="41">
        <f t="shared" si="5"/>
        <v>0</v>
      </c>
      <c r="AC25" s="46">
        <v>2660000</v>
      </c>
      <c r="AD25" s="46"/>
      <c r="AE25" s="46"/>
      <c r="AF25" s="13">
        <f t="shared" si="18"/>
        <v>2660000</v>
      </c>
      <c r="AG25" s="41">
        <f t="shared" si="6"/>
        <v>0.002304913567084323</v>
      </c>
      <c r="AH25" s="46">
        <v>2560000</v>
      </c>
      <c r="AI25" s="46"/>
      <c r="AJ25" s="46"/>
      <c r="AK25" s="13">
        <f t="shared" si="30"/>
        <v>2560000</v>
      </c>
      <c r="AL25" s="41">
        <f t="shared" si="7"/>
        <v>0.0018415093947867576</v>
      </c>
      <c r="AM25" s="46"/>
      <c r="AN25" s="46"/>
      <c r="AO25" s="46"/>
      <c r="AP25" s="13"/>
      <c r="AQ25" s="41"/>
      <c r="AR25" s="46">
        <v>480000</v>
      </c>
      <c r="AS25" s="46"/>
      <c r="AT25" s="46"/>
      <c r="AU25" s="13">
        <f>AR25+AS25+AT25</f>
        <v>480000</v>
      </c>
      <c r="AV25" s="41">
        <f t="shared" si="32"/>
        <v>0.0006054043569105083</v>
      </c>
      <c r="AW25" s="12"/>
      <c r="AX25" s="12"/>
      <c r="AY25" s="12"/>
      <c r="AZ25" s="13"/>
      <c r="BA25" s="41"/>
      <c r="BB25" s="12">
        <v>853232</v>
      </c>
      <c r="BC25" s="12"/>
      <c r="BD25" s="12"/>
      <c r="BE25" s="13">
        <f t="shared" si="33"/>
        <v>853232</v>
      </c>
      <c r="BF25" s="41">
        <f t="shared" si="34"/>
        <v>0.0015861309597613872</v>
      </c>
      <c r="BG25" s="12">
        <v>320000</v>
      </c>
      <c r="BH25" s="12"/>
      <c r="BI25" s="12"/>
      <c r="BJ25" s="13">
        <f t="shared" si="24"/>
        <v>320000</v>
      </c>
      <c r="BK25" s="41">
        <f t="shared" si="25"/>
        <v>0.0004660887162700845</v>
      </c>
      <c r="BL25" s="12"/>
      <c r="BM25" s="12"/>
      <c r="BN25" s="12"/>
      <c r="BO25" s="12"/>
      <c r="BP25" s="41"/>
      <c r="BQ25" s="13">
        <v>344000</v>
      </c>
      <c r="BR25" s="13">
        <v>1200000</v>
      </c>
      <c r="BT25" s="13">
        <f aca="true" t="shared" si="36" ref="BT25:BT31">SUM(BQ25:BS25)</f>
        <v>1544000</v>
      </c>
      <c r="BU25" s="41">
        <f aca="true" t="shared" si="37" ref="BU25:BU31">BT25/BT$61</f>
        <v>0.003258539441580888</v>
      </c>
      <c r="BV25" s="13">
        <v>3609520</v>
      </c>
      <c r="BW25" s="12"/>
      <c r="BY25" s="13">
        <f t="shared" si="28"/>
        <v>3609520</v>
      </c>
      <c r="BZ25" s="41">
        <f t="shared" si="29"/>
        <v>0.00842157899193173</v>
      </c>
      <c r="CA25" s="12"/>
      <c r="CB25" s="12"/>
      <c r="CC25" s="12"/>
      <c r="CD25" s="12"/>
      <c r="CE25" s="41"/>
    </row>
    <row r="26" spans="2:83" ht="15">
      <c r="B26" t="s">
        <v>35</v>
      </c>
      <c r="C26" s="39">
        <f t="shared" si="10"/>
        <v>9615146</v>
      </c>
      <c r="D26" s="46">
        <f t="shared" si="11"/>
        <v>13608048</v>
      </c>
      <c r="E26" s="46">
        <f t="shared" si="12"/>
        <v>1000000</v>
      </c>
      <c r="F26" s="46">
        <f t="shared" si="0"/>
        <v>24223194</v>
      </c>
      <c r="G26" s="13">
        <f t="shared" si="13"/>
        <v>35</v>
      </c>
      <c r="H26" s="41">
        <f t="shared" si="1"/>
        <v>0.0019230801621902547</v>
      </c>
      <c r="I26" s="46"/>
      <c r="J26" s="46"/>
      <c r="K26" s="46">
        <v>1000000</v>
      </c>
      <c r="L26" s="13">
        <f t="shared" si="2"/>
        <v>1000000</v>
      </c>
      <c r="M26" s="41">
        <f t="shared" si="3"/>
        <v>0.0007793023262258603</v>
      </c>
      <c r="N26" s="46"/>
      <c r="O26" s="46">
        <v>300000</v>
      </c>
      <c r="P26" s="46"/>
      <c r="Q26" s="13">
        <f t="shared" si="14"/>
        <v>300000</v>
      </c>
      <c r="R26" s="41">
        <f t="shared" si="4"/>
        <v>0.00030076600590213186</v>
      </c>
      <c r="S26" s="46">
        <v>2180000</v>
      </c>
      <c r="T26" s="46"/>
      <c r="U26" s="46"/>
      <c r="V26" s="13">
        <f t="shared" si="16"/>
        <v>2180000</v>
      </c>
      <c r="W26" s="41">
        <f t="shared" si="15"/>
        <v>0.0022350368000193205</v>
      </c>
      <c r="X26" s="46">
        <v>1318146</v>
      </c>
      <c r="Y26" s="46"/>
      <c r="Z26" s="46"/>
      <c r="AA26" s="13">
        <f t="shared" si="17"/>
        <v>1318146</v>
      </c>
      <c r="AB26" s="41">
        <f t="shared" si="5"/>
        <v>0.0015285167207742046</v>
      </c>
      <c r="AC26" s="46">
        <v>981000</v>
      </c>
      <c r="AD26" s="46"/>
      <c r="AE26" s="46"/>
      <c r="AF26" s="13">
        <f t="shared" si="18"/>
        <v>981000</v>
      </c>
      <c r="AG26" s="41">
        <f t="shared" si="6"/>
        <v>0.0008500451914698199</v>
      </c>
      <c r="AH26" s="46">
        <v>953000</v>
      </c>
      <c r="AI26" s="46"/>
      <c r="AJ26" s="46"/>
      <c r="AK26" s="13">
        <f aca="true" t="shared" si="38" ref="AK26:AK38">AH26+AI26+AJ26</f>
        <v>953000</v>
      </c>
      <c r="AL26" s="41">
        <f t="shared" si="7"/>
        <v>0.000685530645793664</v>
      </c>
      <c r="AM26" s="46">
        <v>926000</v>
      </c>
      <c r="AN26" s="46"/>
      <c r="AO26" s="46"/>
      <c r="AP26" s="13">
        <f t="shared" si="31"/>
        <v>926000</v>
      </c>
      <c r="AQ26" s="41">
        <f aca="true" t="shared" si="39" ref="AQ26:AQ38">AP26/AP$61</f>
        <v>0.0006261909279956353</v>
      </c>
      <c r="AR26" s="46">
        <v>1480000</v>
      </c>
      <c r="AS26" s="46"/>
      <c r="AT26" s="46"/>
      <c r="AU26" s="13">
        <f aca="true" t="shared" si="40" ref="AU26:AU34">AR26+AS26+AT26</f>
        <v>1480000</v>
      </c>
      <c r="AV26" s="41">
        <f t="shared" si="32"/>
        <v>0.0018666634338074008</v>
      </c>
      <c r="AW26" s="12">
        <v>477000</v>
      </c>
      <c r="AX26" s="13"/>
      <c r="AY26" s="12"/>
      <c r="AZ26" s="13">
        <f t="shared" si="35"/>
        <v>477000</v>
      </c>
      <c r="BA26" s="41">
        <f aca="true" t="shared" si="41" ref="BA26:BA31">AZ26/AZ$61</f>
        <v>0.0012421400722454708</v>
      </c>
      <c r="BB26" s="12"/>
      <c r="BC26" s="13">
        <f>1000000+40000</f>
        <v>1040000</v>
      </c>
      <c r="BD26" s="12"/>
      <c r="BE26" s="13">
        <f t="shared" si="33"/>
        <v>1040000</v>
      </c>
      <c r="BF26" s="41">
        <f t="shared" si="34"/>
        <v>0.0019333266897535988</v>
      </c>
      <c r="BG26" s="12">
        <v>1300000</v>
      </c>
      <c r="BH26" s="13">
        <v>1000000</v>
      </c>
      <c r="BI26" s="12"/>
      <c r="BJ26" s="13">
        <f t="shared" si="24"/>
        <v>2300000</v>
      </c>
      <c r="BK26" s="41">
        <f t="shared" si="25"/>
        <v>0.0033500126481912323</v>
      </c>
      <c r="BL26" s="12"/>
      <c r="BM26" s="13">
        <v>2655403</v>
      </c>
      <c r="BN26" s="12"/>
      <c r="BO26" s="13">
        <f aca="true" t="shared" si="42" ref="BO26:BO40">BL26+BM26+BN26</f>
        <v>2655403</v>
      </c>
      <c r="BP26" s="41">
        <f aca="true" t="shared" si="43" ref="BP26:BP31">BO26/BO$61</f>
        <v>0.002926782642584918</v>
      </c>
      <c r="BQ26" s="13"/>
      <c r="BR26" s="12">
        <v>7859000</v>
      </c>
      <c r="BT26" s="13">
        <f t="shared" si="36"/>
        <v>7859000</v>
      </c>
      <c r="BU26" s="41">
        <f t="shared" si="37"/>
        <v>0.01658605017576697</v>
      </c>
      <c r="BV26" s="12"/>
      <c r="BW26" s="13">
        <v>753645</v>
      </c>
      <c r="BY26" s="13">
        <f t="shared" si="28"/>
        <v>753645</v>
      </c>
      <c r="BZ26" s="41">
        <f t="shared" si="29"/>
        <v>0.0017583725535180272</v>
      </c>
      <c r="CA26" s="12"/>
      <c r="CB26" s="12"/>
      <c r="CC26" s="12"/>
      <c r="CD26" s="12"/>
      <c r="CE26" s="41"/>
    </row>
    <row r="27" spans="2:83" ht="15">
      <c r="B27" t="s">
        <v>36</v>
      </c>
      <c r="C27" s="39">
        <f t="shared" si="10"/>
        <v>37962512</v>
      </c>
      <c r="D27" s="46">
        <f t="shared" si="11"/>
        <v>4220992</v>
      </c>
      <c r="E27" s="46">
        <f t="shared" si="12"/>
        <v>0</v>
      </c>
      <c r="F27" s="46">
        <f t="shared" si="0"/>
        <v>42183504</v>
      </c>
      <c r="G27" s="13">
        <f t="shared" si="13"/>
        <v>32</v>
      </c>
      <c r="H27" s="41">
        <f t="shared" si="1"/>
        <v>0.003348949759229656</v>
      </c>
      <c r="I27" s="46">
        <v>6701452</v>
      </c>
      <c r="J27" s="46"/>
      <c r="K27" s="46"/>
      <c r="L27" s="13">
        <f t="shared" si="2"/>
        <v>6701452</v>
      </c>
      <c r="M27" s="41">
        <f t="shared" si="3"/>
        <v>0.005222457132690944</v>
      </c>
      <c r="N27" s="46">
        <v>1012082</v>
      </c>
      <c r="O27" s="46">
        <v>1000000</v>
      </c>
      <c r="P27" s="46"/>
      <c r="Q27" s="13">
        <f t="shared" si="14"/>
        <v>2012082</v>
      </c>
      <c r="R27" s="41">
        <f t="shared" si="4"/>
        <v>0.002017219555625244</v>
      </c>
      <c r="S27" s="46">
        <v>3280974</v>
      </c>
      <c r="T27" s="46"/>
      <c r="U27" s="46"/>
      <c r="V27" s="13">
        <f t="shared" si="16"/>
        <v>3280974</v>
      </c>
      <c r="W27" s="41">
        <f t="shared" si="15"/>
        <v>0.0033638062522507294</v>
      </c>
      <c r="X27" s="46">
        <v>3738200</v>
      </c>
      <c r="Y27" s="46">
        <v>150000</v>
      </c>
      <c r="Z27" s="46"/>
      <c r="AA27" s="13">
        <f t="shared" si="17"/>
        <v>3888200</v>
      </c>
      <c r="AB27" s="41">
        <f t="shared" si="5"/>
        <v>0.00450874084791386</v>
      </c>
      <c r="AC27" s="46">
        <v>3623200</v>
      </c>
      <c r="AD27" s="46">
        <v>374000</v>
      </c>
      <c r="AE27" s="46"/>
      <c r="AF27" s="13">
        <f t="shared" si="18"/>
        <v>3997200</v>
      </c>
      <c r="AG27" s="41">
        <f t="shared" si="6"/>
        <v>0.003463609214417089</v>
      </c>
      <c r="AH27" s="46">
        <v>5311200</v>
      </c>
      <c r="AI27" s="46">
        <v>49200</v>
      </c>
      <c r="AJ27" s="46"/>
      <c r="AK27" s="13">
        <f t="shared" si="38"/>
        <v>5360400</v>
      </c>
      <c r="AL27" s="41">
        <f t="shared" si="7"/>
        <v>0.0038559480311777094</v>
      </c>
      <c r="AM27" s="46">
        <v>9390964</v>
      </c>
      <c r="AN27" s="46">
        <v>80280</v>
      </c>
      <c r="AO27" s="46"/>
      <c r="AP27" s="13">
        <f t="shared" si="31"/>
        <v>9471244</v>
      </c>
      <c r="AQ27" s="41">
        <f t="shared" si="39"/>
        <v>0.006404759254463384</v>
      </c>
      <c r="AR27" s="46">
        <v>286000</v>
      </c>
      <c r="AS27" s="46">
        <v>60000</v>
      </c>
      <c r="AT27" s="46"/>
      <c r="AU27" s="13">
        <f t="shared" si="40"/>
        <v>346000</v>
      </c>
      <c r="AV27" s="41">
        <f t="shared" si="32"/>
        <v>0.0004363956406063248</v>
      </c>
      <c r="AW27" s="13">
        <v>891496</v>
      </c>
      <c r="AX27" s="13">
        <v>84000</v>
      </c>
      <c r="AY27" s="12"/>
      <c r="AZ27" s="13">
        <f t="shared" si="35"/>
        <v>975496</v>
      </c>
      <c r="BA27" s="41">
        <f t="shared" si="41"/>
        <v>0.002540257173826347</v>
      </c>
      <c r="BB27" s="13">
        <f>347408+797368+507200</f>
        <v>1651976</v>
      </c>
      <c r="BC27" s="13">
        <v>120000</v>
      </c>
      <c r="BD27" s="12"/>
      <c r="BE27" s="13">
        <f t="shared" si="33"/>
        <v>1771976</v>
      </c>
      <c r="BF27" s="41">
        <f t="shared" si="34"/>
        <v>0.0032940466292334836</v>
      </c>
      <c r="BG27" s="13">
        <v>498756</v>
      </c>
      <c r="BH27" s="13">
        <v>850400</v>
      </c>
      <c r="BI27" s="12"/>
      <c r="BJ27" s="13">
        <f t="shared" si="24"/>
        <v>1349156</v>
      </c>
      <c r="BK27" s="41">
        <f t="shared" si="25"/>
        <v>0.0019650824627752564</v>
      </c>
      <c r="BL27" s="13">
        <f>1516212-800000</f>
        <v>716212</v>
      </c>
      <c r="BM27" s="13">
        <v>800000</v>
      </c>
      <c r="BN27" s="12"/>
      <c r="BO27" s="13">
        <f t="shared" si="42"/>
        <v>1516212</v>
      </c>
      <c r="BP27" s="41">
        <f t="shared" si="43"/>
        <v>0.0016711674137895318</v>
      </c>
      <c r="BQ27" s="13">
        <v>860000</v>
      </c>
      <c r="BR27" s="13">
        <v>653112</v>
      </c>
      <c r="BT27" s="13">
        <f t="shared" si="36"/>
        <v>1513112</v>
      </c>
      <c r="BU27" s="41">
        <f t="shared" si="37"/>
        <v>0.0031933517691252206</v>
      </c>
      <c r="BY27" s="13"/>
      <c r="BZ27" s="41"/>
      <c r="CC27" s="12"/>
      <c r="CD27" s="12"/>
      <c r="CE27" s="41"/>
    </row>
    <row r="28" spans="2:83" ht="15">
      <c r="B28" t="s">
        <v>37</v>
      </c>
      <c r="C28" s="39">
        <f t="shared" si="10"/>
        <v>127644770</v>
      </c>
      <c r="D28" s="46">
        <f t="shared" si="11"/>
        <v>0</v>
      </c>
      <c r="E28" s="46">
        <f t="shared" si="12"/>
        <v>0</v>
      </c>
      <c r="F28" s="46">
        <f t="shared" si="0"/>
        <v>127644770</v>
      </c>
      <c r="G28" s="13">
        <f t="shared" si="13"/>
        <v>21</v>
      </c>
      <c r="H28" s="41">
        <f t="shared" si="1"/>
        <v>0.010133722456020363</v>
      </c>
      <c r="I28" s="46">
        <v>3440000</v>
      </c>
      <c r="J28" s="46"/>
      <c r="K28" s="46"/>
      <c r="L28" s="13">
        <f t="shared" si="2"/>
        <v>3440000</v>
      </c>
      <c r="M28" s="41">
        <f t="shared" si="3"/>
        <v>0.0026808000022169594</v>
      </c>
      <c r="N28" s="46">
        <v>10862000</v>
      </c>
      <c r="O28" s="46"/>
      <c r="P28" s="46"/>
      <c r="Q28" s="13">
        <f t="shared" si="14"/>
        <v>10862000</v>
      </c>
      <c r="R28" s="41">
        <f t="shared" si="4"/>
        <v>0.010889734520363186</v>
      </c>
      <c r="S28" s="46"/>
      <c r="T28" s="46"/>
      <c r="U28" s="46"/>
      <c r="V28" s="13"/>
      <c r="W28" s="41"/>
      <c r="X28" s="46">
        <v>14343000</v>
      </c>
      <c r="Y28" s="46"/>
      <c r="Z28" s="46"/>
      <c r="AA28" s="13">
        <f t="shared" si="17"/>
        <v>14343000</v>
      </c>
      <c r="AB28" s="41">
        <f t="shared" si="5"/>
        <v>0.016632084250200217</v>
      </c>
      <c r="AC28" s="46">
        <v>26689770</v>
      </c>
      <c r="AD28" s="46"/>
      <c r="AE28" s="46"/>
      <c r="AF28" s="13">
        <f t="shared" si="18"/>
        <v>26689770</v>
      </c>
      <c r="AG28" s="41">
        <f t="shared" si="6"/>
        <v>0.023126922171188027</v>
      </c>
      <c r="AH28" s="46">
        <v>26702000</v>
      </c>
      <c r="AI28" s="46"/>
      <c r="AJ28" s="46"/>
      <c r="AK28" s="13">
        <f t="shared" si="38"/>
        <v>26702000</v>
      </c>
      <c r="AL28" s="41">
        <f t="shared" si="7"/>
        <v>0.01920780619515469</v>
      </c>
      <c r="AM28" s="46">
        <v>10794000</v>
      </c>
      <c r="AN28" s="46"/>
      <c r="AO28" s="46"/>
      <c r="AP28" s="13">
        <f aca="true" t="shared" si="44" ref="AP28:AP35">AM28+AN28+AO28</f>
        <v>10794000</v>
      </c>
      <c r="AQ28" s="41">
        <f t="shared" si="39"/>
        <v>0.007299249326981521</v>
      </c>
      <c r="AR28" s="46"/>
      <c r="AS28" s="46"/>
      <c r="AT28" s="46"/>
      <c r="AU28" s="13"/>
      <c r="AV28" s="41"/>
      <c r="AW28" s="13">
        <v>11102000</v>
      </c>
      <c r="AX28" s="12"/>
      <c r="AY28" s="12"/>
      <c r="AZ28" s="13">
        <f aca="true" t="shared" si="45" ref="AZ28:AZ34">AW28+AX28+AY28</f>
        <v>11102000</v>
      </c>
      <c r="BA28" s="41">
        <f t="shared" si="41"/>
        <v>0.028910354469746782</v>
      </c>
      <c r="BB28" s="13"/>
      <c r="BC28" s="12"/>
      <c r="BD28" s="12"/>
      <c r="BE28" s="13"/>
      <c r="BF28" s="41"/>
      <c r="BG28" s="13">
        <v>8526000</v>
      </c>
      <c r="BH28" s="12"/>
      <c r="BI28" s="12"/>
      <c r="BJ28" s="13">
        <f t="shared" si="24"/>
        <v>8526000</v>
      </c>
      <c r="BK28" s="41">
        <f t="shared" si="25"/>
        <v>0.012418351234121064</v>
      </c>
      <c r="BL28" s="13">
        <v>4964000</v>
      </c>
      <c r="BM28" s="12"/>
      <c r="BN28" s="12"/>
      <c r="BO28" s="13">
        <f t="shared" si="42"/>
        <v>4964000</v>
      </c>
      <c r="BP28" s="41">
        <f t="shared" si="43"/>
        <v>0.00547131604422814</v>
      </c>
      <c r="BQ28" s="13">
        <v>1232000</v>
      </c>
      <c r="BT28" s="13">
        <f t="shared" si="36"/>
        <v>1232000</v>
      </c>
      <c r="BU28" s="41">
        <f t="shared" si="37"/>
        <v>0.0026000781036448536</v>
      </c>
      <c r="BV28" s="13">
        <v>5690000</v>
      </c>
      <c r="BY28" s="13">
        <f aca="true" t="shared" si="46" ref="BY28:BY34">SUM(BV28:BX28)</f>
        <v>5690000</v>
      </c>
      <c r="BZ28" s="41">
        <f>BY28/BY$61</f>
        <v>0.013275666699198661</v>
      </c>
      <c r="CA28" s="13">
        <v>3300000</v>
      </c>
      <c r="CB28" s="13"/>
      <c r="CC28" s="12"/>
      <c r="CD28" s="13">
        <f>SUM(CA28:CC28)</f>
        <v>3300000</v>
      </c>
      <c r="CE28" s="41">
        <f>CD28/CD$61</f>
        <v>0.013549201010391018</v>
      </c>
    </row>
    <row r="29" spans="2:83" ht="15">
      <c r="B29" s="53" t="s">
        <v>38</v>
      </c>
      <c r="C29" s="54">
        <f t="shared" si="10"/>
        <v>194646632</v>
      </c>
      <c r="D29" s="56">
        <f t="shared" si="11"/>
        <v>66529874</v>
      </c>
      <c r="E29" s="56">
        <f t="shared" si="12"/>
        <v>14155505</v>
      </c>
      <c r="F29" s="56">
        <f t="shared" si="0"/>
        <v>275332011</v>
      </c>
      <c r="G29" s="54">
        <f>RANK(F29,F$9:F$58,0)</f>
        <v>12</v>
      </c>
      <c r="H29" s="55">
        <f t="shared" si="1"/>
        <v>0.021858617338822</v>
      </c>
      <c r="I29" s="56">
        <v>494634</v>
      </c>
      <c r="J29" s="56"/>
      <c r="K29" s="56"/>
      <c r="L29" s="54">
        <f t="shared" si="2"/>
        <v>494634</v>
      </c>
      <c r="M29" s="55">
        <f t="shared" si="3"/>
        <v>0.0003854694268304022</v>
      </c>
      <c r="N29" s="56"/>
      <c r="O29" s="56">
        <v>6000000</v>
      </c>
      <c r="P29" s="56"/>
      <c r="Q29" s="54">
        <f t="shared" si="14"/>
        <v>6000000</v>
      </c>
      <c r="R29" s="55">
        <f t="shared" si="4"/>
        <v>0.006015320118042637</v>
      </c>
      <c r="S29" s="56">
        <v>2945500</v>
      </c>
      <c r="T29" s="56">
        <v>6000000</v>
      </c>
      <c r="U29" s="56">
        <v>1398253</v>
      </c>
      <c r="V29" s="54">
        <f t="shared" si="16"/>
        <v>10343753</v>
      </c>
      <c r="W29" s="55">
        <f t="shared" si="15"/>
        <v>0.010604893855646903</v>
      </c>
      <c r="X29" s="56">
        <v>3075953</v>
      </c>
      <c r="Y29" s="56">
        <v>6236000</v>
      </c>
      <c r="Z29" s="56">
        <v>1134050</v>
      </c>
      <c r="AA29" s="54">
        <f t="shared" si="17"/>
        <v>10446003</v>
      </c>
      <c r="AB29" s="55">
        <f t="shared" si="5"/>
        <v>0.01211314243699674</v>
      </c>
      <c r="AC29" s="56">
        <v>3080540</v>
      </c>
      <c r="AD29" s="56">
        <v>1460800</v>
      </c>
      <c r="AE29" s="56">
        <v>7292137</v>
      </c>
      <c r="AF29" s="54">
        <f t="shared" si="18"/>
        <v>11833477</v>
      </c>
      <c r="AG29" s="55">
        <f t="shared" si="6"/>
        <v>0.010253812662812141</v>
      </c>
      <c r="AH29" s="56">
        <v>7343740</v>
      </c>
      <c r="AI29" s="56">
        <v>4771200</v>
      </c>
      <c r="AJ29" s="56">
        <v>2591077</v>
      </c>
      <c r="AK29" s="54">
        <f t="shared" si="38"/>
        <v>14706017</v>
      </c>
      <c r="AL29" s="55">
        <f t="shared" si="7"/>
        <v>0.01057862049429444</v>
      </c>
      <c r="AM29" s="56">
        <v>5895080</v>
      </c>
      <c r="AN29" s="56">
        <v>400000</v>
      </c>
      <c r="AO29" s="56">
        <v>960000</v>
      </c>
      <c r="AP29" s="54">
        <f t="shared" si="44"/>
        <v>7255080</v>
      </c>
      <c r="AQ29" s="55">
        <f t="shared" si="39"/>
        <v>0.004906118010672326</v>
      </c>
      <c r="AR29" s="56">
        <v>5847296</v>
      </c>
      <c r="AS29" s="56">
        <v>10434126</v>
      </c>
      <c r="AT29" s="56">
        <v>779988</v>
      </c>
      <c r="AU29" s="54">
        <f t="shared" si="40"/>
        <v>17061410</v>
      </c>
      <c r="AV29" s="55">
        <f>AU29/AU$61</f>
        <v>0.021518858227159408</v>
      </c>
      <c r="AW29" s="54">
        <v>17818125</v>
      </c>
      <c r="AX29" s="57">
        <v>23547616</v>
      </c>
      <c r="AY29" s="57"/>
      <c r="AZ29" s="54">
        <f t="shared" si="45"/>
        <v>41365741</v>
      </c>
      <c r="BA29" s="55">
        <f t="shared" si="41"/>
        <v>0.10771917088936568</v>
      </c>
      <c r="BB29" s="54">
        <f>7452+301653+3198816+9891987</f>
        <v>13399908</v>
      </c>
      <c r="BC29" s="57">
        <f>368000+4005036</f>
        <v>4373036</v>
      </c>
      <c r="BD29" s="57"/>
      <c r="BE29" s="54">
        <f>BB29+BC29+BD29</f>
        <v>17772944</v>
      </c>
      <c r="BF29" s="55">
        <f>BE29/BE$61</f>
        <v>0.03303933364490008</v>
      </c>
      <c r="BG29" s="54">
        <v>12110115</v>
      </c>
      <c r="BH29" s="57">
        <v>1543948</v>
      </c>
      <c r="BI29" s="57"/>
      <c r="BJ29" s="54">
        <f t="shared" si="24"/>
        <v>13654063</v>
      </c>
      <c r="BK29" s="55">
        <f t="shared" si="25"/>
        <v>0.019887514673565185</v>
      </c>
      <c r="BL29" s="54">
        <f>39421266-690320-190000-66000-30000-73600-509800-466403-385000-30000-2</f>
        <v>36980141</v>
      </c>
      <c r="BM29" s="57"/>
      <c r="BN29" s="57"/>
      <c r="BO29" s="54">
        <f t="shared" si="42"/>
        <v>36980141</v>
      </c>
      <c r="BP29" s="55">
        <f t="shared" si="43"/>
        <v>0.040759475981289046</v>
      </c>
      <c r="BQ29" s="54">
        <v>52018480</v>
      </c>
      <c r="BR29" s="57"/>
      <c r="BS29" s="53"/>
      <c r="BT29" s="54">
        <f t="shared" si="36"/>
        <v>52018480</v>
      </c>
      <c r="BU29" s="55">
        <f t="shared" si="37"/>
        <v>0.10978255749422706</v>
      </c>
      <c r="BV29" s="54">
        <v>9637120</v>
      </c>
      <c r="BW29" s="54">
        <v>1763148</v>
      </c>
      <c r="BX29" s="53"/>
      <c r="BY29" s="54">
        <f t="shared" si="46"/>
        <v>11400268</v>
      </c>
      <c r="BZ29" s="55">
        <f>BY29/BY$61</f>
        <v>0.02659862183647454</v>
      </c>
      <c r="CA29" s="54">
        <v>24000000</v>
      </c>
      <c r="CB29" s="57"/>
      <c r="CC29" s="57"/>
      <c r="CD29" s="54">
        <f>SUM(CA29:CC29)</f>
        <v>24000000</v>
      </c>
      <c r="CE29" s="55">
        <f>CD29/CD$61</f>
        <v>0.09853964371193467</v>
      </c>
    </row>
    <row r="30" spans="2:83" ht="15">
      <c r="B30" t="s">
        <v>39</v>
      </c>
      <c r="C30" s="13">
        <f t="shared" si="10"/>
        <v>129234661</v>
      </c>
      <c r="D30" s="46">
        <f t="shared" si="11"/>
        <v>46205245</v>
      </c>
      <c r="E30" s="46">
        <f t="shared" si="12"/>
        <v>3355425</v>
      </c>
      <c r="F30" s="46">
        <f t="shared" si="0"/>
        <v>178795331</v>
      </c>
      <c r="G30" s="13">
        <f t="shared" si="13"/>
        <v>18</v>
      </c>
      <c r="H30" s="41">
        <f t="shared" si="1"/>
        <v>0.014194567163122264</v>
      </c>
      <c r="I30" s="46">
        <v>13143106</v>
      </c>
      <c r="J30" s="46">
        <v>36500</v>
      </c>
      <c r="K30" s="46">
        <v>3355425</v>
      </c>
      <c r="L30" s="13">
        <f t="shared" si="2"/>
        <v>16535031</v>
      </c>
      <c r="M30" s="41">
        <f t="shared" si="3"/>
        <v>0.012885788122516713</v>
      </c>
      <c r="N30" s="46">
        <v>7493050</v>
      </c>
      <c r="O30" s="46">
        <v>2241246</v>
      </c>
      <c r="P30" s="46"/>
      <c r="Q30" s="13">
        <f t="shared" si="14"/>
        <v>9734296</v>
      </c>
      <c r="R30" s="41">
        <f t="shared" si="4"/>
        <v>0.009759151093963662</v>
      </c>
      <c r="S30" s="46">
        <v>7962726</v>
      </c>
      <c r="T30" s="46">
        <v>4519316</v>
      </c>
      <c r="U30" s="46"/>
      <c r="V30" s="13">
        <f t="shared" si="16"/>
        <v>12482042</v>
      </c>
      <c r="W30" s="41">
        <f t="shared" si="15"/>
        <v>0.01279716660981044</v>
      </c>
      <c r="X30" s="46">
        <v>10058099</v>
      </c>
      <c r="Y30" s="46">
        <v>5442121</v>
      </c>
      <c r="Z30" s="46"/>
      <c r="AA30" s="13">
        <f t="shared" si="17"/>
        <v>15500220</v>
      </c>
      <c r="AB30" s="41">
        <f t="shared" si="5"/>
        <v>0.017973991838293134</v>
      </c>
      <c r="AC30" s="46">
        <v>11064483</v>
      </c>
      <c r="AD30" s="46">
        <v>3533650</v>
      </c>
      <c r="AE30" s="46"/>
      <c r="AF30" s="13">
        <f t="shared" si="18"/>
        <v>14598133</v>
      </c>
      <c r="AG30" s="41">
        <f t="shared" si="6"/>
        <v>0.012649411581128334</v>
      </c>
      <c r="AH30" s="46">
        <v>14760211</v>
      </c>
      <c r="AI30" s="46">
        <v>3738717</v>
      </c>
      <c r="AJ30" s="46"/>
      <c r="AK30" s="13">
        <f t="shared" si="38"/>
        <v>18498928</v>
      </c>
      <c r="AL30" s="41">
        <f t="shared" si="7"/>
        <v>0.013307011603704611</v>
      </c>
      <c r="AM30" s="46">
        <v>12051002</v>
      </c>
      <c r="AN30" s="46">
        <v>5005364</v>
      </c>
      <c r="AO30" s="46"/>
      <c r="AP30" s="13">
        <f t="shared" si="44"/>
        <v>17056366</v>
      </c>
      <c r="AQ30" s="41">
        <f t="shared" si="39"/>
        <v>0.011534062261094172</v>
      </c>
      <c r="AR30" s="46">
        <v>4054000</v>
      </c>
      <c r="AS30" s="46">
        <v>6158551</v>
      </c>
      <c r="AT30" s="46"/>
      <c r="AU30" s="13">
        <f t="shared" si="40"/>
        <v>10212551</v>
      </c>
      <c r="AV30" s="41">
        <f>AU30/AU$61</f>
        <v>0.012880672647022435</v>
      </c>
      <c r="AW30" s="13">
        <v>7622031</v>
      </c>
      <c r="AX30" s="13">
        <v>2007856</v>
      </c>
      <c r="AY30" s="12"/>
      <c r="AZ30" s="13">
        <f t="shared" si="45"/>
        <v>9629887</v>
      </c>
      <c r="BA30" s="41">
        <f t="shared" si="41"/>
        <v>0.025076873236678655</v>
      </c>
      <c r="BB30" s="13">
        <v>7859831</v>
      </c>
      <c r="BC30" s="13">
        <f>762807+1543930</f>
        <v>2306737</v>
      </c>
      <c r="BD30" s="12"/>
      <c r="BE30" s="13">
        <f>BB30+BC30+BD30</f>
        <v>10166568</v>
      </c>
      <c r="BF30" s="41">
        <f>BE30/BE$61</f>
        <v>0.01889932428614891</v>
      </c>
      <c r="BG30" s="13">
        <v>9126576</v>
      </c>
      <c r="BH30" s="13">
        <v>6058160</v>
      </c>
      <c r="BI30" s="12"/>
      <c r="BJ30" s="13">
        <f t="shared" si="24"/>
        <v>15184736</v>
      </c>
      <c r="BK30" s="41">
        <f t="shared" si="25"/>
        <v>0.022116981591062932</v>
      </c>
      <c r="BL30" s="13">
        <v>13303746</v>
      </c>
      <c r="BM30" s="13">
        <v>1562327</v>
      </c>
      <c r="BN30" s="12"/>
      <c r="BO30" s="13">
        <f t="shared" si="42"/>
        <v>14866073</v>
      </c>
      <c r="BP30" s="41">
        <f t="shared" si="43"/>
        <v>0.01638537141812384</v>
      </c>
      <c r="BQ30" s="13">
        <v>8749800</v>
      </c>
      <c r="BR30" s="13">
        <v>2492363</v>
      </c>
      <c r="BT30" s="13">
        <f t="shared" si="36"/>
        <v>11242163</v>
      </c>
      <c r="BU30" s="41">
        <f t="shared" si="37"/>
        <v>0.0237260566995993</v>
      </c>
      <c r="BV30" s="13">
        <v>1986000</v>
      </c>
      <c r="BW30" s="13">
        <v>1102337</v>
      </c>
      <c r="BY30" s="13">
        <f t="shared" si="46"/>
        <v>3088337</v>
      </c>
      <c r="BZ30" s="41">
        <f>BY30/BY$61</f>
        <v>0.0072055769185945685</v>
      </c>
      <c r="CA30" s="12"/>
      <c r="CB30" s="12"/>
      <c r="CC30" s="12"/>
      <c r="CD30" s="12"/>
      <c r="CE30" s="41"/>
    </row>
    <row r="31" spans="2:83" ht="15">
      <c r="B31" t="s">
        <v>40</v>
      </c>
      <c r="C31" s="39">
        <f t="shared" si="10"/>
        <v>101276820</v>
      </c>
      <c r="D31" s="46">
        <f t="shared" si="11"/>
        <v>107503972</v>
      </c>
      <c r="E31" s="46">
        <f t="shared" si="12"/>
        <v>8023050</v>
      </c>
      <c r="F31" s="46">
        <f t="shared" si="0"/>
        <v>216803842</v>
      </c>
      <c r="G31" s="13">
        <f t="shared" si="13"/>
        <v>15</v>
      </c>
      <c r="H31" s="41">
        <f t="shared" si="1"/>
        <v>0.017212064091829935</v>
      </c>
      <c r="I31" s="46">
        <v>18371532</v>
      </c>
      <c r="J31" s="46"/>
      <c r="K31" s="46">
        <v>8023050</v>
      </c>
      <c r="L31" s="13">
        <f t="shared" si="2"/>
        <v>26394582</v>
      </c>
      <c r="M31" s="41">
        <f t="shared" si="3"/>
        <v>0.020569359152359218</v>
      </c>
      <c r="N31" s="46">
        <v>12537077</v>
      </c>
      <c r="O31" s="46">
        <v>5226315</v>
      </c>
      <c r="P31" s="46"/>
      <c r="Q31" s="13">
        <f t="shared" si="14"/>
        <v>17763392</v>
      </c>
      <c r="R31" s="41">
        <f t="shared" si="4"/>
        <v>0.017808748210379605</v>
      </c>
      <c r="S31" s="46">
        <v>9258159</v>
      </c>
      <c r="T31" s="46">
        <v>6494670</v>
      </c>
      <c r="U31" s="46"/>
      <c r="V31" s="13">
        <f t="shared" si="16"/>
        <v>15752829</v>
      </c>
      <c r="W31" s="41">
        <f t="shared" si="15"/>
        <v>0.016150528678629154</v>
      </c>
      <c r="X31" s="46">
        <v>10327194</v>
      </c>
      <c r="Y31" s="46">
        <v>11417598</v>
      </c>
      <c r="Z31" s="46"/>
      <c r="AA31" s="13">
        <f t="shared" si="17"/>
        <v>21744792</v>
      </c>
      <c r="AB31" s="41">
        <f t="shared" si="5"/>
        <v>0.02521517203842151</v>
      </c>
      <c r="AC31" s="46">
        <v>15348846</v>
      </c>
      <c r="AD31" s="46">
        <v>20431000</v>
      </c>
      <c r="AE31" s="46"/>
      <c r="AF31" s="13">
        <f t="shared" si="18"/>
        <v>35779846</v>
      </c>
      <c r="AG31" s="41">
        <f t="shared" si="6"/>
        <v>0.031003553561499152</v>
      </c>
      <c r="AH31" s="46">
        <v>17359382</v>
      </c>
      <c r="AI31" s="46">
        <v>22087000</v>
      </c>
      <c r="AJ31" s="46"/>
      <c r="AK31" s="13">
        <f t="shared" si="38"/>
        <v>39446382</v>
      </c>
      <c r="AL31" s="41">
        <f t="shared" si="7"/>
        <v>0.02837534493880752</v>
      </c>
      <c r="AM31" s="46">
        <v>7338363</v>
      </c>
      <c r="AN31" s="46">
        <v>8805604</v>
      </c>
      <c r="AO31" s="46"/>
      <c r="AP31" s="13">
        <f t="shared" si="44"/>
        <v>16143967</v>
      </c>
      <c r="AQ31" s="41">
        <f t="shared" si="39"/>
        <v>0.010917068765940511</v>
      </c>
      <c r="AR31" s="46">
        <v>1600000</v>
      </c>
      <c r="AS31" s="46">
        <v>7333281</v>
      </c>
      <c r="AT31" s="46"/>
      <c r="AU31" s="13">
        <f t="shared" si="40"/>
        <v>8933281</v>
      </c>
      <c r="AV31" s="41">
        <f>AU31/AU$61</f>
        <v>0.011267181747720548</v>
      </c>
      <c r="AW31" s="13"/>
      <c r="AX31" s="12">
        <v>3298400</v>
      </c>
      <c r="AY31" s="12"/>
      <c r="AZ31" s="13">
        <f t="shared" si="45"/>
        <v>3298400</v>
      </c>
      <c r="BA31" s="41">
        <f t="shared" si="41"/>
        <v>0.008589255375879372</v>
      </c>
      <c r="BB31" s="13"/>
      <c r="BC31" s="12">
        <v>12642200</v>
      </c>
      <c r="BD31" s="12"/>
      <c r="BE31" s="13">
        <f>BB31+BC31+BD31</f>
        <v>12642200</v>
      </c>
      <c r="BF31" s="41">
        <f>BE31/BE$61</f>
        <v>0.02350144488192591</v>
      </c>
      <c r="BG31" s="13"/>
      <c r="BH31" s="12">
        <v>3844465</v>
      </c>
      <c r="BI31" s="12"/>
      <c r="BJ31" s="13">
        <f t="shared" si="24"/>
        <v>3844465</v>
      </c>
      <c r="BK31" s="41">
        <f t="shared" si="25"/>
        <v>0.00559956798936022</v>
      </c>
      <c r="BL31" s="13"/>
      <c r="BM31" s="12">
        <v>1874639</v>
      </c>
      <c r="BN31" s="12"/>
      <c r="BO31" s="13">
        <f t="shared" si="42"/>
        <v>1874639</v>
      </c>
      <c r="BP31" s="41">
        <f t="shared" si="43"/>
        <v>0.0020662253097977023</v>
      </c>
      <c r="BQ31" s="13">
        <v>4800000</v>
      </c>
      <c r="BR31" s="13">
        <v>878400</v>
      </c>
      <c r="BT31" s="13">
        <f t="shared" si="36"/>
        <v>5678400</v>
      </c>
      <c r="BU31" s="41">
        <f t="shared" si="37"/>
        <v>0.011983996350435825</v>
      </c>
      <c r="BV31" s="13">
        <v>4336267</v>
      </c>
      <c r="BW31" s="13">
        <v>3170400</v>
      </c>
      <c r="BY31" s="13">
        <f t="shared" si="46"/>
        <v>7506667</v>
      </c>
      <c r="BZ31" s="41">
        <f>BY31/BY$61</f>
        <v>0.017514237102613975</v>
      </c>
      <c r="CA31" s="12"/>
      <c r="CB31" s="12"/>
      <c r="CC31" s="12"/>
      <c r="CD31" s="12"/>
      <c r="CE31" s="41"/>
    </row>
    <row r="32" spans="2:83" ht="15">
      <c r="B32" t="s">
        <v>70</v>
      </c>
      <c r="C32" s="39">
        <f t="shared" si="10"/>
        <v>250000</v>
      </c>
      <c r="D32" s="46">
        <f t="shared" si="11"/>
        <v>0</v>
      </c>
      <c r="E32" s="46">
        <f t="shared" si="12"/>
        <v>0</v>
      </c>
      <c r="F32" s="46">
        <f>C32+D32+E32</f>
        <v>250000</v>
      </c>
      <c r="G32" s="13">
        <f t="shared" si="13"/>
        <v>50</v>
      </c>
      <c r="H32" s="41">
        <f t="shared" si="1"/>
        <v>1.984750815881521E-05</v>
      </c>
      <c r="I32" s="46"/>
      <c r="J32" s="46"/>
      <c r="K32" s="46"/>
      <c r="L32" s="13">
        <f t="shared" si="2"/>
        <v>0</v>
      </c>
      <c r="M32" s="41">
        <f t="shared" si="3"/>
        <v>0</v>
      </c>
      <c r="N32" s="46"/>
      <c r="O32" s="46"/>
      <c r="P32" s="46"/>
      <c r="Q32" s="13">
        <f t="shared" si="14"/>
        <v>0</v>
      </c>
      <c r="R32" s="41">
        <f t="shared" si="4"/>
        <v>0</v>
      </c>
      <c r="S32" s="46"/>
      <c r="T32" s="46"/>
      <c r="U32" s="46"/>
      <c r="V32" s="13"/>
      <c r="W32" s="41"/>
      <c r="X32" s="46"/>
      <c r="Y32" s="46"/>
      <c r="Z32" s="46"/>
      <c r="AA32" s="13">
        <f aca="true" t="shared" si="47" ref="AA32:AA39">X32+Y32+Z32</f>
        <v>0</v>
      </c>
      <c r="AB32" s="41">
        <f t="shared" si="5"/>
        <v>0</v>
      </c>
      <c r="AC32" s="46"/>
      <c r="AD32" s="46"/>
      <c r="AE32" s="46"/>
      <c r="AF32" s="13"/>
      <c r="AG32" s="41"/>
      <c r="AH32" s="46"/>
      <c r="AI32" s="46"/>
      <c r="AJ32" s="46"/>
      <c r="AK32" s="13">
        <f t="shared" si="38"/>
        <v>0</v>
      </c>
      <c r="AL32" s="41">
        <f t="shared" si="7"/>
        <v>0</v>
      </c>
      <c r="AM32" s="46">
        <v>250000</v>
      </c>
      <c r="AN32" s="46"/>
      <c r="AO32" s="46"/>
      <c r="AP32" s="13">
        <f t="shared" si="44"/>
        <v>250000</v>
      </c>
      <c r="AQ32" s="41">
        <f t="shared" si="39"/>
        <v>0.0001690580259167482</v>
      </c>
      <c r="AR32" s="46"/>
      <c r="AS32" s="46"/>
      <c r="AT32" s="46"/>
      <c r="AU32" s="13"/>
      <c r="AV32" s="41"/>
      <c r="AW32" s="13"/>
      <c r="AX32" s="12"/>
      <c r="AY32" s="12"/>
      <c r="AZ32" s="13"/>
      <c r="BA32" s="41"/>
      <c r="BB32" s="13"/>
      <c r="BC32" s="12"/>
      <c r="BD32" s="12"/>
      <c r="BE32" s="13"/>
      <c r="BF32" s="41"/>
      <c r="BG32" s="13"/>
      <c r="BH32" s="12"/>
      <c r="BI32" s="12"/>
      <c r="BJ32" s="13"/>
      <c r="BK32" s="41"/>
      <c r="BL32" s="13"/>
      <c r="BM32" s="12"/>
      <c r="BN32" s="12"/>
      <c r="BO32" s="13"/>
      <c r="BP32" s="41"/>
      <c r="BQ32" s="13"/>
      <c r="BR32" s="13"/>
      <c r="BT32" s="13"/>
      <c r="BU32" s="41"/>
      <c r="BV32" s="13"/>
      <c r="BW32" s="13"/>
      <c r="BY32" s="13"/>
      <c r="BZ32" s="41"/>
      <c r="CA32" s="12"/>
      <c r="CB32" s="12"/>
      <c r="CC32" s="12"/>
      <c r="CD32" s="12"/>
      <c r="CE32" s="41"/>
    </row>
    <row r="33" spans="2:83" ht="15">
      <c r="B33" t="s">
        <v>41</v>
      </c>
      <c r="C33" s="39">
        <f t="shared" si="10"/>
        <v>106897406</v>
      </c>
      <c r="D33" s="46">
        <f t="shared" si="11"/>
        <v>28298280</v>
      </c>
      <c r="E33" s="46">
        <f t="shared" si="12"/>
        <v>11130426</v>
      </c>
      <c r="F33" s="46">
        <f t="shared" si="0"/>
        <v>146326112</v>
      </c>
      <c r="G33" s="13">
        <f t="shared" si="13"/>
        <v>19</v>
      </c>
      <c r="H33" s="41">
        <f t="shared" si="1"/>
        <v>0.011616834807070833</v>
      </c>
      <c r="I33" s="46">
        <v>1364053</v>
      </c>
      <c r="J33" s="46"/>
      <c r="K33" s="46">
        <v>4344345</v>
      </c>
      <c r="L33" s="13">
        <f t="shared" si="2"/>
        <v>5708398</v>
      </c>
      <c r="M33" s="41">
        <f t="shared" si="3"/>
        <v>0.0044485678404230485</v>
      </c>
      <c r="N33" s="46">
        <v>5866998</v>
      </c>
      <c r="O33" s="46">
        <v>1087500</v>
      </c>
      <c r="P33" s="46">
        <v>1033028</v>
      </c>
      <c r="Q33" s="13">
        <f t="shared" si="14"/>
        <v>7987526</v>
      </c>
      <c r="R33" s="41">
        <f t="shared" si="4"/>
        <v>0.008007920973531438</v>
      </c>
      <c r="S33" s="46">
        <v>885208</v>
      </c>
      <c r="T33" s="46">
        <v>3112519</v>
      </c>
      <c r="U33" s="46"/>
      <c r="V33" s="13">
        <f t="shared" si="16"/>
        <v>3997727</v>
      </c>
      <c r="W33" s="41">
        <f t="shared" si="15"/>
        <v>0.004098654569463687</v>
      </c>
      <c r="X33" s="46">
        <v>17542693</v>
      </c>
      <c r="Y33" s="46">
        <v>3302000</v>
      </c>
      <c r="Z33" s="46">
        <v>2126954</v>
      </c>
      <c r="AA33" s="13">
        <f t="shared" si="47"/>
        <v>22971647</v>
      </c>
      <c r="AB33" s="41">
        <f t="shared" si="5"/>
        <v>0.026637828088256228</v>
      </c>
      <c r="AC33" s="46">
        <v>7706025</v>
      </c>
      <c r="AD33" s="46">
        <v>992790</v>
      </c>
      <c r="AE33" s="46"/>
      <c r="AF33" s="13">
        <f t="shared" si="18"/>
        <v>8698815</v>
      </c>
      <c r="AG33" s="41">
        <f t="shared" si="6"/>
        <v>0.007537600267314517</v>
      </c>
      <c r="AH33" s="46">
        <v>15813445</v>
      </c>
      <c r="AI33" s="46">
        <v>500000</v>
      </c>
      <c r="AJ33" s="46"/>
      <c r="AK33" s="13">
        <f t="shared" si="38"/>
        <v>16313445</v>
      </c>
      <c r="AL33" s="41">
        <f t="shared" si="7"/>
        <v>0.011734907120639475</v>
      </c>
      <c r="AM33" s="46">
        <v>34861614</v>
      </c>
      <c r="AN33" s="46">
        <v>12942541</v>
      </c>
      <c r="AO33" s="46">
        <v>2826099</v>
      </c>
      <c r="AP33" s="13">
        <f t="shared" si="44"/>
        <v>50630254</v>
      </c>
      <c r="AQ33" s="41">
        <f t="shared" si="39"/>
        <v>0.03423780317161418</v>
      </c>
      <c r="AR33" s="46">
        <v>7790760</v>
      </c>
      <c r="AS33" s="46">
        <v>5211930</v>
      </c>
      <c r="AT33" s="46"/>
      <c r="AU33" s="13">
        <f t="shared" si="40"/>
        <v>13002690</v>
      </c>
      <c r="AV33" s="41">
        <f>AU33/AU$61</f>
        <v>0.016399760786576453</v>
      </c>
      <c r="AW33" s="12">
        <v>1215520</v>
      </c>
      <c r="AX33" s="12">
        <v>1149000</v>
      </c>
      <c r="AY33" s="12"/>
      <c r="AZ33" s="13">
        <f t="shared" si="45"/>
        <v>2364520</v>
      </c>
      <c r="BA33" s="41">
        <f>AZ33/AZ$61</f>
        <v>0.006157369064205158</v>
      </c>
      <c r="BB33" s="12">
        <v>6045175</v>
      </c>
      <c r="BC33" s="12"/>
      <c r="BD33" s="12">
        <v>800000</v>
      </c>
      <c r="BE33" s="13">
        <f>BB33+BC33+BD33</f>
        <v>6845175</v>
      </c>
      <c r="BF33" s="41">
        <f>BE33/BE$61</f>
        <v>0.012724961080321241</v>
      </c>
      <c r="BG33" s="12">
        <v>6845915</v>
      </c>
      <c r="BH33" s="12"/>
      <c r="BI33" s="12"/>
      <c r="BJ33" s="13">
        <f t="shared" si="24"/>
        <v>6845915</v>
      </c>
      <c r="BK33" s="41">
        <f>BJ33/BJ$61</f>
        <v>0.00997126166888786</v>
      </c>
      <c r="BL33" s="12">
        <v>640000</v>
      </c>
      <c r="BM33" s="12"/>
      <c r="BN33" s="12"/>
      <c r="BO33" s="13">
        <f t="shared" si="42"/>
        <v>640000</v>
      </c>
      <c r="BP33" s="41">
        <f aca="true" t="shared" si="48" ref="BP33:BP40">BO33/BO$61</f>
        <v>0.0007054073868464966</v>
      </c>
      <c r="BQ33" s="12"/>
      <c r="BR33" s="12"/>
      <c r="BT33" s="12"/>
      <c r="BU33" s="41"/>
      <c r="BV33" s="13">
        <v>320000</v>
      </c>
      <c r="BW33" s="12"/>
      <c r="BY33" s="13">
        <f t="shared" si="46"/>
        <v>320000</v>
      </c>
      <c r="BZ33" s="41">
        <f>BY33/BY$61</f>
        <v>0.0007466104294804168</v>
      </c>
      <c r="CA33" s="12"/>
      <c r="CB33" s="12"/>
      <c r="CC33" s="12"/>
      <c r="CD33" s="12"/>
      <c r="CE33" s="41"/>
    </row>
    <row r="34" spans="2:83" ht="15">
      <c r="B34" s="53" t="s">
        <v>63</v>
      </c>
      <c r="C34" s="54">
        <f t="shared" si="10"/>
        <v>6532838</v>
      </c>
      <c r="D34" s="56">
        <f t="shared" si="11"/>
        <v>45713</v>
      </c>
      <c r="E34" s="56">
        <f t="shared" si="12"/>
        <v>0</v>
      </c>
      <c r="F34" s="56">
        <f t="shared" si="0"/>
        <v>6578551</v>
      </c>
      <c r="G34" s="54">
        <f>RANK(F34,F$9:F$58,0)</f>
        <v>43</v>
      </c>
      <c r="H34" s="55">
        <f t="shared" si="1"/>
        <v>0.0005222713785827278</v>
      </c>
      <c r="I34" s="56">
        <v>521466</v>
      </c>
      <c r="J34" s="56"/>
      <c r="K34" s="56"/>
      <c r="L34" s="54">
        <f t="shared" si="2"/>
        <v>521466</v>
      </c>
      <c r="M34" s="55">
        <f t="shared" si="3"/>
        <v>0.0004063796668476944</v>
      </c>
      <c r="N34" s="56">
        <v>156589</v>
      </c>
      <c r="O34" s="56"/>
      <c r="P34" s="56"/>
      <c r="Q34" s="54">
        <f t="shared" si="14"/>
        <v>156589</v>
      </c>
      <c r="R34" s="55">
        <f t="shared" si="4"/>
        <v>0.00015698882699402976</v>
      </c>
      <c r="S34" s="56"/>
      <c r="T34" s="56"/>
      <c r="U34" s="56"/>
      <c r="V34" s="54"/>
      <c r="W34" s="55"/>
      <c r="X34" s="56">
        <v>144000</v>
      </c>
      <c r="Y34" s="56"/>
      <c r="Z34" s="56"/>
      <c r="AA34" s="54">
        <f t="shared" si="47"/>
        <v>144000</v>
      </c>
      <c r="AB34" s="55">
        <f t="shared" si="5"/>
        <v>0.00016698181217519566</v>
      </c>
      <c r="AC34" s="56">
        <v>222580</v>
      </c>
      <c r="AD34" s="56">
        <v>45713</v>
      </c>
      <c r="AE34" s="56"/>
      <c r="AF34" s="54">
        <f t="shared" si="18"/>
        <v>268293</v>
      </c>
      <c r="AG34" s="55">
        <f t="shared" si="6"/>
        <v>0.00023247826152396778</v>
      </c>
      <c r="AH34" s="56">
        <v>500948</v>
      </c>
      <c r="AI34" s="56"/>
      <c r="AJ34" s="56"/>
      <c r="AK34" s="54">
        <f t="shared" si="38"/>
        <v>500948</v>
      </c>
      <c r="AL34" s="55">
        <f t="shared" si="7"/>
        <v>0.0003603517376170456</v>
      </c>
      <c r="AM34" s="56">
        <v>1097402</v>
      </c>
      <c r="AN34" s="56"/>
      <c r="AO34" s="56"/>
      <c r="AP34" s="54">
        <f t="shared" si="44"/>
        <v>1097402</v>
      </c>
      <c r="AQ34" s="55">
        <f t="shared" si="39"/>
        <v>0.0007420984630283653</v>
      </c>
      <c r="AR34" s="56">
        <v>370000</v>
      </c>
      <c r="AS34" s="56"/>
      <c r="AT34" s="56"/>
      <c r="AU34" s="54">
        <f t="shared" si="40"/>
        <v>370000</v>
      </c>
      <c r="AV34" s="55">
        <f>AU34/AU$61</f>
        <v>0.0004666658584518502</v>
      </c>
      <c r="AW34" s="54">
        <v>458659</v>
      </c>
      <c r="AX34" s="57"/>
      <c r="AY34" s="57"/>
      <c r="AZ34" s="54">
        <f t="shared" si="45"/>
        <v>458659</v>
      </c>
      <c r="BA34" s="55">
        <f>AZ34/AZ$61</f>
        <v>0.0011943788750440993</v>
      </c>
      <c r="BB34" s="54">
        <v>430544</v>
      </c>
      <c r="BC34" s="57"/>
      <c r="BD34" s="57"/>
      <c r="BE34" s="54">
        <f>BB34+BC34+BD34</f>
        <v>430544</v>
      </c>
      <c r="BF34" s="55">
        <f>BE34/BE$61</f>
        <v>0.0008003675060704553</v>
      </c>
      <c r="BG34" s="54">
        <v>1469504</v>
      </c>
      <c r="BH34" s="57"/>
      <c r="BI34" s="57"/>
      <c r="BJ34" s="54">
        <f t="shared" si="24"/>
        <v>1469504</v>
      </c>
      <c r="BK34" s="55">
        <f>BJ34/BJ$61</f>
        <v>0.002140372602855482</v>
      </c>
      <c r="BL34" s="54">
        <v>320346</v>
      </c>
      <c r="BM34" s="57"/>
      <c r="BN34" s="57"/>
      <c r="BO34" s="54">
        <f t="shared" si="42"/>
        <v>320346</v>
      </c>
      <c r="BP34" s="55">
        <f t="shared" si="48"/>
        <v>0.0003530850542917622</v>
      </c>
      <c r="BQ34" s="57"/>
      <c r="BR34" s="57"/>
      <c r="BS34" s="53"/>
      <c r="BT34" s="54"/>
      <c r="BU34" s="55"/>
      <c r="BV34" s="54">
        <v>840800</v>
      </c>
      <c r="BW34" s="57"/>
      <c r="BX34" s="57"/>
      <c r="BY34" s="54">
        <f t="shared" si="46"/>
        <v>840800</v>
      </c>
      <c r="BZ34" s="55">
        <f>BY34/BY$61</f>
        <v>0.001961718903459795</v>
      </c>
      <c r="CA34" s="57"/>
      <c r="CB34" s="57"/>
      <c r="CC34" s="57"/>
      <c r="CD34" s="57"/>
      <c r="CE34" s="55"/>
    </row>
    <row r="35" spans="2:83" ht="15">
      <c r="B35" s="38" t="s">
        <v>42</v>
      </c>
      <c r="C35" s="13">
        <f t="shared" si="10"/>
        <v>100000</v>
      </c>
      <c r="D35" s="46">
        <f t="shared" si="11"/>
        <v>415076</v>
      </c>
      <c r="E35" s="46">
        <f t="shared" si="12"/>
        <v>0</v>
      </c>
      <c r="F35" s="46">
        <f t="shared" si="0"/>
        <v>515076</v>
      </c>
      <c r="G35" s="13">
        <f t="shared" si="13"/>
        <v>47</v>
      </c>
      <c r="H35" s="41">
        <f t="shared" si="1"/>
        <v>4.0891900449639614E-05</v>
      </c>
      <c r="I35" s="46"/>
      <c r="J35" s="46"/>
      <c r="K35" s="46"/>
      <c r="L35" s="13">
        <f t="shared" si="2"/>
        <v>0</v>
      </c>
      <c r="M35" s="41">
        <f t="shared" si="3"/>
        <v>0</v>
      </c>
      <c r="N35" s="46"/>
      <c r="O35" s="46"/>
      <c r="P35" s="46"/>
      <c r="Q35" s="13">
        <f t="shared" si="14"/>
        <v>0</v>
      </c>
      <c r="R35" s="41">
        <f t="shared" si="4"/>
        <v>0</v>
      </c>
      <c r="S35" s="46"/>
      <c r="T35" s="46"/>
      <c r="U35" s="46"/>
      <c r="V35" s="13"/>
      <c r="W35" s="41"/>
      <c r="X35" s="46"/>
      <c r="Y35" s="46"/>
      <c r="Z35" s="46"/>
      <c r="AA35" s="13">
        <f t="shared" si="47"/>
        <v>0</v>
      </c>
      <c r="AB35" s="41">
        <f t="shared" si="5"/>
        <v>0</v>
      </c>
      <c r="AC35" s="46"/>
      <c r="AD35" s="46"/>
      <c r="AE35" s="46"/>
      <c r="AF35" s="39"/>
      <c r="AG35" s="41"/>
      <c r="AH35" s="46"/>
      <c r="AI35" s="46"/>
      <c r="AJ35" s="46"/>
      <c r="AK35" s="39">
        <f t="shared" si="38"/>
        <v>0</v>
      </c>
      <c r="AL35" s="41">
        <f t="shared" si="7"/>
        <v>0</v>
      </c>
      <c r="AM35" s="46">
        <v>100000</v>
      </c>
      <c r="AN35" s="46"/>
      <c r="AO35" s="46"/>
      <c r="AP35" s="39">
        <f t="shared" si="44"/>
        <v>100000</v>
      </c>
      <c r="AQ35" s="41">
        <f t="shared" si="39"/>
        <v>6.762321036669928E-05</v>
      </c>
      <c r="AR35" s="46"/>
      <c r="AS35" s="46"/>
      <c r="AT35" s="46"/>
      <c r="AU35" s="39"/>
      <c r="AV35" s="41"/>
      <c r="AW35" s="45"/>
      <c r="AX35" s="45"/>
      <c r="AY35" s="45"/>
      <c r="AZ35" s="39"/>
      <c r="BA35" s="41"/>
      <c r="BB35" s="45"/>
      <c r="BC35" s="45"/>
      <c r="BD35" s="45"/>
      <c r="BE35" s="39"/>
      <c r="BF35" s="41"/>
      <c r="BG35" s="45"/>
      <c r="BH35" s="45"/>
      <c r="BI35" s="45"/>
      <c r="BJ35" s="39"/>
      <c r="BK35" s="41"/>
      <c r="BL35" s="45"/>
      <c r="BM35" s="39">
        <v>15076</v>
      </c>
      <c r="BN35" s="45"/>
      <c r="BO35" s="39">
        <f t="shared" si="42"/>
        <v>15076</v>
      </c>
      <c r="BP35" s="41">
        <f t="shared" si="48"/>
        <v>1.6616752756402785E-05</v>
      </c>
      <c r="BQ35" s="45"/>
      <c r="BR35" s="45"/>
      <c r="BS35" s="38"/>
      <c r="BT35" s="45"/>
      <c r="BU35" s="41"/>
      <c r="BV35" s="45"/>
      <c r="BW35" s="45"/>
      <c r="BX35" s="45"/>
      <c r="BY35" s="45"/>
      <c r="BZ35" s="41"/>
      <c r="CA35" s="45"/>
      <c r="CB35" s="39">
        <v>400000</v>
      </c>
      <c r="CC35" s="45"/>
      <c r="CD35" s="39">
        <f>SUM(CA35:CC35)</f>
        <v>400000</v>
      </c>
      <c r="CE35" s="41">
        <f>CD35/CD$61</f>
        <v>0.0016423273951989112</v>
      </c>
    </row>
    <row r="36" spans="2:83" ht="15">
      <c r="B36" t="s">
        <v>43</v>
      </c>
      <c r="C36" s="39">
        <f t="shared" si="10"/>
        <v>44779416</v>
      </c>
      <c r="D36" s="46">
        <f t="shared" si="11"/>
        <v>3900000</v>
      </c>
      <c r="E36" s="46">
        <f t="shared" si="12"/>
        <v>3943500</v>
      </c>
      <c r="F36" s="46">
        <f t="shared" si="0"/>
        <v>52622916</v>
      </c>
      <c r="G36" s="13">
        <f t="shared" si="13"/>
        <v>28</v>
      </c>
      <c r="H36" s="41">
        <f t="shared" si="1"/>
        <v>0.00417773501860259</v>
      </c>
      <c r="I36" s="46">
        <v>14890414</v>
      </c>
      <c r="J36" s="46"/>
      <c r="K36" s="46"/>
      <c r="L36" s="13">
        <f t="shared" si="2"/>
        <v>14890414</v>
      </c>
      <c r="M36" s="41">
        <f t="shared" si="3"/>
        <v>0.011604134268666117</v>
      </c>
      <c r="N36" s="46">
        <v>1843000</v>
      </c>
      <c r="O36" s="46"/>
      <c r="P36" s="46"/>
      <c r="Q36" s="13">
        <f t="shared" si="14"/>
        <v>1843000</v>
      </c>
      <c r="R36" s="41">
        <f t="shared" si="4"/>
        <v>0.0018477058295920967</v>
      </c>
      <c r="S36" s="46">
        <v>4877535</v>
      </c>
      <c r="T36" s="46">
        <v>2500000</v>
      </c>
      <c r="U36" s="46"/>
      <c r="V36" s="13">
        <f t="shared" si="16"/>
        <v>7377535</v>
      </c>
      <c r="W36" s="41">
        <f t="shared" si="15"/>
        <v>0.007563790008454375</v>
      </c>
      <c r="X36" s="46">
        <v>5506500</v>
      </c>
      <c r="Y36" s="46"/>
      <c r="Z36" s="46"/>
      <c r="AA36" s="13">
        <f t="shared" si="47"/>
        <v>5506500</v>
      </c>
      <c r="AB36" s="41">
        <f t="shared" si="5"/>
        <v>0.006385314921824409</v>
      </c>
      <c r="AC36" s="46">
        <v>8105467</v>
      </c>
      <c r="AD36" s="46"/>
      <c r="AE36" s="46"/>
      <c r="AF36" s="13">
        <f t="shared" si="18"/>
        <v>8105467</v>
      </c>
      <c r="AG36" s="41">
        <f t="shared" si="6"/>
        <v>0.007023458968366265</v>
      </c>
      <c r="AH36" s="46">
        <v>3749000</v>
      </c>
      <c r="AI36" s="46"/>
      <c r="AJ36" s="46">
        <v>2177500</v>
      </c>
      <c r="AK36" s="13">
        <f t="shared" si="38"/>
        <v>5926500</v>
      </c>
      <c r="AL36" s="41">
        <f t="shared" si="7"/>
        <v>0.004263166182892078</v>
      </c>
      <c r="AM36" s="46">
        <v>250000</v>
      </c>
      <c r="AN36" s="46"/>
      <c r="AO36" s="46">
        <v>1766000</v>
      </c>
      <c r="AP36" s="13">
        <f aca="true" t="shared" si="49" ref="AP36:AP45">AM36+AN36+AO36</f>
        <v>2016000</v>
      </c>
      <c r="AQ36" s="41">
        <f t="shared" si="39"/>
        <v>0.0013632839209926574</v>
      </c>
      <c r="AR36" s="46">
        <v>684000</v>
      </c>
      <c r="AS36" s="46"/>
      <c r="AT36" s="46"/>
      <c r="AU36" s="13">
        <f aca="true" t="shared" si="50" ref="AU36:AU41">AR36+AS36+AT36</f>
        <v>684000</v>
      </c>
      <c r="AV36" s="41">
        <f aca="true" t="shared" si="51" ref="AV36:AV47">AU36/AU$61</f>
        <v>0.0008627012085974744</v>
      </c>
      <c r="AW36" s="12"/>
      <c r="AX36" s="12">
        <v>1400000</v>
      </c>
      <c r="AY36" s="12"/>
      <c r="AZ36" s="13">
        <f>AW36+AX36+AY36</f>
        <v>1400000</v>
      </c>
      <c r="BA36" s="41">
        <f>AZ36/AZ$61</f>
        <v>0.0036456941323766436</v>
      </c>
      <c r="BB36" s="12">
        <v>28500</v>
      </c>
      <c r="BC36" s="12"/>
      <c r="BD36" s="12"/>
      <c r="BE36" s="13">
        <f>BB36+BC36+BD36</f>
        <v>28500</v>
      </c>
      <c r="BF36" s="41">
        <f>BE36/BE$61</f>
        <v>5.298058717113228E-05</v>
      </c>
      <c r="BG36" s="12">
        <v>4303500</v>
      </c>
      <c r="BH36" s="12"/>
      <c r="BI36" s="12"/>
      <c r="BJ36" s="13">
        <f aca="true" t="shared" si="52" ref="BJ36:BJ53">BG36+BH36+BI36</f>
        <v>4303500</v>
      </c>
      <c r="BK36" s="41">
        <f aca="true" t="shared" si="53" ref="BK36:BK45">BJ36/BJ$61</f>
        <v>0.006268164970213465</v>
      </c>
      <c r="BL36" s="12">
        <v>541500</v>
      </c>
      <c r="BM36" s="12"/>
      <c r="BN36" s="12"/>
      <c r="BO36" s="13">
        <f t="shared" si="42"/>
        <v>541500</v>
      </c>
      <c r="BP36" s="41">
        <f t="shared" si="48"/>
        <v>0.000596840781214653</v>
      </c>
      <c r="BQ36" s="12"/>
      <c r="BR36" s="12"/>
      <c r="BT36" s="12"/>
      <c r="BU36" s="41"/>
      <c r="BV36" s="12"/>
      <c r="BW36" s="12"/>
      <c r="BX36" s="12"/>
      <c r="BY36" s="12"/>
      <c r="BZ36" s="41"/>
      <c r="CA36" s="12"/>
      <c r="CB36" s="12"/>
      <c r="CC36" s="12"/>
      <c r="CD36" s="12"/>
      <c r="CE36" s="41"/>
    </row>
    <row r="37" spans="2:83" ht="15">
      <c r="B37" t="s">
        <v>44</v>
      </c>
      <c r="C37" s="39">
        <f t="shared" si="10"/>
        <v>21114496</v>
      </c>
      <c r="D37" s="46">
        <f t="shared" si="11"/>
        <v>144000</v>
      </c>
      <c r="E37" s="46">
        <f t="shared" si="12"/>
        <v>0</v>
      </c>
      <c r="F37" s="46">
        <f t="shared" si="0"/>
        <v>21258496</v>
      </c>
      <c r="G37" s="13">
        <f t="shared" si="13"/>
        <v>36</v>
      </c>
      <c r="H37" s="41">
        <f t="shared" si="1"/>
        <v>0.0016877126912165621</v>
      </c>
      <c r="I37" s="46">
        <v>9440000</v>
      </c>
      <c r="J37" s="46"/>
      <c r="K37" s="46"/>
      <c r="L37" s="13">
        <f t="shared" si="2"/>
        <v>9440000</v>
      </c>
      <c r="M37" s="41">
        <f t="shared" si="3"/>
        <v>0.007356613959572121</v>
      </c>
      <c r="N37" s="46">
        <v>96000</v>
      </c>
      <c r="O37" s="46"/>
      <c r="P37" s="46"/>
      <c r="Q37" s="13">
        <f t="shared" si="14"/>
        <v>96000</v>
      </c>
      <c r="R37" s="41">
        <f t="shared" si="4"/>
        <v>9.62451218886822E-05</v>
      </c>
      <c r="S37" s="46">
        <v>96000</v>
      </c>
      <c r="T37" s="46"/>
      <c r="U37" s="46"/>
      <c r="V37" s="13">
        <f t="shared" si="16"/>
        <v>96000</v>
      </c>
      <c r="W37" s="41">
        <f t="shared" si="15"/>
        <v>9.842363889993338E-05</v>
      </c>
      <c r="X37" s="46">
        <v>472624</v>
      </c>
      <c r="Y37" s="46"/>
      <c r="Z37" s="46"/>
      <c r="AA37" s="13">
        <f t="shared" si="47"/>
        <v>472624</v>
      </c>
      <c r="AB37" s="41">
        <f t="shared" si="5"/>
        <v>0.0005480528610936783</v>
      </c>
      <c r="AC37" s="46">
        <v>987920</v>
      </c>
      <c r="AD37" s="46"/>
      <c r="AE37" s="46"/>
      <c r="AF37" s="13">
        <f t="shared" si="18"/>
        <v>987920</v>
      </c>
      <c r="AG37" s="41">
        <f t="shared" si="6"/>
        <v>0.0008560414327796784</v>
      </c>
      <c r="AH37" s="46">
        <v>2767336</v>
      </c>
      <c r="AI37" s="46"/>
      <c r="AJ37" s="46"/>
      <c r="AK37" s="13">
        <f t="shared" si="38"/>
        <v>2767336</v>
      </c>
      <c r="AL37" s="41">
        <f t="shared" si="7"/>
        <v>0.001990654391613909</v>
      </c>
      <c r="AM37" s="46">
        <v>211200</v>
      </c>
      <c r="AN37" s="46"/>
      <c r="AO37" s="46"/>
      <c r="AP37" s="13">
        <f t="shared" si="49"/>
        <v>211200</v>
      </c>
      <c r="AQ37" s="41">
        <f t="shared" si="39"/>
        <v>0.00014282022029446888</v>
      </c>
      <c r="AR37" s="46">
        <v>3015200</v>
      </c>
      <c r="AS37" s="46"/>
      <c r="AT37" s="46"/>
      <c r="AU37" s="13">
        <f t="shared" si="50"/>
        <v>3015200</v>
      </c>
      <c r="AV37" s="41">
        <f t="shared" si="51"/>
        <v>0.00380294836865951</v>
      </c>
      <c r="AW37" s="13">
        <v>2124400</v>
      </c>
      <c r="AX37" s="12"/>
      <c r="AY37" s="12"/>
      <c r="AZ37" s="13">
        <f>AW37+AX37+AY37</f>
        <v>2124400</v>
      </c>
      <c r="BA37" s="41">
        <f>AZ37/AZ$61</f>
        <v>0.005532080439157815</v>
      </c>
      <c r="BB37" s="13">
        <f>79756+100244</f>
        <v>180000</v>
      </c>
      <c r="BC37" s="12"/>
      <c r="BD37" s="12"/>
      <c r="BE37" s="13">
        <f>BB37+BC37+BD37</f>
        <v>180000</v>
      </c>
      <c r="BF37" s="41">
        <f>BE37/BE$61</f>
        <v>0.00033461423476504595</v>
      </c>
      <c r="BG37" s="13">
        <v>883200</v>
      </c>
      <c r="BH37" s="12">
        <v>144000</v>
      </c>
      <c r="BI37" s="12"/>
      <c r="BJ37" s="13">
        <f t="shared" si="52"/>
        <v>1027200</v>
      </c>
      <c r="BK37" s="41">
        <f t="shared" si="53"/>
        <v>0.0014961447792269712</v>
      </c>
      <c r="BL37" s="13">
        <v>413384</v>
      </c>
      <c r="BM37" s="12"/>
      <c r="BN37" s="12"/>
      <c r="BO37" s="13">
        <f t="shared" si="42"/>
        <v>413384</v>
      </c>
      <c r="BP37" s="41">
        <f t="shared" si="48"/>
        <v>0.00045563144875648777</v>
      </c>
      <c r="BQ37" s="13">
        <v>427232</v>
      </c>
      <c r="BR37" s="12"/>
      <c r="BT37" s="13">
        <f>SUM(BQ37:BS37)</f>
        <v>427232</v>
      </c>
      <c r="BU37" s="41">
        <f>BT37/BT$61</f>
        <v>0.0009016530587470764</v>
      </c>
      <c r="BW37" s="12"/>
      <c r="BX37" s="12"/>
      <c r="BY37" s="12"/>
      <c r="BZ37" s="41"/>
      <c r="CC37" s="12"/>
      <c r="CD37" s="12"/>
      <c r="CE37" s="41"/>
    </row>
    <row r="38" spans="2:83" ht="15">
      <c r="B38" t="s">
        <v>45</v>
      </c>
      <c r="C38" s="39">
        <f t="shared" si="10"/>
        <v>497614472</v>
      </c>
      <c r="D38" s="46">
        <f t="shared" si="11"/>
        <v>59027000</v>
      </c>
      <c r="E38" s="46">
        <f t="shared" si="12"/>
        <v>1565000</v>
      </c>
      <c r="F38" s="46">
        <f t="shared" si="0"/>
        <v>558206472</v>
      </c>
      <c r="G38" s="13">
        <f t="shared" si="13"/>
        <v>4</v>
      </c>
      <c r="H38" s="41">
        <f t="shared" si="1"/>
        <v>0.04431603002929382</v>
      </c>
      <c r="I38" s="46">
        <v>104644472</v>
      </c>
      <c r="J38" s="46">
        <v>16308000</v>
      </c>
      <c r="K38" s="46">
        <v>65000</v>
      </c>
      <c r="L38" s="13">
        <f t="shared" si="2"/>
        <v>121017472</v>
      </c>
      <c r="M38" s="41">
        <f t="shared" si="3"/>
        <v>0.09430919744357291</v>
      </c>
      <c r="N38" s="46">
        <v>73376000</v>
      </c>
      <c r="O38" s="46"/>
      <c r="P38" s="46"/>
      <c r="Q38" s="13">
        <f t="shared" si="14"/>
        <v>73376000</v>
      </c>
      <c r="R38" s="41">
        <f t="shared" si="4"/>
        <v>0.07356335483024942</v>
      </c>
      <c r="S38" s="46">
        <v>101324000</v>
      </c>
      <c r="T38" s="46">
        <v>1000000</v>
      </c>
      <c r="U38" s="46"/>
      <c r="V38" s="13">
        <f t="shared" si="16"/>
        <v>102324000</v>
      </c>
      <c r="W38" s="41">
        <f t="shared" si="15"/>
        <v>0.10490729611246649</v>
      </c>
      <c r="X38" s="46">
        <v>32530000</v>
      </c>
      <c r="Y38" s="46">
        <v>2120000</v>
      </c>
      <c r="Z38" s="46"/>
      <c r="AA38" s="13">
        <f t="shared" si="47"/>
        <v>34650000</v>
      </c>
      <c r="AB38" s="41">
        <f t="shared" si="5"/>
        <v>0.040179998554656454</v>
      </c>
      <c r="AC38" s="46">
        <v>21000000</v>
      </c>
      <c r="AD38" s="46"/>
      <c r="AE38" s="46"/>
      <c r="AF38" s="13">
        <f t="shared" si="18"/>
        <v>21000000</v>
      </c>
      <c r="AG38" s="41">
        <f t="shared" si="6"/>
        <v>0.018196686055928866</v>
      </c>
      <c r="AH38" s="46">
        <v>20500000</v>
      </c>
      <c r="AI38" s="46">
        <v>2356000</v>
      </c>
      <c r="AJ38" s="46"/>
      <c r="AK38" s="13">
        <f t="shared" si="38"/>
        <v>22856000</v>
      </c>
      <c r="AL38" s="41">
        <f t="shared" si="7"/>
        <v>0.016441226065330522</v>
      </c>
      <c r="AM38" s="46">
        <v>10000000</v>
      </c>
      <c r="AN38" s="46">
        <v>354000</v>
      </c>
      <c r="AO38" s="46"/>
      <c r="AP38" s="13">
        <f t="shared" si="49"/>
        <v>10354000</v>
      </c>
      <c r="AQ38" s="41">
        <f t="shared" si="39"/>
        <v>0.007001707201368043</v>
      </c>
      <c r="AR38" s="46">
        <v>4040000</v>
      </c>
      <c r="AS38" s="46">
        <v>800000</v>
      </c>
      <c r="AT38" s="46"/>
      <c r="AU38" s="13">
        <f t="shared" si="50"/>
        <v>4840000</v>
      </c>
      <c r="AV38" s="41">
        <f t="shared" si="51"/>
        <v>0.006104493932180959</v>
      </c>
      <c r="AW38" s="13"/>
      <c r="AX38" s="13">
        <v>3375000</v>
      </c>
      <c r="AY38" s="12"/>
      <c r="AZ38" s="13">
        <f>AW38+AX38+AY38</f>
        <v>3375000</v>
      </c>
      <c r="BA38" s="41">
        <f>AZ38/AZ$61</f>
        <v>0.008788726926265122</v>
      </c>
      <c r="BB38" s="13">
        <v>24570000</v>
      </c>
      <c r="BC38" s="13">
        <v>5153000</v>
      </c>
      <c r="BD38" s="12"/>
      <c r="BE38" s="13">
        <f>BB38+BC38+BD38</f>
        <v>29723000</v>
      </c>
      <c r="BF38" s="41">
        <f>BE38/BE$61</f>
        <v>0.05525410499956367</v>
      </c>
      <c r="BG38" s="13">
        <v>37830000</v>
      </c>
      <c r="BH38" s="13">
        <v>15300000</v>
      </c>
      <c r="BI38" s="12"/>
      <c r="BJ38" s="13">
        <f t="shared" si="52"/>
        <v>53130000</v>
      </c>
      <c r="BK38" s="41">
        <f t="shared" si="53"/>
        <v>0.07738529217321746</v>
      </c>
      <c r="BL38" s="13">
        <f>30700000-3200000</f>
        <v>27500000</v>
      </c>
      <c r="BM38" s="13">
        <f>8375000-1875000-1500000</f>
        <v>5000000</v>
      </c>
      <c r="BN38" s="12"/>
      <c r="BO38" s="13">
        <f t="shared" si="42"/>
        <v>32500000</v>
      </c>
      <c r="BP38" s="41">
        <f t="shared" si="48"/>
        <v>0.03582146886329866</v>
      </c>
      <c r="BQ38" s="13">
        <v>10300000</v>
      </c>
      <c r="BR38" s="13">
        <v>3261000</v>
      </c>
      <c r="BS38" s="13">
        <v>1500000</v>
      </c>
      <c r="BT38" s="13">
        <f>SUM(BQ38:BS38)</f>
        <v>15061000</v>
      </c>
      <c r="BU38" s="41">
        <f>BT38/BT$61</f>
        <v>0.031785532726457094</v>
      </c>
      <c r="BV38" s="13">
        <v>30000000</v>
      </c>
      <c r="BW38" s="13">
        <v>4000000</v>
      </c>
      <c r="BX38" s="12"/>
      <c r="BY38" s="13">
        <f aca="true" t="shared" si="54" ref="BY38:BY57">SUM(BV38:BX38)</f>
        <v>34000000</v>
      </c>
      <c r="BZ38" s="41">
        <f aca="true" t="shared" si="55" ref="BZ38:BZ45">BY38/BY$61</f>
        <v>0.07932735813229429</v>
      </c>
      <c r="CA38" s="12"/>
      <c r="CB38" s="12"/>
      <c r="CC38" s="12"/>
      <c r="CD38" s="12"/>
      <c r="CE38" s="41"/>
    </row>
    <row r="39" spans="2:83" ht="15">
      <c r="B39" s="53" t="s">
        <v>46</v>
      </c>
      <c r="C39" s="54">
        <f t="shared" si="10"/>
        <v>26045897</v>
      </c>
      <c r="D39" s="56">
        <f t="shared" si="11"/>
        <v>6404800</v>
      </c>
      <c r="E39" s="56">
        <f t="shared" si="12"/>
        <v>0</v>
      </c>
      <c r="F39" s="56">
        <f t="shared" si="0"/>
        <v>32450697</v>
      </c>
      <c r="G39" s="54">
        <f>RANK(F39,F$9:F$58,0)</f>
        <v>33</v>
      </c>
      <c r="H39" s="55">
        <f t="shared" si="1"/>
        <v>0.002576261893866961</v>
      </c>
      <c r="I39" s="56">
        <v>7963297</v>
      </c>
      <c r="J39" s="56"/>
      <c r="K39" s="56"/>
      <c r="L39" s="54">
        <f t="shared" si="2"/>
        <v>7963297</v>
      </c>
      <c r="M39" s="55">
        <f t="shared" si="3"/>
        <v>0.006205815876527414</v>
      </c>
      <c r="N39" s="56">
        <v>600000</v>
      </c>
      <c r="O39" s="56">
        <v>750000</v>
      </c>
      <c r="P39" s="56"/>
      <c r="Q39" s="54">
        <f t="shared" si="14"/>
        <v>1350000</v>
      </c>
      <c r="R39" s="55">
        <f t="shared" si="4"/>
        <v>0.0013534470265595933</v>
      </c>
      <c r="S39" s="56">
        <v>555000</v>
      </c>
      <c r="T39" s="56">
        <v>750000</v>
      </c>
      <c r="U39" s="56"/>
      <c r="V39" s="54">
        <f t="shared" si="16"/>
        <v>1305000</v>
      </c>
      <c r="W39" s="55">
        <f t="shared" si="15"/>
        <v>0.0013379463412959694</v>
      </c>
      <c r="X39" s="56"/>
      <c r="Y39" s="56"/>
      <c r="Z39" s="56"/>
      <c r="AA39" s="54">
        <f t="shared" si="47"/>
        <v>0</v>
      </c>
      <c r="AB39" s="55">
        <f t="shared" si="5"/>
        <v>0</v>
      </c>
      <c r="AC39" s="56">
        <v>1250000</v>
      </c>
      <c r="AD39" s="56">
        <v>1550000</v>
      </c>
      <c r="AE39" s="56"/>
      <c r="AF39" s="54">
        <f>AC39+AD39+AE39</f>
        <v>2800000</v>
      </c>
      <c r="AG39" s="55">
        <f t="shared" si="6"/>
        <v>0.002426224807457182</v>
      </c>
      <c r="AH39" s="56">
        <v>4527000</v>
      </c>
      <c r="AI39" s="56">
        <v>2420000</v>
      </c>
      <c r="AJ39" s="56"/>
      <c r="AK39" s="54">
        <f>AH39+AI39+AJ39</f>
        <v>6947000</v>
      </c>
      <c r="AL39" s="55">
        <f t="shared" si="7"/>
        <v>0.004997252252181096</v>
      </c>
      <c r="AM39" s="56"/>
      <c r="AN39" s="56"/>
      <c r="AO39" s="56"/>
      <c r="AP39" s="54"/>
      <c r="AQ39" s="55"/>
      <c r="AR39" s="56">
        <v>1667000</v>
      </c>
      <c r="AS39" s="56">
        <v>213600</v>
      </c>
      <c r="AT39" s="56"/>
      <c r="AU39" s="54">
        <f t="shared" si="50"/>
        <v>1880600</v>
      </c>
      <c r="AV39" s="55">
        <f t="shared" si="51"/>
        <v>0.0023719238200122957</v>
      </c>
      <c r="AW39" s="54">
        <v>1093000</v>
      </c>
      <c r="AX39" s="57">
        <v>214000</v>
      </c>
      <c r="AY39" s="57"/>
      <c r="AZ39" s="54">
        <f>AW39+AX39+AY39</f>
        <v>1307000</v>
      </c>
      <c r="BA39" s="55">
        <f>AZ39/AZ$61</f>
        <v>0.003403515879297338</v>
      </c>
      <c r="BB39" s="54">
        <f>3000000+1710000</f>
        <v>4710000</v>
      </c>
      <c r="BC39" s="57"/>
      <c r="BD39" s="57"/>
      <c r="BE39" s="54">
        <f>BB39+BC39+BD39</f>
        <v>4710000</v>
      </c>
      <c r="BF39" s="55">
        <f>BE39/BE$61</f>
        <v>0.008755739143018703</v>
      </c>
      <c r="BG39" s="54">
        <v>311413</v>
      </c>
      <c r="BH39" s="57"/>
      <c r="BI39" s="57"/>
      <c r="BJ39" s="54">
        <f t="shared" si="52"/>
        <v>311413</v>
      </c>
      <c r="BK39" s="55">
        <f t="shared" si="53"/>
        <v>0.00045358151687442444</v>
      </c>
      <c r="BL39" s="54">
        <v>271000</v>
      </c>
      <c r="BM39" s="57"/>
      <c r="BN39" s="57"/>
      <c r="BO39" s="54">
        <f t="shared" si="42"/>
        <v>271000</v>
      </c>
      <c r="BP39" s="55">
        <f t="shared" si="48"/>
        <v>0.00029869594036781343</v>
      </c>
      <c r="BQ39" s="54">
        <v>2100000</v>
      </c>
      <c r="BR39" s="54">
        <v>107200</v>
      </c>
      <c r="BS39" s="57"/>
      <c r="BT39" s="54">
        <f>SUM(BQ39:BS39)</f>
        <v>2207200</v>
      </c>
      <c r="BU39" s="55">
        <f>BT39/BT$61</f>
        <v>0.004658191875296202</v>
      </c>
      <c r="BV39" s="54">
        <v>998187</v>
      </c>
      <c r="BW39" s="54">
        <v>400000</v>
      </c>
      <c r="BX39" s="57"/>
      <c r="BY39" s="54">
        <f t="shared" si="54"/>
        <v>1398187</v>
      </c>
      <c r="BZ39" s="55">
        <f t="shared" si="55"/>
        <v>0.0032621906142622985</v>
      </c>
      <c r="CA39" s="53"/>
      <c r="CB39" s="53"/>
      <c r="CC39" s="53"/>
      <c r="CD39" s="57"/>
      <c r="CE39" s="55"/>
    </row>
    <row r="40" spans="2:85" ht="15.75">
      <c r="B40" s="38" t="s">
        <v>47</v>
      </c>
      <c r="C40" s="13">
        <f t="shared" si="10"/>
        <v>742423575</v>
      </c>
      <c r="D40" s="46">
        <f t="shared" si="11"/>
        <v>412119252</v>
      </c>
      <c r="E40" s="46">
        <f t="shared" si="12"/>
        <v>472136680</v>
      </c>
      <c r="F40" s="46">
        <f t="shared" si="0"/>
        <v>1626679507</v>
      </c>
      <c r="G40" s="39">
        <f t="shared" si="13"/>
        <v>2</v>
      </c>
      <c r="H40" s="41">
        <f t="shared" si="1"/>
        <v>0.12914213914784</v>
      </c>
      <c r="I40" s="46">
        <v>45595399</v>
      </c>
      <c r="J40" s="46"/>
      <c r="K40" s="46">
        <v>27017476</v>
      </c>
      <c r="L40" s="39">
        <f t="shared" si="2"/>
        <v>72612875</v>
      </c>
      <c r="M40" s="41">
        <f t="shared" si="3"/>
        <v>0.05658738240144761</v>
      </c>
      <c r="N40" s="46">
        <v>2889600</v>
      </c>
      <c r="O40" s="46">
        <v>11414520</v>
      </c>
      <c r="P40" s="46">
        <v>1248051</v>
      </c>
      <c r="Q40" s="39">
        <f t="shared" si="14"/>
        <v>15552171</v>
      </c>
      <c r="R40" s="41">
        <f t="shared" si="4"/>
        <v>0.015591881182589879</v>
      </c>
      <c r="S40" s="46">
        <v>68576742</v>
      </c>
      <c r="T40" s="46">
        <v>2904800</v>
      </c>
      <c r="U40" s="46">
        <v>24195526</v>
      </c>
      <c r="V40" s="39">
        <f t="shared" si="16"/>
        <v>95677068</v>
      </c>
      <c r="W40" s="41">
        <f t="shared" si="15"/>
        <v>0.09809255408162887</v>
      </c>
      <c r="X40" s="46">
        <v>55401304</v>
      </c>
      <c r="Y40" s="46">
        <v>17517320</v>
      </c>
      <c r="Z40" s="46">
        <v>16424582</v>
      </c>
      <c r="AA40" s="39">
        <f aca="true" t="shared" si="56" ref="AA40:AA53">X40+Y40+Z40</f>
        <v>89343206</v>
      </c>
      <c r="AB40" s="41">
        <f t="shared" si="5"/>
        <v>0.10360201696820705</v>
      </c>
      <c r="AC40" s="46">
        <v>64484600</v>
      </c>
      <c r="AD40" s="46">
        <v>27417312</v>
      </c>
      <c r="AE40" s="46">
        <v>4349891</v>
      </c>
      <c r="AF40" s="39">
        <f aca="true" t="shared" si="57" ref="AF40:AF53">AC40+AD40+AE40</f>
        <v>96251803</v>
      </c>
      <c r="AG40" s="41">
        <f t="shared" si="6"/>
        <v>0.08340304007181487</v>
      </c>
      <c r="AH40" s="46">
        <v>123784580</v>
      </c>
      <c r="AI40" s="46">
        <v>48472800</v>
      </c>
      <c r="AJ40" s="46">
        <v>22436807</v>
      </c>
      <c r="AK40" s="39">
        <f aca="true" t="shared" si="58" ref="AK40:AK53">AH40+AI40+AJ40</f>
        <v>194694187</v>
      </c>
      <c r="AL40" s="41">
        <f t="shared" si="7"/>
        <v>0.14005124002768352</v>
      </c>
      <c r="AM40" s="46">
        <v>23357362</v>
      </c>
      <c r="AN40" s="46">
        <v>25836080</v>
      </c>
      <c r="AO40" s="46">
        <v>16002294</v>
      </c>
      <c r="AP40" s="39">
        <f t="shared" si="49"/>
        <v>65195736</v>
      </c>
      <c r="AQ40" s="41">
        <f aca="true" t="shared" si="59" ref="AQ40:AQ53">AP40/AP$61</f>
        <v>0.044087449705397894</v>
      </c>
      <c r="AR40" s="46">
        <v>62956800</v>
      </c>
      <c r="AS40" s="46">
        <v>9413890</v>
      </c>
      <c r="AT40" s="46"/>
      <c r="AU40" s="39">
        <f t="shared" si="50"/>
        <v>72370690</v>
      </c>
      <c r="AV40" s="41">
        <f t="shared" si="51"/>
        <v>0.09127818966379116</v>
      </c>
      <c r="AW40" s="39">
        <v>3522000</v>
      </c>
      <c r="AX40" s="45">
        <v>47337897</v>
      </c>
      <c r="AY40" s="39">
        <v>1295796</v>
      </c>
      <c r="AZ40" s="39">
        <f>AW40+AX40+AY40</f>
        <v>52155693</v>
      </c>
      <c r="BA40" s="41">
        <f>AZ40/AZ$61</f>
        <v>0.13581693138581255</v>
      </c>
      <c r="BB40" s="39">
        <f>1365628+62472000</f>
        <v>63837628</v>
      </c>
      <c r="BC40" s="45">
        <f>62228+47320724</f>
        <v>47382952</v>
      </c>
      <c r="BD40" s="39">
        <v>6249272</v>
      </c>
      <c r="BE40" s="39">
        <f>BB40+BC40+BD40</f>
        <v>117469852</v>
      </c>
      <c r="BF40" s="41">
        <f>BE40/BE$61</f>
        <v>0.21837269241635113</v>
      </c>
      <c r="BG40" s="39">
        <v>40320800</v>
      </c>
      <c r="BH40" s="45">
        <v>49681437</v>
      </c>
      <c r="BI40" s="39">
        <v>81523384</v>
      </c>
      <c r="BJ40" s="39">
        <f t="shared" si="52"/>
        <v>171525621</v>
      </c>
      <c r="BK40" s="41">
        <f t="shared" si="53"/>
        <v>0.249831739060372</v>
      </c>
      <c r="BL40" s="39">
        <v>36698200</v>
      </c>
      <c r="BM40" s="45">
        <v>40561688</v>
      </c>
      <c r="BN40" s="39">
        <v>83300000</v>
      </c>
      <c r="BO40" s="39">
        <f t="shared" si="42"/>
        <v>160559888</v>
      </c>
      <c r="BP40" s="41">
        <f t="shared" si="48"/>
        <v>0.17696895472882215</v>
      </c>
      <c r="BQ40" s="39">
        <v>36321600</v>
      </c>
      <c r="BR40" s="39">
        <v>38358556</v>
      </c>
      <c r="BS40" s="39">
        <v>88093600</v>
      </c>
      <c r="BT40" s="39">
        <f>SUM(BQ40:BS40)</f>
        <v>162773756</v>
      </c>
      <c r="BU40" s="41">
        <f>BT40/BT$61</f>
        <v>0.3435263626815179</v>
      </c>
      <c r="BV40" s="39">
        <v>78026960</v>
      </c>
      <c r="BW40" s="39">
        <v>32470000</v>
      </c>
      <c r="BX40" s="45"/>
      <c r="BY40" s="39">
        <f t="shared" si="54"/>
        <v>110496960</v>
      </c>
      <c r="BZ40" s="41">
        <f t="shared" si="55"/>
        <v>0.25780682113087633</v>
      </c>
      <c r="CA40" s="39">
        <v>36650000</v>
      </c>
      <c r="CB40" s="39">
        <v>13350000</v>
      </c>
      <c r="CC40" s="39">
        <v>100000001</v>
      </c>
      <c r="CD40" s="39">
        <f>SUM(CA40:CC40)</f>
        <v>150000001</v>
      </c>
      <c r="CE40" s="41">
        <f>CD40/CD$61</f>
        <v>0.6158727773054102</v>
      </c>
      <c r="CG40" s="61"/>
    </row>
    <row r="41" spans="2:83" ht="15">
      <c r="B41" t="s">
        <v>48</v>
      </c>
      <c r="C41" s="39">
        <f t="shared" si="10"/>
        <v>50657997</v>
      </c>
      <c r="D41" s="46">
        <f t="shared" si="11"/>
        <v>9294174</v>
      </c>
      <c r="E41" s="46">
        <f t="shared" si="12"/>
        <v>3920000</v>
      </c>
      <c r="F41" s="46">
        <f t="shared" si="0"/>
        <v>63872171</v>
      </c>
      <c r="G41" s="13">
        <f t="shared" si="13"/>
        <v>26</v>
      </c>
      <c r="H41" s="41">
        <f t="shared" si="1"/>
        <v>0.005070813740174961</v>
      </c>
      <c r="I41" s="46">
        <v>1657997</v>
      </c>
      <c r="J41" s="46"/>
      <c r="K41" s="46">
        <v>3920000</v>
      </c>
      <c r="L41" s="13">
        <f t="shared" si="2"/>
        <v>5577997</v>
      </c>
      <c r="M41" s="41">
        <f t="shared" si="3"/>
        <v>0.0043469460377808695</v>
      </c>
      <c r="N41" s="46">
        <v>8230000</v>
      </c>
      <c r="O41" s="46">
        <v>4560000</v>
      </c>
      <c r="P41" s="46"/>
      <c r="Q41" s="13">
        <f t="shared" si="14"/>
        <v>12790000</v>
      </c>
      <c r="R41" s="41">
        <f t="shared" si="4"/>
        <v>0.012822657384960887</v>
      </c>
      <c r="S41" s="46">
        <v>3600000</v>
      </c>
      <c r="T41" s="46"/>
      <c r="U41" s="46"/>
      <c r="V41" s="13">
        <f t="shared" si="16"/>
        <v>3600000</v>
      </c>
      <c r="W41" s="41">
        <f t="shared" si="15"/>
        <v>0.003690886458747502</v>
      </c>
      <c r="X41" s="46">
        <v>806000</v>
      </c>
      <c r="Y41" s="46"/>
      <c r="Z41" s="46"/>
      <c r="AA41" s="13">
        <f t="shared" si="56"/>
        <v>806000</v>
      </c>
      <c r="AB41" s="41">
        <f t="shared" si="5"/>
        <v>0.0009346343098139423</v>
      </c>
      <c r="AC41" s="46">
        <v>10000000</v>
      </c>
      <c r="AD41" s="46">
        <v>339000</v>
      </c>
      <c r="AE41" s="46"/>
      <c r="AF41" s="13">
        <f t="shared" si="57"/>
        <v>10339000</v>
      </c>
      <c r="AG41" s="41">
        <f t="shared" si="6"/>
        <v>0.008958835101535645</v>
      </c>
      <c r="AH41" s="46">
        <v>6000000</v>
      </c>
      <c r="AI41" s="46">
        <v>3871174</v>
      </c>
      <c r="AJ41" s="46"/>
      <c r="AK41" s="13">
        <f t="shared" si="58"/>
        <v>9871174</v>
      </c>
      <c r="AL41" s="41">
        <f t="shared" si="7"/>
        <v>0.0071007264291307725</v>
      </c>
      <c r="AM41" s="46">
        <v>10525600</v>
      </c>
      <c r="AN41" s="46">
        <v>360000</v>
      </c>
      <c r="AO41" s="46"/>
      <c r="AP41" s="13">
        <f t="shared" si="49"/>
        <v>10885600</v>
      </c>
      <c r="AQ41" s="41">
        <f t="shared" si="59"/>
        <v>0.007361192187677417</v>
      </c>
      <c r="AR41" s="46">
        <v>9838400</v>
      </c>
      <c r="AS41" s="46"/>
      <c r="AT41" s="46"/>
      <c r="AU41" s="13">
        <f t="shared" si="50"/>
        <v>9838400</v>
      </c>
      <c r="AV41" s="41">
        <f t="shared" si="51"/>
        <v>0.012408771302142386</v>
      </c>
      <c r="AW41" s="12"/>
      <c r="AX41" s="12"/>
      <c r="AY41" s="12"/>
      <c r="AZ41" s="13"/>
      <c r="BA41" s="41"/>
      <c r="BB41" s="12"/>
      <c r="BC41" s="12"/>
      <c r="BD41" s="12"/>
      <c r="BE41" s="13"/>
      <c r="BF41" s="41"/>
      <c r="BG41" s="12"/>
      <c r="BH41" s="12">
        <v>4000</v>
      </c>
      <c r="BI41" s="12"/>
      <c r="BJ41" s="13">
        <f t="shared" si="52"/>
        <v>4000</v>
      </c>
      <c r="BK41" s="41">
        <f t="shared" si="53"/>
        <v>5.826108953376056E-06</v>
      </c>
      <c r="BL41" s="12"/>
      <c r="BM41" s="12"/>
      <c r="BN41" s="12"/>
      <c r="BO41" s="12"/>
      <c r="BP41" s="41"/>
      <c r="BQ41" s="12"/>
      <c r="BR41" s="12"/>
      <c r="BS41" s="12"/>
      <c r="BT41" s="12"/>
      <c r="BU41" s="41"/>
      <c r="BV41" s="12"/>
      <c r="BW41" s="13">
        <v>160000</v>
      </c>
      <c r="BX41" s="12"/>
      <c r="BY41" s="13">
        <f t="shared" si="54"/>
        <v>160000</v>
      </c>
      <c r="BZ41" s="41">
        <f t="shared" si="55"/>
        <v>0.0003733052147402084</v>
      </c>
      <c r="CA41" s="12"/>
      <c r="CB41" s="12"/>
      <c r="CC41" s="12"/>
      <c r="CD41" s="12"/>
      <c r="CE41" s="41">
        <f>CD41/CD$61</f>
        <v>0</v>
      </c>
    </row>
    <row r="42" spans="2:83" ht="15">
      <c r="B42" t="s">
        <v>49</v>
      </c>
      <c r="C42" s="39">
        <f t="shared" si="10"/>
        <v>263274871</v>
      </c>
      <c r="D42" s="46">
        <f t="shared" si="11"/>
        <v>38984295</v>
      </c>
      <c r="E42" s="46">
        <f t="shared" si="12"/>
        <v>28904560</v>
      </c>
      <c r="F42" s="46">
        <f t="shared" si="0"/>
        <v>331163726</v>
      </c>
      <c r="G42" s="13">
        <f t="shared" si="13"/>
        <v>9</v>
      </c>
      <c r="H42" s="41">
        <f t="shared" si="1"/>
        <v>0.026291099014754578</v>
      </c>
      <c r="I42" s="46">
        <v>49548975</v>
      </c>
      <c r="J42" s="46"/>
      <c r="K42" s="46">
        <v>28904560</v>
      </c>
      <c r="L42" s="13">
        <f t="shared" si="2"/>
        <v>78453535</v>
      </c>
      <c r="M42" s="41">
        <f t="shared" si="3"/>
        <v>0.06113902232614195</v>
      </c>
      <c r="N42" s="46">
        <v>35398525</v>
      </c>
      <c r="O42" s="46">
        <v>612600</v>
      </c>
      <c r="P42" s="46"/>
      <c r="Q42" s="13">
        <f t="shared" si="14"/>
        <v>36011125</v>
      </c>
      <c r="R42" s="41">
        <f t="shared" si="4"/>
        <v>0.03610307411430803</v>
      </c>
      <c r="S42" s="46">
        <v>14020385</v>
      </c>
      <c r="T42" s="46">
        <v>184800</v>
      </c>
      <c r="U42" s="46"/>
      <c r="V42" s="13">
        <f t="shared" si="16"/>
        <v>14205185</v>
      </c>
      <c r="W42" s="41">
        <f t="shared" si="15"/>
        <v>0.014563812489028648</v>
      </c>
      <c r="X42" s="46">
        <v>27405233</v>
      </c>
      <c r="Y42" s="46">
        <v>30500</v>
      </c>
      <c r="Z42" s="46"/>
      <c r="AA42" s="13">
        <f t="shared" si="56"/>
        <v>27435733</v>
      </c>
      <c r="AB42" s="41">
        <f t="shared" si="5"/>
        <v>0.031814363990936234</v>
      </c>
      <c r="AC42" s="46">
        <v>15542842</v>
      </c>
      <c r="AD42" s="46">
        <v>447994</v>
      </c>
      <c r="AE42" s="46"/>
      <c r="AF42" s="13">
        <f t="shared" si="57"/>
        <v>15990836</v>
      </c>
      <c r="AG42" s="41">
        <f t="shared" si="6"/>
        <v>0.013856201069706921</v>
      </c>
      <c r="AH42" s="46">
        <v>9527750</v>
      </c>
      <c r="AI42" s="46">
        <v>114533</v>
      </c>
      <c r="AJ42" s="46"/>
      <c r="AK42" s="13">
        <f t="shared" si="58"/>
        <v>9642283</v>
      </c>
      <c r="AL42" s="41">
        <f t="shared" si="7"/>
        <v>0.006936076067067439</v>
      </c>
      <c r="AM42" s="46">
        <v>21898812</v>
      </c>
      <c r="AN42" s="46">
        <v>2197937</v>
      </c>
      <c r="AO42" s="46"/>
      <c r="AP42" s="13">
        <f t="shared" si="49"/>
        <v>24096749</v>
      </c>
      <c r="AQ42" s="41">
        <f t="shared" si="59"/>
        <v>0.016294995267805507</v>
      </c>
      <c r="AR42" s="46">
        <v>11472247</v>
      </c>
      <c r="AS42" s="46"/>
      <c r="AT42" s="46"/>
      <c r="AU42" s="13">
        <f aca="true" t="shared" si="60" ref="AU42:AU53">AR42+AS42+AT42</f>
        <v>11472247</v>
      </c>
      <c r="AV42" s="41">
        <f t="shared" si="51"/>
        <v>0.014469475661153143</v>
      </c>
      <c r="AW42" s="13">
        <v>2502400</v>
      </c>
      <c r="AX42" s="13">
        <v>65850</v>
      </c>
      <c r="AY42" s="12"/>
      <c r="AZ42" s="13">
        <f aca="true" t="shared" si="61" ref="AZ42:AZ55">AW42+AX42+AY42</f>
        <v>2568250</v>
      </c>
      <c r="BA42" s="41">
        <f>AZ42/AZ$61</f>
        <v>0.0066878956824830815</v>
      </c>
      <c r="BB42" s="13">
        <v>3647400</v>
      </c>
      <c r="BC42" s="13">
        <f>173000+6336307-6198807</f>
        <v>310500</v>
      </c>
      <c r="BD42" s="12"/>
      <c r="BE42" s="13">
        <f aca="true" t="shared" si="62" ref="BE42:BE55">BB42+BC42+BD42</f>
        <v>3957900</v>
      </c>
      <c r="BF42" s="41">
        <f>BE42/BE$61</f>
        <v>0.007357609332092086</v>
      </c>
      <c r="BG42" s="13">
        <v>6421568</v>
      </c>
      <c r="BH42" s="13">
        <v>9403300</v>
      </c>
      <c r="BI42" s="12"/>
      <c r="BJ42" s="13">
        <f t="shared" si="52"/>
        <v>15824868</v>
      </c>
      <c r="BK42" s="41">
        <f t="shared" si="53"/>
        <v>0.023049351285198562</v>
      </c>
      <c r="BL42" s="13">
        <f>41916186-1533800-100000</f>
        <v>40282386</v>
      </c>
      <c r="BM42" s="13">
        <f>8136878-22-400-5300-160000-266</f>
        <v>7970890</v>
      </c>
      <c r="BN42" s="12"/>
      <c r="BO42" s="13">
        <f aca="true" t="shared" si="63" ref="BO42:BO53">BL42+BM42+BN42</f>
        <v>48253276</v>
      </c>
      <c r="BP42" s="41">
        <f>BO42/BO$61</f>
        <v>0.05318471457803558</v>
      </c>
      <c r="BQ42" s="13">
        <v>5464293</v>
      </c>
      <c r="BR42" s="13">
        <v>7826390</v>
      </c>
      <c r="BS42" s="12"/>
      <c r="BT42" s="13">
        <f aca="true" t="shared" si="64" ref="BT42:BT55">SUM(BQ42:BS42)</f>
        <v>13290683</v>
      </c>
      <c r="BU42" s="41">
        <f>BT42/BT$61</f>
        <v>0.028049361891870857</v>
      </c>
      <c r="BV42" s="13">
        <v>7994055</v>
      </c>
      <c r="BW42" s="13">
        <v>8520024</v>
      </c>
      <c r="BX42" s="12"/>
      <c r="BY42" s="13">
        <f t="shared" si="54"/>
        <v>16514079</v>
      </c>
      <c r="BZ42" s="41">
        <f t="shared" si="55"/>
        <v>0.03852994879582353</v>
      </c>
      <c r="CA42" s="13">
        <v>12148000</v>
      </c>
      <c r="CB42" s="13">
        <v>1298977</v>
      </c>
      <c r="CC42" s="12"/>
      <c r="CD42" s="13">
        <f>SUM(CA42:CC42)</f>
        <v>13446977</v>
      </c>
      <c r="CE42" s="41">
        <f>CD42/CD$61</f>
        <v>0.055210846774274173</v>
      </c>
    </row>
    <row r="43" spans="2:83" ht="15">
      <c r="B43" t="s">
        <v>50</v>
      </c>
      <c r="C43" s="39">
        <f t="shared" si="10"/>
        <v>7907077</v>
      </c>
      <c r="D43" s="46">
        <f t="shared" si="11"/>
        <v>0</v>
      </c>
      <c r="E43" s="46">
        <f t="shared" si="12"/>
        <v>0</v>
      </c>
      <c r="F43" s="46">
        <f t="shared" si="0"/>
        <v>7907077</v>
      </c>
      <c r="G43" s="13">
        <f t="shared" si="13"/>
        <v>42</v>
      </c>
      <c r="H43" s="41">
        <f t="shared" si="1"/>
        <v>0.0006277431010795203</v>
      </c>
      <c r="I43" s="46">
        <v>480000</v>
      </c>
      <c r="J43" s="46"/>
      <c r="K43" s="46"/>
      <c r="L43" s="13">
        <f t="shared" si="2"/>
        <v>480000</v>
      </c>
      <c r="M43" s="41">
        <f t="shared" si="3"/>
        <v>0.00037406511658841295</v>
      </c>
      <c r="N43" s="46">
        <v>1387680</v>
      </c>
      <c r="O43" s="46"/>
      <c r="P43" s="46"/>
      <c r="Q43" s="13">
        <f t="shared" si="14"/>
        <v>1387680</v>
      </c>
      <c r="R43" s="41">
        <f t="shared" si="4"/>
        <v>0.001391223236900901</v>
      </c>
      <c r="S43" s="46"/>
      <c r="T43" s="46"/>
      <c r="U43" s="46"/>
      <c r="V43" s="13"/>
      <c r="W43" s="41"/>
      <c r="X43" s="46">
        <v>783520</v>
      </c>
      <c r="Y43" s="46"/>
      <c r="Z43" s="46"/>
      <c r="AA43" s="13">
        <f t="shared" si="56"/>
        <v>783520</v>
      </c>
      <c r="AB43" s="41">
        <f t="shared" si="5"/>
        <v>0.0009085665935799257</v>
      </c>
      <c r="AC43" s="46">
        <v>600000</v>
      </c>
      <c r="AD43" s="46"/>
      <c r="AE43" s="46"/>
      <c r="AF43" s="13">
        <f t="shared" si="57"/>
        <v>600000</v>
      </c>
      <c r="AG43" s="41">
        <f t="shared" si="6"/>
        <v>0.0005199053158836819</v>
      </c>
      <c r="AH43" s="46">
        <v>679617</v>
      </c>
      <c r="AI43" s="46"/>
      <c r="AJ43" s="46"/>
      <c r="AK43" s="13">
        <f t="shared" si="58"/>
        <v>679617</v>
      </c>
      <c r="AL43" s="41">
        <f t="shared" si="7"/>
        <v>0.0004888754259206218</v>
      </c>
      <c r="AM43" s="46">
        <v>956100</v>
      </c>
      <c r="AN43" s="46"/>
      <c r="AO43" s="46"/>
      <c r="AP43" s="13">
        <f t="shared" si="49"/>
        <v>956100</v>
      </c>
      <c r="AQ43" s="41">
        <f t="shared" si="59"/>
        <v>0.0006465455143160119</v>
      </c>
      <c r="AR43" s="46">
        <v>140000</v>
      </c>
      <c r="AS43" s="46"/>
      <c r="AT43" s="46"/>
      <c r="AU43" s="13">
        <f t="shared" si="60"/>
        <v>140000</v>
      </c>
      <c r="AV43" s="41">
        <f t="shared" si="51"/>
        <v>0.00017657627076556493</v>
      </c>
      <c r="AW43" s="12">
        <v>150000</v>
      </c>
      <c r="AX43" s="13"/>
      <c r="AY43" s="12"/>
      <c r="AZ43" s="13">
        <f t="shared" si="61"/>
        <v>150000</v>
      </c>
      <c r="BA43" s="41">
        <f>AZ43/AZ$61</f>
        <v>0.00039061008561178324</v>
      </c>
      <c r="BB43" s="12">
        <f>206080+206080</f>
        <v>412160</v>
      </c>
      <c r="BC43" s="13"/>
      <c r="BD43" s="12"/>
      <c r="BE43" s="13">
        <f t="shared" si="62"/>
        <v>412160</v>
      </c>
      <c r="BF43" s="41">
        <f>BE43/BE$61</f>
        <v>0.0007661922388931186</v>
      </c>
      <c r="BG43" s="12">
        <v>890000</v>
      </c>
      <c r="BH43" s="13"/>
      <c r="BI43" s="12"/>
      <c r="BJ43" s="13">
        <f t="shared" si="52"/>
        <v>890000</v>
      </c>
      <c r="BK43" s="41">
        <f t="shared" si="53"/>
        <v>0.0012963092421261725</v>
      </c>
      <c r="BL43" s="12">
        <v>628000</v>
      </c>
      <c r="BM43" s="13"/>
      <c r="BN43" s="12"/>
      <c r="BO43" s="13">
        <f t="shared" si="63"/>
        <v>628000</v>
      </c>
      <c r="BP43" s="41">
        <f>BO43/BO$61</f>
        <v>0.0006921809983431248</v>
      </c>
      <c r="BQ43" s="13">
        <v>400000</v>
      </c>
      <c r="BS43" s="12"/>
      <c r="BT43" s="13">
        <f t="shared" si="64"/>
        <v>400000</v>
      </c>
      <c r="BU43" s="41">
        <f>BT43/BT$61</f>
        <v>0.0008441812024820954</v>
      </c>
      <c r="BV43" s="13">
        <v>400000</v>
      </c>
      <c r="BW43" s="12"/>
      <c r="BX43" s="12"/>
      <c r="BY43" s="13">
        <f t="shared" si="54"/>
        <v>400000</v>
      </c>
      <c r="BZ43" s="41">
        <f t="shared" si="55"/>
        <v>0.0009332630368505209</v>
      </c>
      <c r="CE43" s="41"/>
    </row>
    <row r="44" spans="2:83" ht="15">
      <c r="B44" s="53" t="s">
        <v>51</v>
      </c>
      <c r="C44" s="54">
        <f t="shared" si="10"/>
        <v>64028059</v>
      </c>
      <c r="D44" s="56">
        <f t="shared" si="11"/>
        <v>207202763</v>
      </c>
      <c r="E44" s="56">
        <f t="shared" si="12"/>
        <v>38358138</v>
      </c>
      <c r="F44" s="56">
        <f t="shared" si="0"/>
        <v>309588960</v>
      </c>
      <c r="G44" s="54">
        <f>RANK(F44,F$9:F$58,0)</f>
        <v>11</v>
      </c>
      <c r="H44" s="55">
        <f t="shared" si="1"/>
        <v>0.024578277637916462</v>
      </c>
      <c r="I44" s="56">
        <v>9680308</v>
      </c>
      <c r="J44" s="56"/>
      <c r="K44" s="56">
        <v>36838138</v>
      </c>
      <c r="L44" s="54">
        <f t="shared" si="2"/>
        <v>46518446</v>
      </c>
      <c r="M44" s="55">
        <f t="shared" si="3"/>
        <v>0.03625193318021206</v>
      </c>
      <c r="N44" s="56">
        <v>1410357</v>
      </c>
      <c r="O44" s="56">
        <v>34705936</v>
      </c>
      <c r="P44" s="56"/>
      <c r="Q44" s="54">
        <f t="shared" si="14"/>
        <v>36116293</v>
      </c>
      <c r="R44" s="55">
        <f t="shared" si="4"/>
        <v>0.036208510645337075</v>
      </c>
      <c r="S44" s="56">
        <v>5173067</v>
      </c>
      <c r="T44" s="56">
        <v>14664958</v>
      </c>
      <c r="U44" s="56"/>
      <c r="V44" s="54">
        <f t="shared" si="16"/>
        <v>19838025</v>
      </c>
      <c r="W44" s="55">
        <f t="shared" si="15"/>
        <v>0.02033886051133178</v>
      </c>
      <c r="X44" s="56">
        <v>2200167</v>
      </c>
      <c r="Y44" s="56">
        <v>8328924</v>
      </c>
      <c r="Z44" s="56">
        <v>320000</v>
      </c>
      <c r="AA44" s="54">
        <f t="shared" si="56"/>
        <v>10849091</v>
      </c>
      <c r="AB44" s="55">
        <f t="shared" si="5"/>
        <v>0.012580561636344485</v>
      </c>
      <c r="AC44" s="56">
        <v>17418249</v>
      </c>
      <c r="AD44" s="56">
        <v>25817994</v>
      </c>
      <c r="AE44" s="56"/>
      <c r="AF44" s="54">
        <f t="shared" si="57"/>
        <v>43236243</v>
      </c>
      <c r="AG44" s="55">
        <f t="shared" si="6"/>
        <v>0.03746458762423105</v>
      </c>
      <c r="AH44" s="56">
        <v>8749485</v>
      </c>
      <c r="AI44" s="56">
        <v>19713932</v>
      </c>
      <c r="AJ44" s="56">
        <v>1200000</v>
      </c>
      <c r="AK44" s="54">
        <f t="shared" si="58"/>
        <v>29663417</v>
      </c>
      <c r="AL44" s="55">
        <f t="shared" si="7"/>
        <v>0.021338070737100475</v>
      </c>
      <c r="AM44" s="56">
        <v>6000245</v>
      </c>
      <c r="AN44" s="56">
        <v>25073794</v>
      </c>
      <c r="AO44" s="56"/>
      <c r="AP44" s="54">
        <f t="shared" si="49"/>
        <v>31074039</v>
      </c>
      <c r="AQ44" s="55">
        <f t="shared" si="59"/>
        <v>0.02101326276240018</v>
      </c>
      <c r="AR44" s="56">
        <v>1177340</v>
      </c>
      <c r="AS44" s="56">
        <v>6483284</v>
      </c>
      <c r="AT44" s="56"/>
      <c r="AU44" s="54">
        <f t="shared" si="60"/>
        <v>7660624</v>
      </c>
      <c r="AV44" s="55">
        <f t="shared" si="51"/>
        <v>0.00966203155469418</v>
      </c>
      <c r="AW44" s="54">
        <v>88660</v>
      </c>
      <c r="AX44" s="54">
        <v>4923955</v>
      </c>
      <c r="AY44" s="57"/>
      <c r="AZ44" s="54">
        <f t="shared" si="61"/>
        <v>5012615</v>
      </c>
      <c r="BA44" s="55">
        <f>AZ44/AZ$61</f>
        <v>0.013053186495259392</v>
      </c>
      <c r="BB44" s="54">
        <v>2761706</v>
      </c>
      <c r="BC44" s="54">
        <f>8062000+1269709</f>
        <v>9331709</v>
      </c>
      <c r="BD44" s="57"/>
      <c r="BE44" s="54">
        <f t="shared" si="62"/>
        <v>12093415</v>
      </c>
      <c r="BF44" s="55">
        <f>BE44/BE$61</f>
        <v>0.02248127114400627</v>
      </c>
      <c r="BG44" s="54">
        <v>793000</v>
      </c>
      <c r="BH44" s="54">
        <v>32467000</v>
      </c>
      <c r="BI44" s="57"/>
      <c r="BJ44" s="54">
        <f t="shared" si="52"/>
        <v>33260000</v>
      </c>
      <c r="BK44" s="55">
        <f t="shared" si="53"/>
        <v>0.04844409594732191</v>
      </c>
      <c r="BL44" s="54">
        <v>55400</v>
      </c>
      <c r="BM44" s="54">
        <v>24625957</v>
      </c>
      <c r="BN44" s="57"/>
      <c r="BO44" s="54">
        <f t="shared" si="63"/>
        <v>24681357</v>
      </c>
      <c r="BP44" s="55">
        <f>BO44/BO$61</f>
        <v>0.02720376803936795</v>
      </c>
      <c r="BQ44" s="54">
        <v>4217075</v>
      </c>
      <c r="BR44" s="54">
        <v>100320</v>
      </c>
      <c r="BS44" s="57"/>
      <c r="BT44" s="54">
        <f t="shared" si="64"/>
        <v>4317395</v>
      </c>
      <c r="BU44" s="55">
        <f>BT44/BT$61</f>
        <v>0.009111659256725465</v>
      </c>
      <c r="BV44" s="54">
        <v>4303000</v>
      </c>
      <c r="BW44" s="54">
        <v>965000</v>
      </c>
      <c r="BX44" s="57"/>
      <c r="BY44" s="54">
        <f t="shared" si="54"/>
        <v>5268000</v>
      </c>
      <c r="BZ44" s="55">
        <f t="shared" si="55"/>
        <v>0.01229107419532136</v>
      </c>
      <c r="CA44" s="57"/>
      <c r="CB44" s="57"/>
      <c r="CC44" s="57"/>
      <c r="CD44" s="57"/>
      <c r="CE44" s="55"/>
    </row>
    <row r="45" spans="2:83" ht="15">
      <c r="B45" s="38" t="s">
        <v>52</v>
      </c>
      <c r="C45" s="13">
        <f t="shared" si="10"/>
        <v>387233997</v>
      </c>
      <c r="D45" s="46">
        <f t="shared" si="11"/>
        <v>238355436</v>
      </c>
      <c r="E45" s="46">
        <f t="shared" si="12"/>
        <v>442760675</v>
      </c>
      <c r="F45" s="46">
        <f t="shared" si="0"/>
        <v>1068350108</v>
      </c>
      <c r="G45" s="39">
        <f t="shared" si="13"/>
        <v>3</v>
      </c>
      <c r="H45" s="41">
        <f t="shared" si="1"/>
        <v>0.08481634994000445</v>
      </c>
      <c r="I45" s="46">
        <v>21694667</v>
      </c>
      <c r="J45" s="46">
        <v>2470003</v>
      </c>
      <c r="K45" s="46">
        <v>344883599</v>
      </c>
      <c r="L45" s="39">
        <f t="shared" si="2"/>
        <v>369048269</v>
      </c>
      <c r="M45" s="41">
        <f t="shared" si="3"/>
        <v>0.287600174521327</v>
      </c>
      <c r="N45" s="46">
        <v>24045300</v>
      </c>
      <c r="O45" s="46">
        <v>94511424</v>
      </c>
      <c r="P45" s="46">
        <v>781895</v>
      </c>
      <c r="Q45" s="39">
        <f t="shared" si="14"/>
        <v>119338619</v>
      </c>
      <c r="R45" s="41">
        <f t="shared" si="4"/>
        <v>0.11964333262168754</v>
      </c>
      <c r="S45" s="46">
        <v>32781210</v>
      </c>
      <c r="T45" s="46">
        <v>28615415</v>
      </c>
      <c r="U45" s="46">
        <v>377421</v>
      </c>
      <c r="V45" s="39">
        <f t="shared" si="16"/>
        <v>61774046</v>
      </c>
      <c r="W45" s="41">
        <f t="shared" si="15"/>
        <v>0.06333360830095702</v>
      </c>
      <c r="X45" s="46">
        <v>24778100</v>
      </c>
      <c r="Y45" s="46">
        <v>535000</v>
      </c>
      <c r="Z45" s="46"/>
      <c r="AA45" s="39">
        <f t="shared" si="56"/>
        <v>25313100</v>
      </c>
      <c r="AB45" s="41">
        <f t="shared" si="5"/>
        <v>0.02935296742897184</v>
      </c>
      <c r="AC45" s="46">
        <v>41783992</v>
      </c>
      <c r="AD45" s="46">
        <v>4867936</v>
      </c>
      <c r="AE45" s="46">
        <v>14140343</v>
      </c>
      <c r="AF45" s="39">
        <f t="shared" si="57"/>
        <v>60792271</v>
      </c>
      <c r="AG45" s="41">
        <f t="shared" si="6"/>
        <v>0.052677041429235655</v>
      </c>
      <c r="AH45" s="46">
        <v>10960000</v>
      </c>
      <c r="AI45" s="46">
        <v>18272900</v>
      </c>
      <c r="AJ45" s="46">
        <v>2814452</v>
      </c>
      <c r="AK45" s="39">
        <f t="shared" si="58"/>
        <v>32047352</v>
      </c>
      <c r="AL45" s="41">
        <f t="shared" si="7"/>
        <v>0.023052929603921166</v>
      </c>
      <c r="AM45" s="46">
        <v>18252928</v>
      </c>
      <c r="AN45" s="46">
        <v>27433100</v>
      </c>
      <c r="AO45" s="46"/>
      <c r="AP45" s="39">
        <f t="shared" si="49"/>
        <v>45686028</v>
      </c>
      <c r="AQ45" s="41">
        <f t="shared" si="59"/>
        <v>0.030894358822629135</v>
      </c>
      <c r="AR45" s="46">
        <v>6409800</v>
      </c>
      <c r="AS45" s="46">
        <v>27975058</v>
      </c>
      <c r="AT45" s="46"/>
      <c r="AU45" s="39">
        <f t="shared" si="60"/>
        <v>34384858</v>
      </c>
      <c r="AV45" s="41">
        <f t="shared" si="51"/>
        <v>0.043368214260310727</v>
      </c>
      <c r="AW45" s="39">
        <v>19120000</v>
      </c>
      <c r="AX45" s="39">
        <v>19563000</v>
      </c>
      <c r="AY45" s="39"/>
      <c r="AZ45" s="39">
        <f t="shared" si="61"/>
        <v>38683000</v>
      </c>
      <c r="BA45" s="41">
        <f>AZ45/AZ$61</f>
        <v>0.10073313294480407</v>
      </c>
      <c r="BB45" s="39">
        <f>480000+330000</f>
        <v>810000</v>
      </c>
      <c r="BC45" s="39">
        <f>13864+2884800</f>
        <v>2898664</v>
      </c>
      <c r="BD45" s="39">
        <v>12144000</v>
      </c>
      <c r="BE45" s="39">
        <f t="shared" si="62"/>
        <v>15852664</v>
      </c>
      <c r="BF45" s="41">
        <f>BE45/BE$61</f>
        <v>0.029469594629707736</v>
      </c>
      <c r="BG45" s="39">
        <v>2952000</v>
      </c>
      <c r="BH45" s="39">
        <v>728000</v>
      </c>
      <c r="BI45" s="39">
        <v>10621856</v>
      </c>
      <c r="BJ45" s="39">
        <f t="shared" si="52"/>
        <v>14301856</v>
      </c>
      <c r="BK45" s="41">
        <f t="shared" si="53"/>
        <v>0.020831042822873767</v>
      </c>
      <c r="BL45" s="39">
        <f>165980000-400000</f>
        <v>165580000</v>
      </c>
      <c r="BM45" s="39">
        <f>8142400-387464-40000-192000</f>
        <v>7522936</v>
      </c>
      <c r="BN45" s="39">
        <v>41541109</v>
      </c>
      <c r="BO45" s="39">
        <f t="shared" si="63"/>
        <v>214644045</v>
      </c>
      <c r="BP45" s="41">
        <f>BO45/BO$61</f>
        <v>0.23658046075876848</v>
      </c>
      <c r="BQ45" s="39">
        <v>16568000</v>
      </c>
      <c r="BR45" s="39">
        <v>1738000</v>
      </c>
      <c r="BS45" s="39">
        <v>6348000</v>
      </c>
      <c r="BT45" s="39">
        <f t="shared" si="64"/>
        <v>24654000</v>
      </c>
      <c r="BU45" s="41">
        <f>BT45/BT$61</f>
        <v>0.05203110841498395</v>
      </c>
      <c r="BV45" s="39">
        <v>1498000</v>
      </c>
      <c r="BW45" s="39">
        <v>824000</v>
      </c>
      <c r="BX45" s="39">
        <v>9108000</v>
      </c>
      <c r="BY45" s="39">
        <f t="shared" si="54"/>
        <v>11430000</v>
      </c>
      <c r="BZ45" s="41">
        <f t="shared" si="55"/>
        <v>0.026667991278003636</v>
      </c>
      <c r="CA45" s="45"/>
      <c r="CB45" s="39">
        <v>400000</v>
      </c>
      <c r="CC45" s="45"/>
      <c r="CD45" s="39">
        <f>SUM(CA45:CC45)</f>
        <v>400000</v>
      </c>
      <c r="CE45" s="41">
        <f>CD45/CD$61</f>
        <v>0.0016423273951989112</v>
      </c>
    </row>
    <row r="46" spans="2:83" ht="15">
      <c r="B46" s="38" t="s">
        <v>66</v>
      </c>
      <c r="C46" s="39">
        <f t="shared" si="10"/>
        <v>0</v>
      </c>
      <c r="D46" s="46">
        <f t="shared" si="11"/>
        <v>261388749</v>
      </c>
      <c r="E46" s="46">
        <f t="shared" si="12"/>
        <v>0</v>
      </c>
      <c r="F46" s="46">
        <f>C46+D46+E46</f>
        <v>261388749</v>
      </c>
      <c r="G46" s="13">
        <f t="shared" si="13"/>
        <v>14</v>
      </c>
      <c r="H46" s="41">
        <f t="shared" si="1"/>
        <v>0.020751661313600005</v>
      </c>
      <c r="I46" s="46"/>
      <c r="J46" s="46"/>
      <c r="K46" s="46"/>
      <c r="L46" s="13">
        <f t="shared" si="2"/>
        <v>0</v>
      </c>
      <c r="M46" s="41">
        <f t="shared" si="3"/>
        <v>0</v>
      </c>
      <c r="N46" s="46"/>
      <c r="O46" s="46"/>
      <c r="P46" s="46"/>
      <c r="Q46" s="13">
        <f t="shared" si="14"/>
        <v>0</v>
      </c>
      <c r="R46" s="41">
        <f t="shared" si="4"/>
        <v>0</v>
      </c>
      <c r="S46" s="46"/>
      <c r="T46" s="46"/>
      <c r="U46" s="46"/>
      <c r="V46" s="13"/>
      <c r="W46" s="41"/>
      <c r="X46" s="46"/>
      <c r="Y46" s="46">
        <v>41500000</v>
      </c>
      <c r="Z46" s="46"/>
      <c r="AA46" s="13">
        <f t="shared" si="56"/>
        <v>41500000</v>
      </c>
      <c r="AB46" s="41">
        <f t="shared" si="5"/>
        <v>0.04812323059215708</v>
      </c>
      <c r="AC46" s="46"/>
      <c r="AD46" s="46">
        <v>40000000</v>
      </c>
      <c r="AE46" s="46"/>
      <c r="AF46" s="13">
        <f t="shared" si="57"/>
        <v>40000000</v>
      </c>
      <c r="AG46" s="41">
        <f t="shared" si="6"/>
        <v>0.03466035439224546</v>
      </c>
      <c r="AH46" s="46"/>
      <c r="AI46" s="46">
        <v>40000000</v>
      </c>
      <c r="AJ46" s="46"/>
      <c r="AK46" s="13">
        <f t="shared" si="58"/>
        <v>40000000</v>
      </c>
      <c r="AL46" s="41">
        <f t="shared" si="7"/>
        <v>0.02877358429354309</v>
      </c>
      <c r="AM46" s="46"/>
      <c r="AN46" s="46">
        <v>108170517</v>
      </c>
      <c r="AO46" s="46"/>
      <c r="AP46" s="13">
        <f aca="true" t="shared" si="65" ref="AP46:AP53">AM46+AN46+AO46</f>
        <v>108170517</v>
      </c>
      <c r="AQ46" s="41">
        <f t="shared" si="59"/>
        <v>0.0731483762656562</v>
      </c>
      <c r="AR46" s="46"/>
      <c r="AS46" s="46">
        <v>31718232</v>
      </c>
      <c r="AT46" s="46"/>
      <c r="AU46" s="13">
        <f>AR46+AS46+AT46</f>
        <v>31718232</v>
      </c>
      <c r="AV46" s="41">
        <f t="shared" si="51"/>
        <v>0.040004908013121475</v>
      </c>
      <c r="AW46" s="39"/>
      <c r="AX46" s="39"/>
      <c r="AY46" s="39"/>
      <c r="AZ46" s="39"/>
      <c r="BA46" s="41"/>
      <c r="BB46" s="39"/>
      <c r="BC46" s="39"/>
      <c r="BD46" s="39"/>
      <c r="BE46" s="39"/>
      <c r="BF46" s="41"/>
      <c r="BG46" s="39"/>
      <c r="BH46" s="39"/>
      <c r="BI46" s="39"/>
      <c r="BJ46" s="39"/>
      <c r="BK46" s="41"/>
      <c r="BL46" s="39"/>
      <c r="BM46" s="39"/>
      <c r="BN46" s="39"/>
      <c r="BO46" s="39"/>
      <c r="BP46" s="41"/>
      <c r="BQ46" s="39"/>
      <c r="BR46" s="39"/>
      <c r="BS46" s="39"/>
      <c r="BT46" s="39"/>
      <c r="BU46" s="41"/>
      <c r="BV46" s="39"/>
      <c r="BW46" s="39"/>
      <c r="BX46" s="39"/>
      <c r="BY46" s="39"/>
      <c r="BZ46" s="41"/>
      <c r="CA46" s="45"/>
      <c r="CB46" s="39"/>
      <c r="CC46" s="45"/>
      <c r="CD46" s="39"/>
      <c r="CE46" s="41"/>
    </row>
    <row r="47" spans="2:83" ht="15">
      <c r="B47" t="s">
        <v>53</v>
      </c>
      <c r="C47" s="39">
        <f t="shared" si="10"/>
        <v>39798428</v>
      </c>
      <c r="D47" s="46">
        <f t="shared" si="11"/>
        <v>152800</v>
      </c>
      <c r="E47" s="46">
        <f t="shared" si="12"/>
        <v>30266674</v>
      </c>
      <c r="F47" s="46">
        <f t="shared" si="0"/>
        <v>70217902</v>
      </c>
      <c r="G47" s="13">
        <f t="shared" si="13"/>
        <v>24</v>
      </c>
      <c r="H47" s="41">
        <f t="shared" si="1"/>
        <v>0.005574601531359548</v>
      </c>
      <c r="I47" s="46">
        <v>5208000</v>
      </c>
      <c r="J47" s="46"/>
      <c r="K47" s="46"/>
      <c r="L47" s="13">
        <f t="shared" si="2"/>
        <v>5208000</v>
      </c>
      <c r="M47" s="41">
        <f t="shared" si="3"/>
        <v>0.00405860651498428</v>
      </c>
      <c r="N47" s="46">
        <v>1376000</v>
      </c>
      <c r="O47" s="46"/>
      <c r="P47" s="46"/>
      <c r="Q47" s="13">
        <f t="shared" si="14"/>
        <v>1376000</v>
      </c>
      <c r="R47" s="41">
        <f t="shared" si="4"/>
        <v>0.0013795134137377782</v>
      </c>
      <c r="S47" s="46">
        <v>1068000</v>
      </c>
      <c r="T47" s="46"/>
      <c r="U47" s="46"/>
      <c r="V47" s="13">
        <f t="shared" si="16"/>
        <v>1068000</v>
      </c>
      <c r="W47" s="41">
        <f t="shared" si="15"/>
        <v>0.0010949629827617588</v>
      </c>
      <c r="X47" s="46">
        <v>2684416</v>
      </c>
      <c r="Y47" s="46">
        <v>88800</v>
      </c>
      <c r="Z47" s="46"/>
      <c r="AA47" s="13">
        <f t="shared" si="56"/>
        <v>2773216</v>
      </c>
      <c r="AB47" s="41">
        <f t="shared" si="5"/>
        <v>0.0032158099530086625</v>
      </c>
      <c r="AC47" s="46">
        <v>2158400</v>
      </c>
      <c r="AD47" s="46"/>
      <c r="AE47" s="46"/>
      <c r="AF47" s="13">
        <f t="shared" si="57"/>
        <v>2158400</v>
      </c>
      <c r="AG47" s="41">
        <f t="shared" si="6"/>
        <v>0.001870272723005565</v>
      </c>
      <c r="AH47" s="46">
        <v>1680000</v>
      </c>
      <c r="AI47" s="46">
        <v>64000</v>
      </c>
      <c r="AJ47" s="46"/>
      <c r="AK47" s="13">
        <f t="shared" si="58"/>
        <v>1744000</v>
      </c>
      <c r="AL47" s="41">
        <f t="shared" si="7"/>
        <v>0.0012545282751984786</v>
      </c>
      <c r="AM47" s="46">
        <v>8480000</v>
      </c>
      <c r="AN47" s="46"/>
      <c r="AO47" s="46"/>
      <c r="AP47" s="13">
        <f t="shared" si="65"/>
        <v>8480000</v>
      </c>
      <c r="AQ47" s="41">
        <f t="shared" si="59"/>
        <v>0.005734448239096099</v>
      </c>
      <c r="AR47" s="46">
        <v>5020000</v>
      </c>
      <c r="AS47" s="46"/>
      <c r="AT47" s="46"/>
      <c r="AU47" s="13">
        <f t="shared" si="60"/>
        <v>5020000</v>
      </c>
      <c r="AV47" s="41">
        <f t="shared" si="51"/>
        <v>0.0063315205660224</v>
      </c>
      <c r="AW47" s="13">
        <v>6191200</v>
      </c>
      <c r="AX47" s="12"/>
      <c r="AY47" s="13">
        <v>2293560</v>
      </c>
      <c r="AZ47" s="13">
        <f t="shared" si="61"/>
        <v>8484760</v>
      </c>
      <c r="BA47" s="41">
        <f aca="true" t="shared" si="66" ref="BA47:BA53">AZ47/AZ$61</f>
        <v>0.022094885533302893</v>
      </c>
      <c r="BB47" s="13">
        <v>187492</v>
      </c>
      <c r="BC47" s="12"/>
      <c r="BD47" s="13">
        <f>9973118+3312000</f>
        <v>13285118</v>
      </c>
      <c r="BE47" s="13">
        <f t="shared" si="62"/>
        <v>13472610</v>
      </c>
      <c r="BF47" s="41">
        <f>BE47/BE$61</f>
        <v>0.025045150474655033</v>
      </c>
      <c r="BG47" s="13">
        <v>2692508</v>
      </c>
      <c r="BH47" s="12"/>
      <c r="BI47" s="13">
        <v>3312000</v>
      </c>
      <c r="BJ47" s="13">
        <f t="shared" si="52"/>
        <v>6004508</v>
      </c>
      <c r="BK47" s="41">
        <f>BJ47/BJ$61</f>
        <v>0.008745729454854538</v>
      </c>
      <c r="BL47" s="13">
        <v>1852412</v>
      </c>
      <c r="BM47" s="12"/>
      <c r="BN47" s="13">
        <v>3312000</v>
      </c>
      <c r="BO47" s="13">
        <f t="shared" si="63"/>
        <v>5164412</v>
      </c>
      <c r="BP47" s="41">
        <f>BO47/BO$61</f>
        <v>0.005692209958622952</v>
      </c>
      <c r="BQ47" s="12"/>
      <c r="BR47" s="12"/>
      <c r="BS47" s="13">
        <v>3356428</v>
      </c>
      <c r="BT47" s="13">
        <f t="shared" si="64"/>
        <v>3356428</v>
      </c>
      <c r="BU47" s="41">
        <f>BT47/BT$61</f>
        <v>0.007083583562711436</v>
      </c>
      <c r="BV47" s="13">
        <v>1200000</v>
      </c>
      <c r="BW47" s="12"/>
      <c r="BX47" s="13">
        <v>3312000</v>
      </c>
      <c r="BY47" s="13">
        <f t="shared" si="54"/>
        <v>4512000</v>
      </c>
      <c r="BZ47" s="41">
        <f>BY47/BY$61</f>
        <v>0.010527207055673877</v>
      </c>
      <c r="CA47" s="12"/>
      <c r="CB47" s="12"/>
      <c r="CC47" s="13">
        <v>1395568</v>
      </c>
      <c r="CD47" s="13">
        <f>SUM(CA47:CC47)</f>
        <v>1395568</v>
      </c>
      <c r="CE47" s="41">
        <f>CD47/CD$61</f>
        <v>0.005729948895657385</v>
      </c>
    </row>
    <row r="48" spans="2:83" ht="15">
      <c r="B48" t="s">
        <v>64</v>
      </c>
      <c r="C48" s="39">
        <f t="shared" si="10"/>
        <v>0</v>
      </c>
      <c r="D48" s="46">
        <f t="shared" si="11"/>
        <v>4349707</v>
      </c>
      <c r="E48" s="46">
        <f t="shared" si="12"/>
        <v>2180803</v>
      </c>
      <c r="F48" s="46">
        <f>C48+D48+E48</f>
        <v>6530510</v>
      </c>
      <c r="G48" s="13">
        <f t="shared" si="13"/>
        <v>44</v>
      </c>
      <c r="H48" s="41">
        <f t="shared" si="1"/>
        <v>0.0005184574020248973</v>
      </c>
      <c r="I48" s="46"/>
      <c r="J48" s="46">
        <v>633710</v>
      </c>
      <c r="K48" s="46"/>
      <c r="L48" s="13">
        <f t="shared" si="2"/>
        <v>633710</v>
      </c>
      <c r="M48" s="41">
        <f t="shared" si="3"/>
        <v>0.0004938516771525899</v>
      </c>
      <c r="N48" s="46"/>
      <c r="O48" s="46"/>
      <c r="P48" s="46"/>
      <c r="Q48" s="13">
        <f t="shared" si="14"/>
        <v>0</v>
      </c>
      <c r="R48" s="41">
        <f t="shared" si="4"/>
        <v>0</v>
      </c>
      <c r="S48" s="46"/>
      <c r="T48" s="46">
        <v>1055997</v>
      </c>
      <c r="U48" s="46"/>
      <c r="V48" s="13">
        <f t="shared" si="16"/>
        <v>1055997</v>
      </c>
      <c r="W48" s="41">
        <f t="shared" si="15"/>
        <v>0.0010826569521605516</v>
      </c>
      <c r="X48" s="46"/>
      <c r="Y48" s="46"/>
      <c r="Z48" s="46"/>
      <c r="AA48" s="13">
        <f t="shared" si="56"/>
        <v>0</v>
      </c>
      <c r="AB48" s="41">
        <f t="shared" si="5"/>
        <v>0</v>
      </c>
      <c r="AC48" s="46"/>
      <c r="AD48" s="46"/>
      <c r="AE48" s="46">
        <v>2180803</v>
      </c>
      <c r="AF48" s="13">
        <f t="shared" si="57"/>
        <v>2180803</v>
      </c>
      <c r="AG48" s="41">
        <f t="shared" si="6"/>
        <v>0.001889685120991802</v>
      </c>
      <c r="AH48" s="46"/>
      <c r="AI48" s="46"/>
      <c r="AJ48" s="46"/>
      <c r="AK48" s="13">
        <f t="shared" si="58"/>
        <v>0</v>
      </c>
      <c r="AL48" s="41">
        <f t="shared" si="7"/>
        <v>0</v>
      </c>
      <c r="AM48" s="46"/>
      <c r="AN48" s="46">
        <v>2500000</v>
      </c>
      <c r="AO48" s="46"/>
      <c r="AP48" s="13">
        <f t="shared" si="65"/>
        <v>2500000</v>
      </c>
      <c r="AQ48" s="41">
        <f t="shared" si="59"/>
        <v>0.001690580259167482</v>
      </c>
      <c r="AR48" s="46"/>
      <c r="AS48" s="46"/>
      <c r="AT48" s="46"/>
      <c r="AU48" s="13"/>
      <c r="AV48" s="41"/>
      <c r="AW48" s="13"/>
      <c r="AX48" s="12">
        <v>160000</v>
      </c>
      <c r="AY48" s="13"/>
      <c r="AZ48" s="13">
        <f>AW48+AX48+AY48</f>
        <v>160000</v>
      </c>
      <c r="BA48" s="41">
        <f t="shared" si="66"/>
        <v>0.0004166507579859021</v>
      </c>
      <c r="BB48" s="13"/>
      <c r="BC48" s="12"/>
      <c r="BD48" s="13"/>
      <c r="BE48" s="13"/>
      <c r="BF48" s="41"/>
      <c r="BG48" s="13"/>
      <c r="BH48" s="12"/>
      <c r="BI48" s="13"/>
      <c r="BJ48" s="13"/>
      <c r="BK48" s="41"/>
      <c r="BL48" s="13"/>
      <c r="BM48" s="12"/>
      <c r="BN48" s="13"/>
      <c r="BO48" s="13"/>
      <c r="BP48" s="41"/>
      <c r="BQ48" s="12"/>
      <c r="BR48" s="12"/>
      <c r="BS48" s="13"/>
      <c r="BT48" s="13"/>
      <c r="BU48" s="41"/>
      <c r="BV48" s="13"/>
      <c r="BW48" s="12"/>
      <c r="BX48" s="13"/>
      <c r="BY48" s="13"/>
      <c r="BZ48" s="41"/>
      <c r="CA48" s="12"/>
      <c r="CB48" s="12"/>
      <c r="CC48" s="13"/>
      <c r="CD48" s="13"/>
      <c r="CE48" s="41"/>
    </row>
    <row r="49" spans="2:83" ht="15">
      <c r="B49" s="53" t="s">
        <v>54</v>
      </c>
      <c r="C49" s="54">
        <f t="shared" si="10"/>
        <v>18395440</v>
      </c>
      <c r="D49" s="56">
        <f t="shared" si="11"/>
        <v>14691838</v>
      </c>
      <c r="E49" s="56">
        <f t="shared" si="12"/>
        <v>10149969</v>
      </c>
      <c r="F49" s="56">
        <f t="shared" si="0"/>
        <v>43237247</v>
      </c>
      <c r="G49" s="54">
        <f>RANK(F49,F$9:F$58,0)</f>
        <v>31</v>
      </c>
      <c r="H49" s="55">
        <f t="shared" si="1"/>
        <v>0.003432606450388834</v>
      </c>
      <c r="I49" s="56">
        <v>3536794</v>
      </c>
      <c r="J49" s="56">
        <v>5315369</v>
      </c>
      <c r="K49" s="56">
        <v>1324600</v>
      </c>
      <c r="L49" s="54">
        <f t="shared" si="2"/>
        <v>10176763</v>
      </c>
      <c r="M49" s="55">
        <f t="shared" si="3"/>
        <v>0.007930775079349264</v>
      </c>
      <c r="N49" s="56">
        <v>1032000</v>
      </c>
      <c r="O49" s="56">
        <v>597199</v>
      </c>
      <c r="P49" s="56">
        <v>3233983</v>
      </c>
      <c r="Q49" s="54">
        <f t="shared" si="14"/>
        <v>4863182</v>
      </c>
      <c r="R49" s="55">
        <f t="shared" si="4"/>
        <v>0.004875599420383805</v>
      </c>
      <c r="S49" s="56">
        <v>1683478</v>
      </c>
      <c r="T49" s="56">
        <v>98397</v>
      </c>
      <c r="U49" s="56">
        <v>3065838</v>
      </c>
      <c r="V49" s="54">
        <f t="shared" si="16"/>
        <v>4847713</v>
      </c>
      <c r="W49" s="55">
        <f t="shared" si="15"/>
        <v>0.004970099518776174</v>
      </c>
      <c r="X49" s="56">
        <v>684180</v>
      </c>
      <c r="Y49" s="56"/>
      <c r="Z49" s="56">
        <v>2525548</v>
      </c>
      <c r="AA49" s="54">
        <f t="shared" si="56"/>
        <v>3209728</v>
      </c>
      <c r="AB49" s="55">
        <f t="shared" si="5"/>
        <v>0.003721987486315739</v>
      </c>
      <c r="AC49" s="56"/>
      <c r="AD49" s="56">
        <v>198000</v>
      </c>
      <c r="AE49" s="56"/>
      <c r="AF49" s="54">
        <f t="shared" si="57"/>
        <v>198000</v>
      </c>
      <c r="AG49" s="55">
        <f t="shared" si="6"/>
        <v>0.00017156875424161503</v>
      </c>
      <c r="AH49" s="56">
        <v>3561376</v>
      </c>
      <c r="AI49" s="56">
        <v>2400000</v>
      </c>
      <c r="AJ49" s="56"/>
      <c r="AK49" s="54">
        <f t="shared" si="58"/>
        <v>5961376</v>
      </c>
      <c r="AL49" s="55">
        <f t="shared" si="7"/>
        <v>0.0042882538710376185</v>
      </c>
      <c r="AM49" s="56">
        <v>2809100</v>
      </c>
      <c r="AN49" s="56">
        <v>481532</v>
      </c>
      <c r="AO49" s="56"/>
      <c r="AP49" s="54">
        <f t="shared" si="65"/>
        <v>3290632</v>
      </c>
      <c r="AQ49" s="55">
        <f t="shared" si="59"/>
        <v>0.0022252309997539237</v>
      </c>
      <c r="AR49" s="56">
        <v>2679000</v>
      </c>
      <c r="AS49" s="56">
        <v>2484000</v>
      </c>
      <c r="AT49" s="56"/>
      <c r="AU49" s="54">
        <f t="shared" si="60"/>
        <v>5163000</v>
      </c>
      <c r="AV49" s="55">
        <f>AU49/AU$61</f>
        <v>0.006511880614018656</v>
      </c>
      <c r="AW49" s="54">
        <v>700000</v>
      </c>
      <c r="AX49" s="54">
        <v>1581741</v>
      </c>
      <c r="AY49" s="57"/>
      <c r="AZ49" s="54">
        <f t="shared" si="61"/>
        <v>2281741</v>
      </c>
      <c r="BA49" s="55">
        <f t="shared" si="66"/>
        <v>0.0059418069823594395</v>
      </c>
      <c r="BB49" s="54">
        <f>100000+793512</f>
        <v>893512</v>
      </c>
      <c r="BC49" s="54"/>
      <c r="BD49" s="57"/>
      <c r="BE49" s="54">
        <f t="shared" si="62"/>
        <v>893512</v>
      </c>
      <c r="BF49" s="55">
        <f aca="true" t="shared" si="67" ref="BF49:BF55">BE49/BE$61</f>
        <v>0.0016610101896299208</v>
      </c>
      <c r="BG49" s="54">
        <v>176000</v>
      </c>
      <c r="BH49" s="54"/>
      <c r="BI49" s="57"/>
      <c r="BJ49" s="54">
        <f t="shared" si="52"/>
        <v>176000</v>
      </c>
      <c r="BK49" s="55">
        <f aca="true" t="shared" si="68" ref="BK49:BK55">BJ49/BJ$61</f>
        <v>0.0002563487939485465</v>
      </c>
      <c r="BL49" s="54">
        <v>640000</v>
      </c>
      <c r="BM49" s="54">
        <v>176000</v>
      </c>
      <c r="BN49" s="57"/>
      <c r="BO49" s="54">
        <f t="shared" si="63"/>
        <v>816000</v>
      </c>
      <c r="BP49" s="55">
        <f>BO49/BO$61</f>
        <v>0.0008993944182292832</v>
      </c>
      <c r="BQ49" s="57"/>
      <c r="BR49" s="54">
        <v>759600</v>
      </c>
      <c r="BS49" s="57"/>
      <c r="BT49" s="54">
        <f t="shared" si="64"/>
        <v>759600</v>
      </c>
      <c r="BU49" s="55">
        <f aca="true" t="shared" si="69" ref="BU49:BU55">BT49/BT$61</f>
        <v>0.001603100103513499</v>
      </c>
      <c r="BV49" s="57"/>
      <c r="BW49" s="54">
        <v>600000</v>
      </c>
      <c r="BX49" s="57"/>
      <c r="BY49" s="54">
        <f t="shared" si="54"/>
        <v>600000</v>
      </c>
      <c r="BZ49" s="55">
        <f aca="true" t="shared" si="70" ref="BZ49:BZ57">BY49/BY$61</f>
        <v>0.0013998945552757814</v>
      </c>
      <c r="CA49" s="57"/>
      <c r="CB49" s="57"/>
      <c r="CC49" s="57"/>
      <c r="CD49" s="57"/>
      <c r="CE49" s="55"/>
    </row>
    <row r="50" spans="2:83" ht="15">
      <c r="B50" s="38" t="s">
        <v>55</v>
      </c>
      <c r="C50" s="13">
        <f t="shared" si="10"/>
        <v>304830576</v>
      </c>
      <c r="D50" s="46">
        <f t="shared" si="11"/>
        <v>41061322</v>
      </c>
      <c r="E50" s="46">
        <f t="shared" si="12"/>
        <v>14150743</v>
      </c>
      <c r="F50" s="46">
        <f t="shared" si="0"/>
        <v>360042641</v>
      </c>
      <c r="G50" s="39">
        <f t="shared" si="13"/>
        <v>6</v>
      </c>
      <c r="H50" s="41">
        <f t="shared" si="1"/>
        <v>0.028583797019075503</v>
      </c>
      <c r="I50" s="46">
        <v>11434460</v>
      </c>
      <c r="J50" s="46"/>
      <c r="K50" s="46">
        <v>1080000</v>
      </c>
      <c r="L50" s="39">
        <f t="shared" si="2"/>
        <v>12514460</v>
      </c>
      <c r="M50" s="41">
        <f t="shared" si="3"/>
        <v>0.009752547789460478</v>
      </c>
      <c r="N50" s="46">
        <v>48606098</v>
      </c>
      <c r="O50" s="46">
        <v>5183355</v>
      </c>
      <c r="P50" s="46"/>
      <c r="Q50" s="39">
        <f t="shared" si="14"/>
        <v>53789453</v>
      </c>
      <c r="R50" s="41">
        <f t="shared" si="4"/>
        <v>0.053926796461568144</v>
      </c>
      <c r="S50" s="46">
        <v>39467037</v>
      </c>
      <c r="T50" s="46">
        <v>7024000</v>
      </c>
      <c r="U50" s="46"/>
      <c r="V50" s="39">
        <f t="shared" si="16"/>
        <v>46491037</v>
      </c>
      <c r="W50" s="41">
        <f t="shared" si="15"/>
        <v>0.04766476081011919</v>
      </c>
      <c r="X50" s="46">
        <v>31674255</v>
      </c>
      <c r="Y50" s="46">
        <v>8663974</v>
      </c>
      <c r="Z50" s="46"/>
      <c r="AA50" s="39">
        <f t="shared" si="56"/>
        <v>40338229</v>
      </c>
      <c r="AB50" s="41">
        <f t="shared" si="5"/>
        <v>0.04677604568304188</v>
      </c>
      <c r="AC50" s="46">
        <v>16331689</v>
      </c>
      <c r="AD50" s="46">
        <v>6284654</v>
      </c>
      <c r="AE50" s="46"/>
      <c r="AF50" s="39">
        <f t="shared" si="57"/>
        <v>22616343</v>
      </c>
      <c r="AG50" s="41">
        <f t="shared" si="6"/>
        <v>0.019597261585914495</v>
      </c>
      <c r="AH50" s="46">
        <v>31395326</v>
      </c>
      <c r="AI50" s="46">
        <v>6373840</v>
      </c>
      <c r="AJ50" s="46"/>
      <c r="AK50" s="39">
        <f t="shared" si="58"/>
        <v>37769166</v>
      </c>
      <c r="AL50" s="41">
        <f t="shared" si="7"/>
        <v>0.02716885703994554</v>
      </c>
      <c r="AM50" s="46">
        <v>28614442</v>
      </c>
      <c r="AN50" s="46">
        <v>1330000</v>
      </c>
      <c r="AO50" s="46"/>
      <c r="AP50" s="39">
        <f t="shared" si="65"/>
        <v>29944442</v>
      </c>
      <c r="AQ50" s="41">
        <f t="shared" si="59"/>
        <v>0.020249393006794254</v>
      </c>
      <c r="AR50" s="46">
        <v>13475600</v>
      </c>
      <c r="AS50" s="46"/>
      <c r="AT50" s="46">
        <v>7067543</v>
      </c>
      <c r="AU50" s="39">
        <f t="shared" si="60"/>
        <v>20543143</v>
      </c>
      <c r="AV50" s="41">
        <f>AU50/AU$61</f>
        <v>0.02591022557674086</v>
      </c>
      <c r="AW50" s="39">
        <v>6021472</v>
      </c>
      <c r="AX50" s="39">
        <v>2606289</v>
      </c>
      <c r="AY50" s="45"/>
      <c r="AZ50" s="39">
        <f t="shared" si="61"/>
        <v>8627761</v>
      </c>
      <c r="BA50" s="41">
        <f t="shared" si="66"/>
        <v>0.02246726975232003</v>
      </c>
      <c r="BB50" s="39">
        <f>320000+5660000</f>
        <v>5980000</v>
      </c>
      <c r="BC50" s="39"/>
      <c r="BD50" s="45"/>
      <c r="BE50" s="39">
        <f t="shared" si="62"/>
        <v>5980000</v>
      </c>
      <c r="BF50" s="41">
        <f t="shared" si="67"/>
        <v>0.011116628466083193</v>
      </c>
      <c r="BG50" s="39">
        <v>45537704</v>
      </c>
      <c r="BH50" s="39">
        <v>778210</v>
      </c>
      <c r="BI50" s="45"/>
      <c r="BJ50" s="39">
        <f t="shared" si="52"/>
        <v>46315914</v>
      </c>
      <c r="BK50" s="41">
        <f t="shared" si="68"/>
        <v>0.06746039030979886</v>
      </c>
      <c r="BL50" s="39">
        <v>6358542</v>
      </c>
      <c r="BM50" s="39">
        <v>2685000</v>
      </c>
      <c r="BN50" s="39">
        <v>4545600</v>
      </c>
      <c r="BO50" s="39">
        <f t="shared" si="63"/>
        <v>13589142</v>
      </c>
      <c r="BP50" s="41">
        <f>BO50/BO$61</f>
        <v>0.014977939293290585</v>
      </c>
      <c r="BQ50" s="39">
        <v>14021013</v>
      </c>
      <c r="BR50" s="45"/>
      <c r="BS50" s="45"/>
      <c r="BT50" s="39">
        <f t="shared" si="64"/>
        <v>14021013</v>
      </c>
      <c r="BU50" s="41">
        <f t="shared" si="69"/>
        <v>0.029590689035892726</v>
      </c>
      <c r="BV50" s="39">
        <v>5912938</v>
      </c>
      <c r="BW50" s="39">
        <v>132000</v>
      </c>
      <c r="BX50" s="39">
        <v>1457600</v>
      </c>
      <c r="BY50" s="39">
        <f t="shared" si="54"/>
        <v>7502538</v>
      </c>
      <c r="BZ50" s="41">
        <f t="shared" si="70"/>
        <v>0.017504603494916084</v>
      </c>
      <c r="CA50" s="45"/>
      <c r="CB50" s="45"/>
      <c r="CC50" s="45"/>
      <c r="CD50" s="45"/>
      <c r="CE50" s="41"/>
    </row>
    <row r="51" spans="2:83" ht="15">
      <c r="B51" s="38" t="s">
        <v>56</v>
      </c>
      <c r="C51" s="39">
        <f t="shared" si="10"/>
        <v>41668973</v>
      </c>
      <c r="D51" s="46">
        <f t="shared" si="11"/>
        <v>1550000</v>
      </c>
      <c r="E51" s="46">
        <f t="shared" si="12"/>
        <v>223182</v>
      </c>
      <c r="F51" s="46">
        <f t="shared" si="0"/>
        <v>43442155</v>
      </c>
      <c r="G51" s="39">
        <f t="shared" si="13"/>
        <v>30</v>
      </c>
      <c r="H51" s="41">
        <f t="shared" si="1"/>
        <v>0.00344887410319606</v>
      </c>
      <c r="I51" s="46">
        <v>6013058</v>
      </c>
      <c r="J51" s="46"/>
      <c r="K51" s="46">
        <v>223182</v>
      </c>
      <c r="L51" s="39">
        <f t="shared" si="2"/>
        <v>6236240</v>
      </c>
      <c r="M51" s="41">
        <f t="shared" si="3"/>
        <v>0.004859916338902759</v>
      </c>
      <c r="N51" s="46">
        <v>2480668</v>
      </c>
      <c r="O51" s="46"/>
      <c r="P51" s="46"/>
      <c r="Q51" s="39">
        <f t="shared" si="14"/>
        <v>2480668</v>
      </c>
      <c r="R51" s="41">
        <f t="shared" si="4"/>
        <v>0.002487002021097432</v>
      </c>
      <c r="S51" s="46">
        <v>2245356</v>
      </c>
      <c r="T51" s="46">
        <v>1250000</v>
      </c>
      <c r="U51" s="46"/>
      <c r="V51" s="39">
        <f t="shared" si="16"/>
        <v>3495356</v>
      </c>
      <c r="W51" s="41">
        <f t="shared" si="15"/>
        <v>0.0035836005913616204</v>
      </c>
      <c r="X51" s="46">
        <v>3605713</v>
      </c>
      <c r="Y51" s="46"/>
      <c r="Z51" s="46"/>
      <c r="AA51" s="39">
        <f t="shared" si="56"/>
        <v>3605713</v>
      </c>
      <c r="AB51" s="41">
        <f t="shared" si="5"/>
        <v>0.004181170075858759</v>
      </c>
      <c r="AC51" s="46">
        <v>5605000</v>
      </c>
      <c r="AD51" s="46"/>
      <c r="AE51" s="46"/>
      <c r="AF51" s="39">
        <f t="shared" si="57"/>
        <v>5605000</v>
      </c>
      <c r="AG51" s="41">
        <f t="shared" si="6"/>
        <v>0.004856782159213395</v>
      </c>
      <c r="AH51" s="46">
        <v>7318883</v>
      </c>
      <c r="AI51" s="46"/>
      <c r="AJ51" s="46"/>
      <c r="AK51" s="39">
        <f t="shared" si="58"/>
        <v>7318883</v>
      </c>
      <c r="AL51" s="41">
        <f t="shared" si="7"/>
        <v>0.005264762423376988</v>
      </c>
      <c r="AM51" s="46">
        <v>7612275</v>
      </c>
      <c r="AN51" s="46"/>
      <c r="AO51" s="46"/>
      <c r="AP51" s="39">
        <f t="shared" si="65"/>
        <v>7612275</v>
      </c>
      <c r="AQ51" s="41">
        <f t="shared" si="59"/>
        <v>0.005147664736941658</v>
      </c>
      <c r="AR51" s="46">
        <v>1500000</v>
      </c>
      <c r="AS51" s="46"/>
      <c r="AT51" s="46"/>
      <c r="AU51" s="39">
        <f t="shared" si="60"/>
        <v>1500000</v>
      </c>
      <c r="AV51" s="41">
        <f>AU51/AU$61</f>
        <v>0.0018918886153453387</v>
      </c>
      <c r="AW51" s="39">
        <v>60000</v>
      </c>
      <c r="AX51" s="45">
        <v>300000</v>
      </c>
      <c r="AY51" s="45"/>
      <c r="AZ51" s="39">
        <f t="shared" si="61"/>
        <v>360000</v>
      </c>
      <c r="BA51" s="41">
        <f t="shared" si="66"/>
        <v>0.0009374642054682797</v>
      </c>
      <c r="BB51" s="39">
        <v>755000</v>
      </c>
      <c r="BC51" s="45"/>
      <c r="BD51" s="45"/>
      <c r="BE51" s="39">
        <f t="shared" si="62"/>
        <v>755000</v>
      </c>
      <c r="BF51" s="41">
        <f t="shared" si="67"/>
        <v>0.0014035208180422762</v>
      </c>
      <c r="BG51" s="39">
        <v>234000</v>
      </c>
      <c r="BH51" s="45"/>
      <c r="BI51" s="45"/>
      <c r="BJ51" s="39">
        <f t="shared" si="52"/>
        <v>234000</v>
      </c>
      <c r="BK51" s="41">
        <f t="shared" si="68"/>
        <v>0.0003408273737724993</v>
      </c>
      <c r="BL51" s="39">
        <v>1749020</v>
      </c>
      <c r="BM51" s="45"/>
      <c r="BN51" s="45"/>
      <c r="BO51" s="39">
        <f t="shared" si="63"/>
        <v>1749020</v>
      </c>
      <c r="BP51" s="41">
        <f>BO51/BO$61</f>
        <v>0.0019277681683472804</v>
      </c>
      <c r="BQ51" s="39">
        <v>90000</v>
      </c>
      <c r="BR51" s="45"/>
      <c r="BS51" s="45"/>
      <c r="BT51" s="39">
        <f t="shared" si="64"/>
        <v>90000</v>
      </c>
      <c r="BU51" s="41">
        <f t="shared" si="69"/>
        <v>0.00018994077055847146</v>
      </c>
      <c r="BV51" s="39">
        <v>2400000</v>
      </c>
      <c r="BW51" s="45"/>
      <c r="BX51" s="45"/>
      <c r="BY51" s="39">
        <f t="shared" si="54"/>
        <v>2400000</v>
      </c>
      <c r="BZ51" s="41">
        <f t="shared" si="70"/>
        <v>0.005599578221103125</v>
      </c>
      <c r="CA51" s="45"/>
      <c r="CB51" s="45"/>
      <c r="CC51" s="45"/>
      <c r="CD51" s="45"/>
      <c r="CE51" s="41"/>
    </row>
    <row r="52" spans="2:83" ht="15">
      <c r="B52" s="38" t="s">
        <v>57</v>
      </c>
      <c r="C52" s="39">
        <f t="shared" si="10"/>
        <v>45660173</v>
      </c>
      <c r="D52" s="46">
        <f t="shared" si="11"/>
        <v>29602009</v>
      </c>
      <c r="E52" s="46">
        <f t="shared" si="12"/>
        <v>0</v>
      </c>
      <c r="F52" s="46">
        <f t="shared" si="0"/>
        <v>75262182</v>
      </c>
      <c r="G52" s="39">
        <f t="shared" si="13"/>
        <v>23</v>
      </c>
      <c r="H52" s="41">
        <f t="shared" si="1"/>
        <v>0.005975067085180941</v>
      </c>
      <c r="I52" s="46">
        <v>5514201</v>
      </c>
      <c r="J52" s="46"/>
      <c r="K52" s="46"/>
      <c r="L52" s="39">
        <f t="shared" si="2"/>
        <v>5514201</v>
      </c>
      <c r="M52" s="41">
        <f t="shared" si="3"/>
        <v>0.004297229666576965</v>
      </c>
      <c r="N52" s="46">
        <v>4266271</v>
      </c>
      <c r="O52" s="46"/>
      <c r="P52" s="46"/>
      <c r="Q52" s="39">
        <f t="shared" si="14"/>
        <v>4266271</v>
      </c>
      <c r="R52" s="41">
        <f t="shared" si="4"/>
        <v>0.00427716429588698</v>
      </c>
      <c r="S52" s="46">
        <v>1976527</v>
      </c>
      <c r="T52" s="46">
        <v>1590648</v>
      </c>
      <c r="U52" s="46"/>
      <c r="V52" s="39">
        <f t="shared" si="16"/>
        <v>3567175</v>
      </c>
      <c r="W52" s="41">
        <f t="shared" si="15"/>
        <v>0.0036572327509673945</v>
      </c>
      <c r="X52" s="46">
        <v>4525605</v>
      </c>
      <c r="Y52" s="46">
        <v>128000</v>
      </c>
      <c r="Z52" s="46"/>
      <c r="AA52" s="39">
        <f t="shared" si="56"/>
        <v>4653605</v>
      </c>
      <c r="AB52" s="41">
        <f t="shared" si="5"/>
        <v>0.005396301361441329</v>
      </c>
      <c r="AC52" s="46">
        <v>4710658</v>
      </c>
      <c r="AD52" s="46">
        <v>72267</v>
      </c>
      <c r="AE52" s="46"/>
      <c r="AF52" s="39">
        <f t="shared" si="57"/>
        <v>4782925</v>
      </c>
      <c r="AG52" s="41">
        <f t="shared" si="6"/>
        <v>0.004144446888288265</v>
      </c>
      <c r="AH52" s="46">
        <v>6366838</v>
      </c>
      <c r="AI52" s="46">
        <v>2996000</v>
      </c>
      <c r="AJ52" s="46"/>
      <c r="AK52" s="39">
        <f t="shared" si="58"/>
        <v>9362838</v>
      </c>
      <c r="AL52" s="41">
        <f t="shared" si="7"/>
        <v>0.0067350602104947095</v>
      </c>
      <c r="AM52" s="46">
        <v>1712000</v>
      </c>
      <c r="AN52" s="46">
        <v>4637780</v>
      </c>
      <c r="AO52" s="46"/>
      <c r="AP52" s="39">
        <f t="shared" si="65"/>
        <v>6349780</v>
      </c>
      <c r="AQ52" s="41">
        <f t="shared" si="59"/>
        <v>0.004293925087222598</v>
      </c>
      <c r="AR52" s="46">
        <v>3501817</v>
      </c>
      <c r="AS52" s="46">
        <v>6256402</v>
      </c>
      <c r="AT52" s="46"/>
      <c r="AU52" s="39">
        <f t="shared" si="60"/>
        <v>9758219</v>
      </c>
      <c r="AV52" s="41">
        <f>AU52/AU$61</f>
        <v>0.012307642288097716</v>
      </c>
      <c r="AW52" s="39">
        <v>5926888</v>
      </c>
      <c r="AX52" s="39"/>
      <c r="AY52" s="45"/>
      <c r="AZ52" s="39">
        <f t="shared" si="61"/>
        <v>5926888</v>
      </c>
      <c r="BA52" s="41">
        <f t="shared" si="66"/>
        <v>0.015434014860609671</v>
      </c>
      <c r="BB52" s="39">
        <f>132000+2175348</f>
        <v>2307348</v>
      </c>
      <c r="BC52" s="39">
        <f>200000+2740000</f>
        <v>2940000</v>
      </c>
      <c r="BD52" s="45"/>
      <c r="BE52" s="39">
        <f t="shared" si="62"/>
        <v>5247348</v>
      </c>
      <c r="BF52" s="41">
        <f t="shared" si="67"/>
        <v>0.00975465186425497</v>
      </c>
      <c r="BG52" s="39">
        <v>3586700</v>
      </c>
      <c r="BH52" s="39">
        <v>1448283</v>
      </c>
      <c r="BI52" s="45"/>
      <c r="BJ52" s="39">
        <f t="shared" si="52"/>
        <v>5034983</v>
      </c>
      <c r="BK52" s="41">
        <f t="shared" si="68"/>
        <v>0.007333589884099059</v>
      </c>
      <c r="BL52" s="39">
        <f>3126160-2558800</f>
        <v>567360</v>
      </c>
      <c r="BM52" s="39">
        <v>2558800</v>
      </c>
      <c r="BN52" s="45"/>
      <c r="BO52" s="39">
        <f t="shared" si="63"/>
        <v>3126160</v>
      </c>
      <c r="BP52" s="41">
        <f>BO52/BO$61</f>
        <v>0.0034456505569750687</v>
      </c>
      <c r="BQ52" s="39">
        <v>545960</v>
      </c>
      <c r="BR52" s="39">
        <v>1053620</v>
      </c>
      <c r="BS52" s="45"/>
      <c r="BT52" s="39">
        <f t="shared" si="64"/>
        <v>1599580</v>
      </c>
      <c r="BU52" s="41">
        <f t="shared" si="69"/>
        <v>0.003375838419665775</v>
      </c>
      <c r="BV52" s="39">
        <v>152000</v>
      </c>
      <c r="BW52" s="39">
        <v>5530209</v>
      </c>
      <c r="BX52" s="45"/>
      <c r="BY52" s="39">
        <f t="shared" si="54"/>
        <v>5682209</v>
      </c>
      <c r="BZ52" s="41">
        <f t="shared" si="70"/>
        <v>0.013257489068398404</v>
      </c>
      <c r="CA52" s="45"/>
      <c r="CB52" s="39">
        <v>390000</v>
      </c>
      <c r="CC52" s="45"/>
      <c r="CD52" s="39">
        <f>SUM(CA52:CC52)</f>
        <v>390000</v>
      </c>
      <c r="CE52" s="41">
        <f>CD52/CD$61</f>
        <v>0.0016012692103189385</v>
      </c>
    </row>
    <row r="53" spans="2:83" ht="15">
      <c r="B53" t="s">
        <v>58</v>
      </c>
      <c r="C53" s="39">
        <f t="shared" si="10"/>
        <v>76578852</v>
      </c>
      <c r="D53" s="46">
        <f t="shared" si="11"/>
        <v>215056259</v>
      </c>
      <c r="E53" s="46">
        <f t="shared" si="12"/>
        <v>43718727</v>
      </c>
      <c r="F53" s="46">
        <f t="shared" si="0"/>
        <v>335353838</v>
      </c>
      <c r="G53" s="13">
        <f t="shared" si="13"/>
        <v>8</v>
      </c>
      <c r="H53" s="41">
        <f t="shared" si="1"/>
        <v>0.02662375214317998</v>
      </c>
      <c r="I53" s="46">
        <v>5595120</v>
      </c>
      <c r="J53" s="46">
        <v>9689994</v>
      </c>
      <c r="K53" s="46">
        <v>29083687</v>
      </c>
      <c r="L53" s="13">
        <f t="shared" si="2"/>
        <v>44368801</v>
      </c>
      <c r="M53" s="41">
        <f t="shared" si="3"/>
        <v>0.034576709831152276</v>
      </c>
      <c r="N53" s="46">
        <v>1409800</v>
      </c>
      <c r="O53" s="46">
        <v>12144203</v>
      </c>
      <c r="P53" s="46"/>
      <c r="Q53" s="13">
        <f t="shared" si="14"/>
        <v>13554003</v>
      </c>
      <c r="R53" s="41">
        <f t="shared" si="4"/>
        <v>0.013588611154318376</v>
      </c>
      <c r="S53" s="46">
        <v>7537160</v>
      </c>
      <c r="T53" s="46">
        <v>33349698</v>
      </c>
      <c r="U53" s="46">
        <v>3026170</v>
      </c>
      <c r="V53" s="13">
        <f t="shared" si="16"/>
        <v>43913028</v>
      </c>
      <c r="W53" s="41">
        <f t="shared" si="15"/>
        <v>0.045021666779944416</v>
      </c>
      <c r="X53" s="46">
        <v>6384076</v>
      </c>
      <c r="Y53" s="46">
        <v>24374392</v>
      </c>
      <c r="Z53" s="46">
        <v>3349830</v>
      </c>
      <c r="AA53" s="13">
        <f t="shared" si="56"/>
        <v>34108298</v>
      </c>
      <c r="AB53" s="41">
        <f t="shared" si="5"/>
        <v>0.039551843126747234</v>
      </c>
      <c r="AC53" s="46">
        <v>3158440</v>
      </c>
      <c r="AD53" s="46">
        <v>15600564</v>
      </c>
      <c r="AE53" s="46">
        <v>2850000</v>
      </c>
      <c r="AF53" s="13">
        <f t="shared" si="57"/>
        <v>21609004</v>
      </c>
      <c r="AG53" s="41">
        <f t="shared" si="6"/>
        <v>0.018724393417586242</v>
      </c>
      <c r="AH53" s="46">
        <v>4534000</v>
      </c>
      <c r="AI53" s="46">
        <v>23269733</v>
      </c>
      <c r="AJ53" s="46">
        <v>5409040</v>
      </c>
      <c r="AK53" s="13">
        <f t="shared" si="58"/>
        <v>33212773</v>
      </c>
      <c r="AL53" s="41">
        <f t="shared" si="7"/>
        <v>0.0238912630884453</v>
      </c>
      <c r="AM53" s="46">
        <v>3319880</v>
      </c>
      <c r="AN53" s="46">
        <v>14648365</v>
      </c>
      <c r="AO53" s="46"/>
      <c r="AP53" s="13">
        <f t="shared" si="65"/>
        <v>17968245</v>
      </c>
      <c r="AQ53" s="41">
        <f t="shared" si="59"/>
        <v>0.012150704115553926</v>
      </c>
      <c r="AR53" s="46">
        <v>12876576</v>
      </c>
      <c r="AS53" s="46">
        <v>21208000</v>
      </c>
      <c r="AT53" s="46"/>
      <c r="AU53" s="13">
        <f t="shared" si="60"/>
        <v>34084576</v>
      </c>
      <c r="AV53" s="41">
        <f>AU53/AU$61</f>
        <v>0.042989480862181975</v>
      </c>
      <c r="AW53" s="13">
        <v>4272000</v>
      </c>
      <c r="AX53" s="13">
        <v>13036800</v>
      </c>
      <c r="AY53" s="12"/>
      <c r="AZ53" s="13">
        <f t="shared" si="61"/>
        <v>17308800</v>
      </c>
      <c r="BA53" s="41">
        <f t="shared" si="66"/>
        <v>0.04507327899891489</v>
      </c>
      <c r="BB53" s="13">
        <f>258400+3698800</f>
        <v>3957200</v>
      </c>
      <c r="BC53" s="13">
        <v>8550386</v>
      </c>
      <c r="BD53" s="12"/>
      <c r="BE53" s="13">
        <f t="shared" si="62"/>
        <v>12507586</v>
      </c>
      <c r="BF53" s="41">
        <f t="shared" si="67"/>
        <v>0.0232512017674889</v>
      </c>
      <c r="BG53" s="13">
        <v>5516600</v>
      </c>
      <c r="BH53" s="13">
        <v>9476000</v>
      </c>
      <c r="BI53" s="12"/>
      <c r="BJ53" s="13">
        <f t="shared" si="52"/>
        <v>14992600</v>
      </c>
      <c r="BK53" s="41">
        <f t="shared" si="68"/>
        <v>0.021837130273596465</v>
      </c>
      <c r="BL53" s="13">
        <f>11129000-8300000</f>
        <v>2829000</v>
      </c>
      <c r="BM53" s="13">
        <v>8300000</v>
      </c>
      <c r="BN53" s="12"/>
      <c r="BO53" s="13">
        <f t="shared" si="63"/>
        <v>11129000</v>
      </c>
      <c r="BP53" s="41">
        <f>BO53/BO$61</f>
        <v>0.012266373137835407</v>
      </c>
      <c r="BQ53" s="13">
        <v>7805000</v>
      </c>
      <c r="BR53" s="13">
        <v>8552280</v>
      </c>
      <c r="BS53" s="12"/>
      <c r="BT53" s="13">
        <f t="shared" si="64"/>
        <v>16357280</v>
      </c>
      <c r="BU53" s="41">
        <f t="shared" si="69"/>
        <v>0.03452127074934082</v>
      </c>
      <c r="BV53" s="13">
        <v>1240000</v>
      </c>
      <c r="BW53" s="13">
        <v>12855844</v>
      </c>
      <c r="BX53" s="12"/>
      <c r="BY53" s="13">
        <f t="shared" si="54"/>
        <v>14095844</v>
      </c>
      <c r="BZ53" s="41">
        <f t="shared" si="70"/>
        <v>0.03288782544602799</v>
      </c>
      <c r="CA53" s="13">
        <v>6144000</v>
      </c>
      <c r="CB53" s="12"/>
      <c r="CC53" s="12"/>
      <c r="CD53" s="13">
        <f>SUM(CA53:CC53)</f>
        <v>6144000</v>
      </c>
      <c r="CE53" s="41">
        <f>CD53/CD$61</f>
        <v>0.025226148790255278</v>
      </c>
    </row>
    <row r="54" spans="2:83" ht="15">
      <c r="B54" s="53" t="s">
        <v>59</v>
      </c>
      <c r="C54" s="54">
        <f t="shared" si="10"/>
        <v>0</v>
      </c>
      <c r="D54" s="56">
        <f t="shared" si="11"/>
        <v>12584947</v>
      </c>
      <c r="E54" s="56">
        <f t="shared" si="12"/>
        <v>0</v>
      </c>
      <c r="F54" s="56">
        <f t="shared" si="0"/>
        <v>12584947</v>
      </c>
      <c r="G54" s="54">
        <f>RANK(F54,F$9:F$58,0)</f>
        <v>39</v>
      </c>
      <c r="H54" s="55">
        <f t="shared" si="1"/>
        <v>0.000999119353043028</v>
      </c>
      <c r="I54" s="56"/>
      <c r="J54" s="56"/>
      <c r="K54" s="56"/>
      <c r="L54" s="54">
        <f t="shared" si="2"/>
        <v>0</v>
      </c>
      <c r="M54" s="55">
        <f t="shared" si="3"/>
        <v>0</v>
      </c>
      <c r="N54" s="56"/>
      <c r="O54" s="56"/>
      <c r="P54" s="56"/>
      <c r="Q54" s="54">
        <f t="shared" si="14"/>
        <v>0</v>
      </c>
      <c r="R54" s="55">
        <f t="shared" si="4"/>
        <v>0</v>
      </c>
      <c r="S54" s="56"/>
      <c r="T54" s="56"/>
      <c r="U54" s="56"/>
      <c r="V54" s="54"/>
      <c r="W54" s="55"/>
      <c r="X54" s="56"/>
      <c r="Y54" s="56">
        <v>1000000</v>
      </c>
      <c r="Z54" s="56"/>
      <c r="AA54" s="54">
        <f>X54+Y54+Z54</f>
        <v>1000000</v>
      </c>
      <c r="AB54" s="55">
        <f t="shared" si="5"/>
        <v>0.0011595959178833032</v>
      </c>
      <c r="AC54" s="56"/>
      <c r="AD54" s="56"/>
      <c r="AE54" s="56"/>
      <c r="AF54" s="54"/>
      <c r="AG54" s="55"/>
      <c r="AH54" s="56"/>
      <c r="AI54" s="56"/>
      <c r="AJ54" s="56"/>
      <c r="AK54" s="54">
        <f>AH54+AI54+AJ54</f>
        <v>0</v>
      </c>
      <c r="AL54" s="55">
        <f t="shared" si="7"/>
        <v>0</v>
      </c>
      <c r="AM54" s="56"/>
      <c r="AN54" s="56"/>
      <c r="AO54" s="56"/>
      <c r="AP54" s="54"/>
      <c r="AQ54" s="55"/>
      <c r="AR54" s="56"/>
      <c r="AS54" s="56"/>
      <c r="AT54" s="56"/>
      <c r="AU54" s="54"/>
      <c r="AV54" s="55"/>
      <c r="AW54" s="57"/>
      <c r="AX54" s="57"/>
      <c r="AY54" s="57"/>
      <c r="AZ54" s="54"/>
      <c r="BA54" s="55"/>
      <c r="BB54" s="57"/>
      <c r="BC54" s="57">
        <v>4100000</v>
      </c>
      <c r="BD54" s="57"/>
      <c r="BE54" s="54">
        <f t="shared" si="62"/>
        <v>4100000</v>
      </c>
      <c r="BF54" s="55">
        <f t="shared" si="67"/>
        <v>0.00762176868075938</v>
      </c>
      <c r="BG54" s="57"/>
      <c r="BH54" s="57"/>
      <c r="BI54" s="57"/>
      <c r="BJ54" s="54"/>
      <c r="BK54" s="55">
        <f t="shared" si="68"/>
        <v>0</v>
      </c>
      <c r="BL54" s="57"/>
      <c r="BM54" s="57"/>
      <c r="BN54" s="57"/>
      <c r="BO54" s="57"/>
      <c r="BP54" s="55"/>
      <c r="BQ54" s="57"/>
      <c r="BR54" s="54">
        <v>1380750</v>
      </c>
      <c r="BS54" s="57"/>
      <c r="BT54" s="54">
        <f t="shared" si="64"/>
        <v>1380750</v>
      </c>
      <c r="BU54" s="55">
        <f t="shared" si="69"/>
        <v>0.002914007988317883</v>
      </c>
      <c r="BV54" s="57"/>
      <c r="BW54" s="54">
        <v>6104197</v>
      </c>
      <c r="BX54" s="57"/>
      <c r="BY54" s="54">
        <f t="shared" si="54"/>
        <v>6104197</v>
      </c>
      <c r="BZ54" s="55">
        <f t="shared" si="70"/>
        <v>0.014242053574384598</v>
      </c>
      <c r="CA54" s="57"/>
      <c r="CB54" s="57"/>
      <c r="CC54" s="57"/>
      <c r="CD54" s="57"/>
      <c r="CE54" s="55"/>
    </row>
    <row r="55" spans="2:83" ht="15">
      <c r="B55" s="38" t="s">
        <v>60</v>
      </c>
      <c r="C55" s="13">
        <f t="shared" si="10"/>
        <v>140635476</v>
      </c>
      <c r="D55" s="46">
        <f t="shared" si="11"/>
        <v>130447660</v>
      </c>
      <c r="E55" s="46">
        <f t="shared" si="12"/>
        <v>1689567</v>
      </c>
      <c r="F55" s="46">
        <f t="shared" si="0"/>
        <v>272772703</v>
      </c>
      <c r="G55" s="39">
        <f t="shared" si="13"/>
        <v>13</v>
      </c>
      <c r="H55" s="41">
        <f t="shared" si="1"/>
        <v>0.021655433793178313</v>
      </c>
      <c r="I55" s="46">
        <v>2989264</v>
      </c>
      <c r="J55" s="46"/>
      <c r="K55" s="46">
        <v>1254067</v>
      </c>
      <c r="L55" s="39">
        <f t="shared" si="2"/>
        <v>4243331</v>
      </c>
      <c r="M55" s="41">
        <f t="shared" si="3"/>
        <v>0.0033068377192463057</v>
      </c>
      <c r="N55" s="46">
        <v>15066337</v>
      </c>
      <c r="O55" s="46">
        <v>2763392</v>
      </c>
      <c r="P55" s="46"/>
      <c r="Q55" s="39">
        <f t="shared" si="14"/>
        <v>17829729</v>
      </c>
      <c r="R55" s="41">
        <f t="shared" si="4"/>
        <v>0.017875254592158038</v>
      </c>
      <c r="S55" s="46">
        <v>4095247</v>
      </c>
      <c r="T55" s="46">
        <v>7709735</v>
      </c>
      <c r="U55" s="46"/>
      <c r="V55" s="39">
        <f>S55+T55+U55</f>
        <v>11804982</v>
      </c>
      <c r="W55" s="41">
        <f t="shared" si="15"/>
        <v>0.012103013391543889</v>
      </c>
      <c r="X55" s="46">
        <v>14239476</v>
      </c>
      <c r="Y55" s="46">
        <v>2323469</v>
      </c>
      <c r="Z55" s="46">
        <v>435500</v>
      </c>
      <c r="AA55" s="39">
        <f>X55+Y55+Z55</f>
        <v>16998445</v>
      </c>
      <c r="AB55" s="41">
        <f t="shared" si="5"/>
        <v>0.019711327432363847</v>
      </c>
      <c r="AC55" s="46">
        <v>7025823</v>
      </c>
      <c r="AD55" s="46">
        <v>9936033</v>
      </c>
      <c r="AE55" s="46"/>
      <c r="AF55" s="39">
        <f>AC55+AD55+AE55</f>
        <v>16961856</v>
      </c>
      <c r="AG55" s="41">
        <f t="shared" si="6"/>
        <v>0.014697598502755874</v>
      </c>
      <c r="AH55" s="46">
        <v>28989000</v>
      </c>
      <c r="AI55" s="46">
        <v>5889103</v>
      </c>
      <c r="AJ55" s="46"/>
      <c r="AK55" s="39">
        <f>AH55+AI55+AJ55</f>
        <v>34878103</v>
      </c>
      <c r="AL55" s="41">
        <f t="shared" si="7"/>
        <v>0.02508920091673445</v>
      </c>
      <c r="AM55" s="46">
        <v>13592580</v>
      </c>
      <c r="AN55" s="46">
        <v>80836290</v>
      </c>
      <c r="AO55" s="46"/>
      <c r="AP55" s="39">
        <f>AM55+AN55+AO55</f>
        <v>94428870</v>
      </c>
      <c r="AQ55" s="41">
        <f>AP55/AP$61</f>
        <v>0.06385583340699699</v>
      </c>
      <c r="AR55" s="46">
        <v>899500</v>
      </c>
      <c r="AS55" s="46">
        <v>94714</v>
      </c>
      <c r="AT55" s="46"/>
      <c r="AU55" s="39">
        <f>AR55+AS55+AT55</f>
        <v>994214</v>
      </c>
      <c r="AV55" s="41">
        <f>AU55/AU$61</f>
        <v>0.001253961431877967</v>
      </c>
      <c r="AW55" s="39">
        <v>6254628</v>
      </c>
      <c r="AX55" s="39">
        <v>8193034</v>
      </c>
      <c r="AY55" s="45"/>
      <c r="AZ55" s="39">
        <f t="shared" si="61"/>
        <v>14447662</v>
      </c>
      <c r="BA55" s="41">
        <f>AZ55/AZ$61</f>
        <v>0.03762268327140072</v>
      </c>
      <c r="BB55" s="39">
        <f>1078756+8819771</f>
        <v>9898527</v>
      </c>
      <c r="BC55" s="39">
        <f>47000+1799523</f>
        <v>1846523</v>
      </c>
      <c r="BD55" s="45"/>
      <c r="BE55" s="39">
        <f t="shared" si="62"/>
        <v>11745050</v>
      </c>
      <c r="BF55" s="41">
        <f t="shared" si="67"/>
        <v>0.021833671766817796</v>
      </c>
      <c r="BG55" s="39">
        <v>10890203</v>
      </c>
      <c r="BH55" s="39">
        <v>7701599</v>
      </c>
      <c r="BI55" s="45"/>
      <c r="BJ55" s="39">
        <f>BG55+BH55+BI55</f>
        <v>18591802</v>
      </c>
      <c r="BK55" s="41">
        <f t="shared" si="68"/>
        <v>0.027079466022898718</v>
      </c>
      <c r="BL55" s="39">
        <v>4551095</v>
      </c>
      <c r="BM55" s="39">
        <v>914020</v>
      </c>
      <c r="BN55" s="45"/>
      <c r="BO55" s="39">
        <f>BL55+BM55+BN55</f>
        <v>5465115</v>
      </c>
      <c r="BP55" s="41">
        <f>BO55/BO$61</f>
        <v>0.006023644517133737</v>
      </c>
      <c r="BQ55" s="39">
        <v>8114200</v>
      </c>
      <c r="BR55" s="39">
        <v>1207448</v>
      </c>
      <c r="BS55" s="45"/>
      <c r="BT55" s="39">
        <f t="shared" si="64"/>
        <v>9321648</v>
      </c>
      <c r="BU55" s="41">
        <f t="shared" si="69"/>
        <v>0.019672900044387046</v>
      </c>
      <c r="BV55" s="39">
        <v>14029596</v>
      </c>
      <c r="BW55" s="39">
        <v>1032300</v>
      </c>
      <c r="BX55" s="45"/>
      <c r="BY55" s="39">
        <f t="shared" si="54"/>
        <v>15061896</v>
      </c>
      <c r="BZ55" s="41">
        <f t="shared" si="70"/>
        <v>0.035141777004216786</v>
      </c>
      <c r="CA55" s="45"/>
      <c r="CB55" s="45"/>
      <c r="CC55" s="45"/>
      <c r="CD55" s="45"/>
      <c r="CE55" s="41"/>
    </row>
    <row r="56" spans="2:83" ht="15">
      <c r="B56" s="38" t="s">
        <v>61</v>
      </c>
      <c r="C56" s="39">
        <f t="shared" si="10"/>
        <v>291246</v>
      </c>
      <c r="D56" s="46">
        <f t="shared" si="11"/>
        <v>0</v>
      </c>
      <c r="E56" s="46">
        <f t="shared" si="12"/>
        <v>0</v>
      </c>
      <c r="F56" s="46">
        <f t="shared" si="0"/>
        <v>291246</v>
      </c>
      <c r="G56" s="13">
        <f t="shared" si="13"/>
        <v>49</v>
      </c>
      <c r="H56" s="41">
        <f t="shared" si="1"/>
        <v>2.3122029444889177E-05</v>
      </c>
      <c r="I56" s="46"/>
      <c r="J56" s="46"/>
      <c r="K56" s="46"/>
      <c r="L56" s="13">
        <f t="shared" si="2"/>
        <v>0</v>
      </c>
      <c r="M56" s="41">
        <f t="shared" si="3"/>
        <v>0</v>
      </c>
      <c r="N56" s="46"/>
      <c r="O56" s="46"/>
      <c r="P56" s="46"/>
      <c r="Q56" s="13">
        <f t="shared" si="14"/>
        <v>0</v>
      </c>
      <c r="R56" s="41">
        <f t="shared" si="4"/>
        <v>0</v>
      </c>
      <c r="S56" s="46"/>
      <c r="T56" s="46"/>
      <c r="U56" s="46"/>
      <c r="V56" s="13"/>
      <c r="W56" s="41"/>
      <c r="X56" s="46"/>
      <c r="Y56" s="46"/>
      <c r="Z56" s="46"/>
      <c r="AA56" s="13">
        <f>X56+Y56+Z56</f>
        <v>0</v>
      </c>
      <c r="AB56" s="41">
        <f t="shared" si="5"/>
        <v>0</v>
      </c>
      <c r="AC56" s="46"/>
      <c r="AD56" s="46"/>
      <c r="AE56" s="46"/>
      <c r="AF56" s="39"/>
      <c r="AG56" s="41"/>
      <c r="AH56" s="46"/>
      <c r="AI56" s="46"/>
      <c r="AJ56" s="46"/>
      <c r="AK56" s="39">
        <f>AH56+AI56+AJ56</f>
        <v>0</v>
      </c>
      <c r="AL56" s="41">
        <f t="shared" si="7"/>
        <v>0</v>
      </c>
      <c r="AM56" s="46"/>
      <c r="AN56" s="46"/>
      <c r="AO56" s="46"/>
      <c r="AP56" s="45"/>
      <c r="AQ56" s="41"/>
      <c r="AR56" s="46"/>
      <c r="AS56" s="46"/>
      <c r="AT56" s="46"/>
      <c r="AU56" s="45"/>
      <c r="AV56" s="41"/>
      <c r="AW56" s="38"/>
      <c r="AX56" s="45"/>
      <c r="AY56" s="45"/>
      <c r="AZ56" s="45"/>
      <c r="BA56" s="41"/>
      <c r="BB56" s="38"/>
      <c r="BC56" s="45"/>
      <c r="BD56" s="45"/>
      <c r="BE56" s="45"/>
      <c r="BF56" s="41"/>
      <c r="BG56" s="45"/>
      <c r="BH56" s="45"/>
      <c r="BI56" s="45"/>
      <c r="BJ56" s="39"/>
      <c r="BK56" s="41"/>
      <c r="BL56" s="45"/>
      <c r="BM56" s="45"/>
      <c r="BN56" s="45"/>
      <c r="BO56" s="45"/>
      <c r="BP56" s="41"/>
      <c r="BQ56" s="45"/>
      <c r="BR56" s="45"/>
      <c r="BS56" s="45"/>
      <c r="BT56" s="45"/>
      <c r="BU56" s="41"/>
      <c r="BV56" s="39">
        <v>291246</v>
      </c>
      <c r="BW56" s="45"/>
      <c r="BX56" s="45"/>
      <c r="BY56" s="39">
        <f t="shared" si="54"/>
        <v>291246</v>
      </c>
      <c r="BZ56" s="41">
        <f t="shared" si="70"/>
        <v>0.0006795228160764171</v>
      </c>
      <c r="CA56" s="45"/>
      <c r="CB56" s="45"/>
      <c r="CC56" s="45"/>
      <c r="CD56" s="45"/>
      <c r="CE56" s="41"/>
    </row>
    <row r="57" spans="2:83" ht="15">
      <c r="B57" t="s">
        <v>62</v>
      </c>
      <c r="C57" s="39">
        <f t="shared" si="10"/>
        <v>57504578</v>
      </c>
      <c r="D57" s="46">
        <f t="shared" si="11"/>
        <v>7000000</v>
      </c>
      <c r="E57" s="46">
        <f t="shared" si="12"/>
        <v>0</v>
      </c>
      <c r="F57" s="46">
        <f t="shared" si="0"/>
        <v>64504578</v>
      </c>
      <c r="G57" s="13">
        <f t="shared" si="13"/>
        <v>25</v>
      </c>
      <c r="H57" s="41">
        <f t="shared" si="1"/>
        <v>0.005121020552543728</v>
      </c>
      <c r="I57" s="46">
        <v>5354014</v>
      </c>
      <c r="J57" s="46"/>
      <c r="K57" s="46"/>
      <c r="L57" s="13">
        <f t="shared" si="2"/>
        <v>5354014</v>
      </c>
      <c r="M57" s="41">
        <f t="shared" si="3"/>
        <v>0.004172395564845823</v>
      </c>
      <c r="N57" s="46">
        <v>3156414</v>
      </c>
      <c r="O57" s="46"/>
      <c r="P57" s="46"/>
      <c r="Q57" s="13">
        <f t="shared" si="14"/>
        <v>3156414</v>
      </c>
      <c r="R57" s="41">
        <f t="shared" si="4"/>
        <v>0.003164473439178572</v>
      </c>
      <c r="S57" s="46">
        <v>6130265</v>
      </c>
      <c r="T57" s="46">
        <v>880000</v>
      </c>
      <c r="U57" s="46"/>
      <c r="V57" s="13">
        <f>S57+T57+U57</f>
        <v>7010265</v>
      </c>
      <c r="W57" s="41">
        <f t="shared" si="15"/>
        <v>0.007187247822425432</v>
      </c>
      <c r="X57" s="46">
        <v>744487</v>
      </c>
      <c r="Y57" s="46"/>
      <c r="Z57" s="46"/>
      <c r="AA57" s="13">
        <f>X57+Y57+Z57</f>
        <v>744487</v>
      </c>
      <c r="AB57" s="41">
        <f t="shared" si="5"/>
        <v>0.0008633040861171868</v>
      </c>
      <c r="AC57" s="46">
        <v>3520622</v>
      </c>
      <c r="AD57" s="46"/>
      <c r="AE57" s="46"/>
      <c r="AF57" s="13">
        <f>AC57+AD57+AE57</f>
        <v>3520622</v>
      </c>
      <c r="AG57" s="41">
        <f t="shared" si="6"/>
        <v>0.0030506501550284</v>
      </c>
      <c r="AH57" s="46">
        <v>12549474</v>
      </c>
      <c r="AI57" s="46"/>
      <c r="AJ57" s="46"/>
      <c r="AK57" s="13">
        <f>AH57+AI57+AJ57</f>
        <v>12549474</v>
      </c>
      <c r="AL57" s="41">
        <f t="shared" si="7"/>
        <v>0.009027333699465684</v>
      </c>
      <c r="AM57" s="46">
        <v>6926378</v>
      </c>
      <c r="AN57" s="46"/>
      <c r="AO57" s="46"/>
      <c r="AP57" s="13">
        <f>AM57+AN57+AO57</f>
        <v>6926378</v>
      </c>
      <c r="AQ57" s="41">
        <f>AP57/AP$61</f>
        <v>0.004683839165732779</v>
      </c>
      <c r="AR57" s="46">
        <v>5106252</v>
      </c>
      <c r="AS57" s="46"/>
      <c r="AT57" s="46"/>
      <c r="AU57" s="13">
        <f>AR57+AS57+AT57</f>
        <v>5106252</v>
      </c>
      <c r="AV57" s="41">
        <f>AU57/AU$61</f>
        <v>0.00644030668392291</v>
      </c>
      <c r="AW57" s="13">
        <v>2041542</v>
      </c>
      <c r="AX57" s="13"/>
      <c r="AY57" s="12"/>
      <c r="AZ57" s="13">
        <f>AW57+AX57+AY57</f>
        <v>2041542</v>
      </c>
      <c r="BA57" s="41">
        <f>AZ57/AZ$61</f>
        <v>0.005316312636000341</v>
      </c>
      <c r="BB57" s="13">
        <f>2462839+568377</f>
        <v>3031216</v>
      </c>
      <c r="BC57" s="13"/>
      <c r="BD57" s="12"/>
      <c r="BE57" s="13">
        <f>BB57+BC57+BD57</f>
        <v>3031216</v>
      </c>
      <c r="BF57" s="41">
        <f>BE57/BE$61</f>
        <v>0.005634933456930909</v>
      </c>
      <c r="BG57" s="13">
        <v>115472</v>
      </c>
      <c r="BH57" s="13"/>
      <c r="BI57" s="12"/>
      <c r="BJ57" s="13">
        <f>BG57+BH57+BI57</f>
        <v>115472</v>
      </c>
      <c r="BK57" s="41">
        <f>BJ57/BJ$61</f>
        <v>0.00016818811326606</v>
      </c>
      <c r="BL57" s="13">
        <v>2617042</v>
      </c>
      <c r="BM57" s="13">
        <v>2000000</v>
      </c>
      <c r="BN57" s="12"/>
      <c r="BO57" s="12">
        <f>SUM(BL57:BN57)</f>
        <v>4617042</v>
      </c>
      <c r="BP57" s="41">
        <f>BO57/BO$61</f>
        <v>0.005088899269032067</v>
      </c>
      <c r="BQ57" s="13">
        <v>3893000</v>
      </c>
      <c r="BR57" s="13">
        <v>2520000</v>
      </c>
      <c r="BS57" s="12"/>
      <c r="BT57" s="13">
        <f>SUM(BQ57:BS57)</f>
        <v>6413000</v>
      </c>
      <c r="BU57" s="41">
        <f>BT57/BT$61</f>
        <v>0.013534335128794194</v>
      </c>
      <c r="BV57" s="13">
        <v>2318400</v>
      </c>
      <c r="BW57" s="12"/>
      <c r="BX57" s="12"/>
      <c r="BY57" s="13">
        <f t="shared" si="54"/>
        <v>2318400</v>
      </c>
      <c r="BZ57" s="41">
        <f t="shared" si="70"/>
        <v>0.005409192561585619</v>
      </c>
      <c r="CA57" s="12"/>
      <c r="CB57" s="13">
        <v>1600000</v>
      </c>
      <c r="CC57" s="12"/>
      <c r="CD57" s="13">
        <f>SUM(CA57:CC57)</f>
        <v>1600000</v>
      </c>
      <c r="CE57" s="41">
        <f>CD57/CD$61</f>
        <v>0.006569309580795645</v>
      </c>
    </row>
    <row r="58" spans="2:83" ht="15">
      <c r="B58" t="s">
        <v>76</v>
      </c>
      <c r="C58" s="39">
        <f t="shared" si="10"/>
        <v>490000</v>
      </c>
      <c r="D58" s="46">
        <f t="shared" si="11"/>
        <v>0</v>
      </c>
      <c r="E58" s="46">
        <f t="shared" si="12"/>
        <v>0</v>
      </c>
      <c r="F58" s="46">
        <f>C58+D58+E58</f>
        <v>490000</v>
      </c>
      <c r="G58" s="13">
        <f t="shared" si="13"/>
        <v>48</v>
      </c>
      <c r="H58" s="41">
        <f>F58/F$61</f>
        <v>3.8901115991277813E-05</v>
      </c>
      <c r="I58" s="46"/>
      <c r="J58" s="46"/>
      <c r="K58" s="46"/>
      <c r="L58" s="13">
        <f t="shared" si="2"/>
        <v>0</v>
      </c>
      <c r="M58" s="41">
        <f t="shared" si="3"/>
        <v>0</v>
      </c>
      <c r="N58" s="46"/>
      <c r="O58" s="46"/>
      <c r="P58" s="46"/>
      <c r="Q58" s="13">
        <f t="shared" si="14"/>
        <v>0</v>
      </c>
      <c r="R58" s="41">
        <f t="shared" si="4"/>
        <v>0</v>
      </c>
      <c r="S58" s="46"/>
      <c r="T58" s="46"/>
      <c r="U58" s="46"/>
      <c r="V58" s="13"/>
      <c r="W58" s="41"/>
      <c r="X58" s="46">
        <v>490000</v>
      </c>
      <c r="Y58" s="46"/>
      <c r="Z58" s="46"/>
      <c r="AA58" s="13">
        <f>X58+Y58+Z58</f>
        <v>490000</v>
      </c>
      <c r="AB58" s="41">
        <f t="shared" si="5"/>
        <v>0.0005682019997628186</v>
      </c>
      <c r="AC58" s="46"/>
      <c r="AD58" s="46"/>
      <c r="AE58" s="46"/>
      <c r="AF58" s="13"/>
      <c r="AG58" s="41"/>
      <c r="AH58" s="46"/>
      <c r="AI58" s="46"/>
      <c r="AJ58" s="46"/>
      <c r="AK58" s="13"/>
      <c r="AL58" s="41"/>
      <c r="AM58" s="46"/>
      <c r="AN58" s="46"/>
      <c r="AO58" s="46"/>
      <c r="AP58" s="13"/>
      <c r="AQ58" s="41"/>
      <c r="AR58" s="46"/>
      <c r="AS58" s="46"/>
      <c r="AT58" s="46"/>
      <c r="AU58" s="13"/>
      <c r="AV58" s="41"/>
      <c r="AW58" s="13"/>
      <c r="AX58" s="13"/>
      <c r="AY58" s="12"/>
      <c r="AZ58" s="13"/>
      <c r="BA58" s="41"/>
      <c r="BB58" s="13"/>
      <c r="BC58" s="13"/>
      <c r="BD58" s="12"/>
      <c r="BE58" s="13"/>
      <c r="BF58" s="41"/>
      <c r="BG58" s="13"/>
      <c r="BH58" s="13"/>
      <c r="BI58" s="12"/>
      <c r="BJ58" s="13"/>
      <c r="BK58" s="41"/>
      <c r="BL58" s="13"/>
      <c r="BM58" s="13"/>
      <c r="BN58" s="12"/>
      <c r="BO58" s="12"/>
      <c r="BP58" s="41"/>
      <c r="BQ58" s="13"/>
      <c r="BR58" s="13"/>
      <c r="BS58" s="12"/>
      <c r="BT58" s="13"/>
      <c r="BU58" s="41"/>
      <c r="BV58" s="13"/>
      <c r="BW58" s="12"/>
      <c r="BX58" s="12"/>
      <c r="BY58" s="13"/>
      <c r="BZ58" s="41"/>
      <c r="CA58" s="12"/>
      <c r="CB58" s="13"/>
      <c r="CC58" s="12"/>
      <c r="CD58" s="13"/>
      <c r="CE58" s="41"/>
    </row>
    <row r="59" spans="2:83" ht="6.75" customHeight="1" thickBot="1">
      <c r="B59" s="1"/>
      <c r="C59" s="15"/>
      <c r="D59" s="48"/>
      <c r="E59" s="48"/>
      <c r="F59" s="48"/>
      <c r="G59" s="12"/>
      <c r="H59" s="43"/>
      <c r="I59" s="48"/>
      <c r="J59" s="48"/>
      <c r="K59" s="48"/>
      <c r="L59" s="12"/>
      <c r="M59" s="43"/>
      <c r="N59" s="48"/>
      <c r="O59" s="48"/>
      <c r="P59" s="48"/>
      <c r="Q59" s="12"/>
      <c r="R59" s="43"/>
      <c r="S59" s="48"/>
      <c r="T59" s="48"/>
      <c r="U59" s="48"/>
      <c r="V59" s="12"/>
      <c r="W59" s="43"/>
      <c r="X59" s="65"/>
      <c r="Y59" s="65"/>
      <c r="Z59" s="65"/>
      <c r="AA59" s="12"/>
      <c r="AB59" s="43"/>
      <c r="AC59" s="65"/>
      <c r="AD59" s="65"/>
      <c r="AE59" s="65"/>
      <c r="AF59" s="12"/>
      <c r="AG59" s="43"/>
      <c r="AH59" s="65"/>
      <c r="AI59" s="65"/>
      <c r="AJ59" s="65"/>
      <c r="AK59" s="12"/>
      <c r="AL59" s="43"/>
      <c r="AM59" s="48"/>
      <c r="AN59" s="48"/>
      <c r="AO59" s="48"/>
      <c r="AP59" s="12"/>
      <c r="AQ59" s="43"/>
      <c r="AR59" s="48"/>
      <c r="AS59" s="48"/>
      <c r="AT59" s="48"/>
      <c r="AU59" s="12"/>
      <c r="AV59" s="43"/>
      <c r="AW59" s="12"/>
      <c r="AX59" s="12"/>
      <c r="AY59" s="12"/>
      <c r="AZ59" s="12"/>
      <c r="BA59" s="43"/>
      <c r="BB59" s="12"/>
      <c r="BC59" s="12"/>
      <c r="BD59" s="12"/>
      <c r="BE59" s="12"/>
      <c r="BF59" s="43"/>
      <c r="BK59" s="44"/>
      <c r="BP59" s="44"/>
      <c r="BU59" s="44"/>
      <c r="BZ59" s="44"/>
      <c r="CE59" s="44"/>
    </row>
    <row r="60" spans="2:83" ht="9.75" customHeight="1" thickTop="1">
      <c r="B60" s="18"/>
      <c r="C60" s="19" t="s">
        <v>7</v>
      </c>
      <c r="D60" s="72"/>
      <c r="E60" s="72"/>
      <c r="F60" s="72" t="s">
        <v>7</v>
      </c>
      <c r="G60" s="29"/>
      <c r="H60" s="30"/>
      <c r="I60" s="72"/>
      <c r="J60" s="72"/>
      <c r="K60" s="72"/>
      <c r="L60" s="29"/>
      <c r="M60" s="30"/>
      <c r="N60" s="72"/>
      <c r="O60" s="72"/>
      <c r="P60" s="72"/>
      <c r="Q60" s="29"/>
      <c r="R60" s="30"/>
      <c r="S60" s="72"/>
      <c r="T60" s="72"/>
      <c r="U60" s="72"/>
      <c r="V60" s="29"/>
      <c r="W60" s="30"/>
      <c r="X60" s="20"/>
      <c r="Y60" s="20"/>
      <c r="Z60" s="20"/>
      <c r="AA60" s="29"/>
      <c r="AB60" s="30"/>
      <c r="AC60" s="20"/>
      <c r="AD60" s="20"/>
      <c r="AE60" s="20"/>
      <c r="AF60" s="29"/>
      <c r="AG60" s="30"/>
      <c r="AH60" s="20"/>
      <c r="AI60" s="20"/>
      <c r="AJ60" s="20"/>
      <c r="AK60" s="29"/>
      <c r="AL60" s="30"/>
      <c r="AM60" s="20"/>
      <c r="AN60" s="20"/>
      <c r="AO60" s="20"/>
      <c r="AP60" s="29"/>
      <c r="AQ60" s="30"/>
      <c r="AR60" s="20"/>
      <c r="AS60" s="20"/>
      <c r="AT60" s="20"/>
      <c r="AU60" s="29"/>
      <c r="AV60" s="30"/>
      <c r="AW60" s="29"/>
      <c r="AX60" s="29"/>
      <c r="AY60" s="29"/>
      <c r="AZ60" s="29"/>
      <c r="BA60" s="30"/>
      <c r="BB60" s="29"/>
      <c r="BC60" s="29"/>
      <c r="BD60" s="29"/>
      <c r="BE60" s="29"/>
      <c r="BF60" s="30"/>
      <c r="BG60" s="29"/>
      <c r="BH60" s="29"/>
      <c r="BI60" s="29"/>
      <c r="BJ60" s="29"/>
      <c r="BK60" s="30"/>
      <c r="BL60" s="29"/>
      <c r="BM60" s="29"/>
      <c r="BN60" s="29"/>
      <c r="BO60" s="29"/>
      <c r="BP60" s="30"/>
      <c r="BQ60" s="29"/>
      <c r="BR60" s="29"/>
      <c r="BS60" s="34"/>
      <c r="BT60" s="29"/>
      <c r="BU60" s="30"/>
      <c r="BV60" s="29"/>
      <c r="BW60" s="29"/>
      <c r="BX60" s="29"/>
      <c r="BY60" s="29"/>
      <c r="BZ60" s="30"/>
      <c r="CA60" s="34"/>
      <c r="CB60" s="37"/>
      <c r="CC60" s="20" t="s">
        <v>7</v>
      </c>
      <c r="CD60" s="20"/>
      <c r="CE60" s="21"/>
    </row>
    <row r="61" spans="2:83" ht="15.75">
      <c r="B61" s="22" t="s">
        <v>8</v>
      </c>
      <c r="C61" s="62">
        <f>SUM(C9:C60)</f>
        <v>6982985954</v>
      </c>
      <c r="D61" s="11">
        <f>SUM(D9:D60)</f>
        <v>4232200918</v>
      </c>
      <c r="E61" s="11">
        <f>SUM(E9:E60)</f>
        <v>1380852792</v>
      </c>
      <c r="F61" s="11">
        <f>SUM(F9:F60)</f>
        <v>12596039664</v>
      </c>
      <c r="G61" s="11"/>
      <c r="H61" s="31">
        <f aca="true" t="shared" si="71" ref="H61:R61">SUM(H9:H60)</f>
        <v>1</v>
      </c>
      <c r="I61" s="11">
        <f t="shared" si="71"/>
        <v>617732515</v>
      </c>
      <c r="J61" s="11">
        <f t="shared" si="71"/>
        <v>37877697</v>
      </c>
      <c r="K61" s="11">
        <f t="shared" si="71"/>
        <v>627588832</v>
      </c>
      <c r="L61" s="11">
        <f t="shared" si="71"/>
        <v>1283199044</v>
      </c>
      <c r="M61" s="31">
        <f t="shared" si="71"/>
        <v>0.9999999999999998</v>
      </c>
      <c r="N61" s="11">
        <f t="shared" si="71"/>
        <v>577986974</v>
      </c>
      <c r="O61" s="11">
        <f t="shared" si="71"/>
        <v>386028762</v>
      </c>
      <c r="P61" s="11">
        <f t="shared" si="71"/>
        <v>33437414</v>
      </c>
      <c r="Q61" s="11">
        <f t="shared" si="71"/>
        <v>997453150</v>
      </c>
      <c r="R61" s="31">
        <f t="shared" si="71"/>
        <v>1</v>
      </c>
      <c r="S61" s="11">
        <f aca="true" t="shared" si="72" ref="S61:AB61">SUM(S9:S60)</f>
        <v>591889312</v>
      </c>
      <c r="T61" s="11">
        <f t="shared" si="72"/>
        <v>347252092</v>
      </c>
      <c r="U61" s="11">
        <f t="shared" si="72"/>
        <v>36234035</v>
      </c>
      <c r="V61" s="11">
        <f t="shared" si="72"/>
        <v>975375439</v>
      </c>
      <c r="W61" s="31">
        <f t="shared" si="72"/>
        <v>1.0000000000000002</v>
      </c>
      <c r="X61" s="11">
        <f t="shared" si="72"/>
        <v>536016848</v>
      </c>
      <c r="Y61" s="11">
        <f t="shared" si="72"/>
        <v>280188114</v>
      </c>
      <c r="Z61" s="11">
        <f t="shared" si="72"/>
        <v>46164407</v>
      </c>
      <c r="AA61" s="11">
        <f t="shared" si="72"/>
        <v>862369369</v>
      </c>
      <c r="AB61" s="31">
        <f t="shared" si="72"/>
        <v>1</v>
      </c>
      <c r="AC61" s="11">
        <f aca="true" t="shared" si="73" ref="AC61:AL61">SUM(AC9:AC60)</f>
        <v>716519925</v>
      </c>
      <c r="AD61" s="11">
        <f t="shared" si="73"/>
        <v>376146207</v>
      </c>
      <c r="AE61" s="11">
        <f t="shared" si="73"/>
        <v>61390158</v>
      </c>
      <c r="AF61" s="11">
        <f t="shared" si="73"/>
        <v>1154056290</v>
      </c>
      <c r="AG61" s="31">
        <f t="shared" si="73"/>
        <v>0.9999999999999999</v>
      </c>
      <c r="AH61" s="11">
        <f t="shared" si="73"/>
        <v>674371638</v>
      </c>
      <c r="AI61" s="11">
        <f t="shared" si="73"/>
        <v>670197325</v>
      </c>
      <c r="AJ61" s="11">
        <f t="shared" si="73"/>
        <v>45595001</v>
      </c>
      <c r="AK61" s="11">
        <f t="shared" si="73"/>
        <v>1390163964</v>
      </c>
      <c r="AL61" s="31">
        <f t="shared" si="73"/>
        <v>1</v>
      </c>
      <c r="AM61" s="11">
        <f aca="true" t="shared" si="74" ref="AM61:AV61">SUM(AM9:AM60)</f>
        <v>781699185</v>
      </c>
      <c r="AN61" s="11">
        <f t="shared" si="74"/>
        <v>664253625</v>
      </c>
      <c r="AO61" s="11">
        <f t="shared" si="74"/>
        <v>32829393</v>
      </c>
      <c r="AP61" s="11">
        <f t="shared" si="74"/>
        <v>1478782203</v>
      </c>
      <c r="AQ61" s="31">
        <f t="shared" si="74"/>
        <v>0.9999999999999999</v>
      </c>
      <c r="AR61" s="11">
        <f t="shared" si="74"/>
        <v>524149341</v>
      </c>
      <c r="AS61" s="11">
        <f t="shared" si="74"/>
        <v>256481344</v>
      </c>
      <c r="AT61" s="11">
        <f t="shared" si="74"/>
        <v>12227831</v>
      </c>
      <c r="AU61" s="11">
        <f t="shared" si="74"/>
        <v>792858516</v>
      </c>
      <c r="AV61" s="31">
        <f t="shared" si="74"/>
        <v>0.9999999999999998</v>
      </c>
      <c r="AW61" s="11">
        <f aca="true" t="shared" si="75" ref="AW61:BF61">SUM(AW9:AW60)</f>
        <v>174433723</v>
      </c>
      <c r="AX61" s="11">
        <f t="shared" si="75"/>
        <v>205862638</v>
      </c>
      <c r="AY61" s="11">
        <f t="shared" si="75"/>
        <v>3718301</v>
      </c>
      <c r="AZ61" s="11">
        <f t="shared" si="75"/>
        <v>384014662</v>
      </c>
      <c r="BA61" s="31">
        <f t="shared" si="75"/>
        <v>0.9999999999999999</v>
      </c>
      <c r="BB61" s="11">
        <f t="shared" si="75"/>
        <v>286029668</v>
      </c>
      <c r="BC61" s="11">
        <f t="shared" si="75"/>
        <v>219424825</v>
      </c>
      <c r="BD61" s="11">
        <f t="shared" si="75"/>
        <v>32478390</v>
      </c>
      <c r="BE61" s="11">
        <f t="shared" si="75"/>
        <v>537932883</v>
      </c>
      <c r="BF61" s="31">
        <f t="shared" si="75"/>
        <v>1</v>
      </c>
      <c r="BG61" s="11">
        <f aca="true" t="shared" si="76" ref="BG61:CE61">SUM(BG9:BG57)</f>
        <v>337921617</v>
      </c>
      <c r="BH61" s="11">
        <f t="shared" si="76"/>
        <v>247080215</v>
      </c>
      <c r="BI61" s="11">
        <f t="shared" si="76"/>
        <v>101562740</v>
      </c>
      <c r="BJ61" s="11">
        <f t="shared" si="76"/>
        <v>686564572</v>
      </c>
      <c r="BK61" s="31">
        <f t="shared" si="76"/>
        <v>1.0000000000000002</v>
      </c>
      <c r="BL61" s="11">
        <f t="shared" si="76"/>
        <v>494355542</v>
      </c>
      <c r="BM61" s="11">
        <f t="shared" si="76"/>
        <v>280222894</v>
      </c>
      <c r="BN61" s="11">
        <f t="shared" si="76"/>
        <v>132698709</v>
      </c>
      <c r="BO61" s="11">
        <f t="shared" si="76"/>
        <v>907277145</v>
      </c>
      <c r="BP61" s="31">
        <f t="shared" si="76"/>
        <v>1</v>
      </c>
      <c r="BQ61" s="11">
        <f t="shared" si="76"/>
        <v>259834457</v>
      </c>
      <c r="BR61" s="11">
        <f t="shared" si="76"/>
        <v>114699435</v>
      </c>
      <c r="BS61" s="11">
        <f t="shared" si="76"/>
        <v>99298028</v>
      </c>
      <c r="BT61" s="11">
        <f t="shared" si="76"/>
        <v>473831920</v>
      </c>
      <c r="BU61" s="31">
        <f t="shared" si="76"/>
        <v>0.9999999999999999</v>
      </c>
      <c r="BV61" s="11">
        <f t="shared" si="76"/>
        <v>288860609</v>
      </c>
      <c r="BW61" s="11">
        <f t="shared" si="76"/>
        <v>125757505</v>
      </c>
      <c r="BX61" s="11">
        <f t="shared" si="76"/>
        <v>13985596</v>
      </c>
      <c r="BY61" s="11">
        <f t="shared" si="76"/>
        <v>428603710</v>
      </c>
      <c r="BZ61" s="31">
        <f t="shared" si="76"/>
        <v>1.0000000000000002</v>
      </c>
      <c r="CA61" s="11">
        <f t="shared" si="76"/>
        <v>121184600</v>
      </c>
      <c r="CB61" s="11">
        <f t="shared" si="76"/>
        <v>20728240</v>
      </c>
      <c r="CC61" s="11">
        <f t="shared" si="76"/>
        <v>101643957</v>
      </c>
      <c r="CD61" s="11">
        <f t="shared" si="76"/>
        <v>243556797</v>
      </c>
      <c r="CE61" s="31">
        <f t="shared" si="76"/>
        <v>0.9999999999999999</v>
      </c>
    </row>
    <row r="62" spans="2:83" ht="10.5" customHeight="1" thickBot="1">
      <c r="B62" s="23"/>
      <c r="C62" s="63"/>
      <c r="D62" s="73"/>
      <c r="E62" s="73"/>
      <c r="F62" s="73"/>
      <c r="G62" s="32"/>
      <c r="H62" s="33"/>
      <c r="I62" s="73"/>
      <c r="J62" s="73"/>
      <c r="K62" s="73"/>
      <c r="L62" s="32"/>
      <c r="M62" s="33"/>
      <c r="N62" s="73"/>
      <c r="O62" s="73"/>
      <c r="P62" s="73"/>
      <c r="Q62" s="32"/>
      <c r="R62" s="33"/>
      <c r="S62" s="73"/>
      <c r="T62" s="73"/>
      <c r="U62" s="73"/>
      <c r="V62" s="32"/>
      <c r="W62" s="33"/>
      <c r="X62" s="64"/>
      <c r="Y62" s="64"/>
      <c r="Z62" s="64"/>
      <c r="AA62" s="32"/>
      <c r="AB62" s="33"/>
      <c r="AC62" s="64"/>
      <c r="AD62" s="64"/>
      <c r="AE62" s="64"/>
      <c r="AF62" s="32"/>
      <c r="AG62" s="33"/>
      <c r="AH62" s="64"/>
      <c r="AI62" s="64"/>
      <c r="AJ62" s="64"/>
      <c r="AK62" s="32"/>
      <c r="AL62" s="33"/>
      <c r="AM62" s="25"/>
      <c r="AN62" s="25"/>
      <c r="AO62" s="25"/>
      <c r="AP62" s="32"/>
      <c r="AQ62" s="33"/>
      <c r="AR62" s="25"/>
      <c r="AS62" s="25"/>
      <c r="AT62" s="25"/>
      <c r="AU62" s="32"/>
      <c r="AV62" s="33"/>
      <c r="AW62" s="32"/>
      <c r="AX62" s="32"/>
      <c r="AY62" s="32"/>
      <c r="AZ62" s="32"/>
      <c r="BA62" s="33"/>
      <c r="BB62" s="32"/>
      <c r="BC62" s="32"/>
      <c r="BD62" s="32"/>
      <c r="BE62" s="32"/>
      <c r="BF62" s="33"/>
      <c r="BG62" s="32"/>
      <c r="BH62" s="32"/>
      <c r="BI62" s="32"/>
      <c r="BJ62" s="32"/>
      <c r="BK62" s="33"/>
      <c r="BL62" s="32"/>
      <c r="BM62" s="32"/>
      <c r="BN62" s="32"/>
      <c r="BO62" s="32"/>
      <c r="BP62" s="33"/>
      <c r="BQ62" s="32"/>
      <c r="BR62" s="32"/>
      <c r="BS62" s="32"/>
      <c r="BT62" s="32"/>
      <c r="BU62" s="33"/>
      <c r="BV62" s="24"/>
      <c r="BW62" s="24"/>
      <c r="BX62" s="24"/>
      <c r="BY62" s="24"/>
      <c r="BZ62" s="36"/>
      <c r="CA62" s="25"/>
      <c r="CB62" s="25"/>
      <c r="CC62" s="25"/>
      <c r="CD62" s="25"/>
      <c r="CE62" s="26"/>
    </row>
    <row r="63" spans="2:58" ht="8.25" customHeight="1" thickTop="1">
      <c r="B63" s="1"/>
      <c r="C63" s="16"/>
      <c r="D63" s="74"/>
      <c r="E63" s="74"/>
      <c r="F63" s="74"/>
      <c r="G63" s="17"/>
      <c r="H63" s="17"/>
      <c r="I63" s="74"/>
      <c r="J63" s="74"/>
      <c r="K63" s="74"/>
      <c r="L63" s="17"/>
      <c r="M63" s="17"/>
      <c r="N63" s="74"/>
      <c r="O63" s="74"/>
      <c r="P63" s="74"/>
      <c r="Q63" s="17"/>
      <c r="R63" s="17"/>
      <c r="S63" s="74"/>
      <c r="T63" s="74"/>
      <c r="U63" s="74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B63" s="1"/>
      <c r="BC63" s="1"/>
      <c r="BD63" s="1"/>
      <c r="BE63" s="1"/>
      <c r="BF63" s="1"/>
    </row>
    <row r="64" spans="3:58" ht="15.75">
      <c r="C64" s="1" t="s">
        <v>73</v>
      </c>
      <c r="D64" s="74"/>
      <c r="E64" s="74"/>
      <c r="F64" s="74"/>
      <c r="G64" s="17"/>
      <c r="H64" s="17"/>
      <c r="I64" s="74"/>
      <c r="J64" s="74"/>
      <c r="K64" s="74"/>
      <c r="L64" s="17"/>
      <c r="M64" s="17"/>
      <c r="N64" s="74"/>
      <c r="O64" s="74"/>
      <c r="P64" s="74"/>
      <c r="Q64" s="17"/>
      <c r="R64" s="17"/>
      <c r="S64" s="74"/>
      <c r="T64" s="74"/>
      <c r="U64" s="74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B64" s="1"/>
      <c r="BC64" s="1"/>
      <c r="BD64" s="1"/>
      <c r="BE64" s="1"/>
      <c r="BF64" s="1"/>
    </row>
    <row r="65" spans="3:58" ht="15.75">
      <c r="C65" s="1"/>
      <c r="D65" s="74"/>
      <c r="E65" s="74"/>
      <c r="F65" s="74"/>
      <c r="G65" s="17"/>
      <c r="H65" s="17"/>
      <c r="I65" s="74"/>
      <c r="J65" s="74"/>
      <c r="K65" s="74"/>
      <c r="L65" s="17"/>
      <c r="M65" s="17"/>
      <c r="N65" s="74"/>
      <c r="O65" s="74"/>
      <c r="P65" s="74"/>
      <c r="Q65" s="17"/>
      <c r="R65" s="17"/>
      <c r="S65" s="74"/>
      <c r="T65" s="74"/>
      <c r="U65" s="74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B65" s="1"/>
      <c r="BC65" s="1"/>
      <c r="BD65" s="1"/>
      <c r="BE65" s="1"/>
      <c r="BF65" s="1"/>
    </row>
    <row r="66" spans="3:58" ht="15.75">
      <c r="C66" s="1"/>
      <c r="D66" s="74"/>
      <c r="E66" s="74"/>
      <c r="F66" s="74"/>
      <c r="G66" s="17"/>
      <c r="H66" s="17"/>
      <c r="I66" s="74"/>
      <c r="J66" s="74"/>
      <c r="K66" s="74"/>
      <c r="L66" s="17"/>
      <c r="M66" s="17"/>
      <c r="N66" s="74"/>
      <c r="O66" s="74"/>
      <c r="P66" s="74"/>
      <c r="Q66" s="17"/>
      <c r="R66" s="17"/>
      <c r="S66" s="74"/>
      <c r="T66" s="74"/>
      <c r="U66" s="74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B66" s="1"/>
      <c r="BC66" s="1"/>
      <c r="BD66" s="1"/>
      <c r="BE66" s="1"/>
      <c r="BF66" s="1"/>
    </row>
    <row r="67" spans="3:58" ht="15.75">
      <c r="C67" s="1" t="s">
        <v>71</v>
      </c>
      <c r="D67" s="74"/>
      <c r="E67" s="74"/>
      <c r="F67" s="74"/>
      <c r="G67" s="17"/>
      <c r="H67" s="17"/>
      <c r="I67" s="74"/>
      <c r="J67" s="74"/>
      <c r="K67" s="74"/>
      <c r="L67" s="17"/>
      <c r="M67" s="17"/>
      <c r="N67" s="74"/>
      <c r="O67" s="74"/>
      <c r="P67" s="74"/>
      <c r="Q67" s="17"/>
      <c r="R67" s="17"/>
      <c r="S67" s="74"/>
      <c r="T67" s="74"/>
      <c r="U67" s="74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B67" s="1"/>
      <c r="BC67" s="1"/>
      <c r="BD67" s="1"/>
      <c r="BE67" s="1"/>
      <c r="BF67" s="1"/>
    </row>
    <row r="68" spans="3:58" ht="15.75">
      <c r="C68" s="1"/>
      <c r="D68" s="74"/>
      <c r="E68" s="74"/>
      <c r="F68" s="74"/>
      <c r="G68" s="17"/>
      <c r="H68" s="17"/>
      <c r="I68" s="74"/>
      <c r="J68" s="74"/>
      <c r="K68" s="74"/>
      <c r="L68" s="17"/>
      <c r="M68" s="17"/>
      <c r="N68" s="74"/>
      <c r="O68" s="74"/>
      <c r="P68" s="74"/>
      <c r="Q68" s="17"/>
      <c r="R68" s="17"/>
      <c r="S68" s="74"/>
      <c r="T68" s="74"/>
      <c r="U68" s="74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B68" s="1"/>
      <c r="BC68" s="1"/>
      <c r="BD68" s="1"/>
      <c r="BE68" s="1"/>
      <c r="BF68" s="1"/>
    </row>
    <row r="69" spans="3:58" ht="15.75">
      <c r="C69" s="1"/>
      <c r="D69" s="74"/>
      <c r="E69" s="74"/>
      <c r="F69" s="74"/>
      <c r="G69" s="17"/>
      <c r="H69" s="17"/>
      <c r="I69" s="74"/>
      <c r="J69" s="74"/>
      <c r="K69" s="74"/>
      <c r="L69" s="17"/>
      <c r="M69" s="17"/>
      <c r="N69" s="74"/>
      <c r="O69" s="74"/>
      <c r="P69" s="74"/>
      <c r="Q69" s="17"/>
      <c r="R69" s="17"/>
      <c r="S69" s="74"/>
      <c r="T69" s="74"/>
      <c r="U69" s="74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B69" s="1"/>
      <c r="BC69" s="1"/>
      <c r="BD69" s="1"/>
      <c r="BE69" s="1"/>
      <c r="BF69" s="1"/>
    </row>
  </sheetData>
  <mergeCells count="17">
    <mergeCell ref="BL4:BZ4"/>
    <mergeCell ref="AH3:AV3"/>
    <mergeCell ref="AH4:AV4"/>
    <mergeCell ref="CA4:CE4"/>
    <mergeCell ref="AW4:BK4"/>
    <mergeCell ref="CA1:CE1"/>
    <mergeCell ref="AH1:AV1"/>
    <mergeCell ref="BL1:BZ1"/>
    <mergeCell ref="CA3:CE3"/>
    <mergeCell ref="AW3:BK3"/>
    <mergeCell ref="BL3:BZ3"/>
    <mergeCell ref="C3:P3"/>
    <mergeCell ref="C4:P4"/>
    <mergeCell ref="C1:R1"/>
    <mergeCell ref="S3:AG3"/>
    <mergeCell ref="S4:AG4"/>
    <mergeCell ref="S1:AG1"/>
  </mergeCells>
  <printOptions horizontalCentered="1" verticalCentered="1"/>
  <pageMargins left="0.4" right="0.4" top="0.5" bottom="0.25" header="0.5" footer="0.5"/>
  <pageSetup horizontalDpi="300" verticalDpi="300" orientation="landscape" scale="45" r:id="rId1"/>
  <colBreaks count="4" manualBreakCount="4">
    <brk id="33" max="63" man="1"/>
    <brk id="48" max="63" man="1"/>
    <brk id="63" max="63" man="1"/>
    <brk id="78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</dc:creator>
  <cp:keywords/>
  <dc:description/>
  <cp:lastModifiedBy>Thipakorn.Souvandara</cp:lastModifiedBy>
  <cp:lastPrinted>2007-07-18T19:04:57Z</cp:lastPrinted>
  <dcterms:created xsi:type="dcterms:W3CDTF">1999-02-24T18:45:02Z</dcterms:created>
  <dcterms:modified xsi:type="dcterms:W3CDTF">2007-07-18T19:04:58Z</dcterms:modified>
  <cp:category/>
  <cp:version/>
  <cp:contentType/>
  <cp:contentStatus/>
</cp:coreProperties>
</file>