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9330" windowHeight="8700" activeTab="5"/>
  </bookViews>
  <sheets>
    <sheet name="ChamberCommon Pts. (not frames)" sheetId="1" r:id="rId1"/>
    <sheet name="Chamber Frame Pts, Common" sheetId="2" r:id="rId2"/>
    <sheet name="Chamber Frame Pts, Unique" sheetId="3" r:id="rId3"/>
    <sheet name="1.2, 2.1 Cu Pts order 7.27.00" sheetId="4" r:id="rId4"/>
    <sheet name="1.3, 3.1, 4.1 Cu Pts to Order" sheetId="5" r:id="rId5"/>
    <sheet name="z bracket lengths" sheetId="6" r:id="rId6"/>
  </sheets>
  <definedNames/>
  <calcPr fullCalcOnLoad="1"/>
</workbook>
</file>

<file path=xl/sharedStrings.xml><?xml version="1.0" encoding="utf-8"?>
<sst xmlns="http://schemas.openxmlformats.org/spreadsheetml/2006/main" count="1675" uniqueCount="569">
  <si>
    <t>Plate, End, Small</t>
  </si>
  <si>
    <t>Plate, End, Big</t>
  </si>
  <si>
    <t>Plate, Stiffening, Frame</t>
  </si>
  <si>
    <t>Washer, Lock, M6 Int. Tooth, 18-8 SST</t>
  </si>
  <si>
    <t>Screw, Hex Wash Hd Thrd Form M6-1 x 10, Z/P Steel</t>
  </si>
  <si>
    <t>5185042C-e</t>
  </si>
  <si>
    <t>5185100C1-b</t>
  </si>
  <si>
    <t>5185100C2-b</t>
  </si>
  <si>
    <t>5599003B-a</t>
  </si>
  <si>
    <t>5599004C-a</t>
  </si>
  <si>
    <t>5599005B-</t>
  </si>
  <si>
    <t>5599006B-</t>
  </si>
  <si>
    <t>5599007B-c</t>
  </si>
  <si>
    <t>5599008B-b</t>
  </si>
  <si>
    <t>5599009B-b</t>
  </si>
  <si>
    <t>5599010C-b</t>
  </si>
  <si>
    <t>5599011C-c</t>
  </si>
  <si>
    <t>5599012C-b</t>
  </si>
  <si>
    <t>5599013C-b</t>
  </si>
  <si>
    <t>5599027C-b</t>
  </si>
  <si>
    <t>5599042A-a</t>
  </si>
  <si>
    <t>5599070C-</t>
  </si>
  <si>
    <t>5599071C-</t>
  </si>
  <si>
    <t>5599072C-</t>
  </si>
  <si>
    <t xml:space="preserve">Pin, Alignment     </t>
  </si>
  <si>
    <t>ME1/2 Panel, Anode Side</t>
  </si>
  <si>
    <t>ME1/2 Panel, Big End</t>
  </si>
  <si>
    <t>ME1/2 Panel, HV Side</t>
  </si>
  <si>
    <t>ME1/2 Panel, Small End</t>
  </si>
  <si>
    <t>Cu</t>
  </si>
  <si>
    <t>x</t>
  </si>
  <si>
    <t>ME1/2 Wire Fixation Bar Artwork L1</t>
  </si>
  <si>
    <t>ME1/2 Wire Fixation Bar Artwork L2</t>
  </si>
  <si>
    <t>ME1/2 Wire Fixation Bar Artwork L3</t>
  </si>
  <si>
    <t>ME1/2 Wire Fixation Bar Artwork R1</t>
  </si>
  <si>
    <t>ME1/2 Wire Fixation Bar Artwork R2</t>
  </si>
  <si>
    <t>ME1/2 Wire Fixation Bar Artwork R3</t>
  </si>
  <si>
    <t>ME1/2 Wire Fixation Bar LHC L2</t>
  </si>
  <si>
    <t>ME1/2 Wire Fixation Bar LHNE L3</t>
  </si>
  <si>
    <t>ME1/2 Wire Fixation Bar LHWE L1</t>
  </si>
  <si>
    <t>ME1/2 Wire Fixation Bar RHC R2</t>
  </si>
  <si>
    <t>ME1/2 Wire Fixation Bar RHNE R3</t>
  </si>
  <si>
    <t>ME1/2 Wire Fixation Bar RHWE R1</t>
  </si>
  <si>
    <t>ME2/1 Panel, Anode Side</t>
  </si>
  <si>
    <t>ME2/1 Panel, HV Side</t>
  </si>
  <si>
    <t>ME2/1 Panel, Small End</t>
  </si>
  <si>
    <t>ME2/1 Wire Fixation Bar Artwork L1</t>
  </si>
  <si>
    <t>ME2/1 Wire Fixation Bar Artwork L2</t>
  </si>
  <si>
    <t>ME2/1 Wire Fixation Bar Artwork L3</t>
  </si>
  <si>
    <t>ME2/1 Wire Fixation Bar Artwork R1</t>
  </si>
  <si>
    <t>ME2/1 Wire Fixation Bar Artwork R2</t>
  </si>
  <si>
    <t>ME2/1 Wire Fixation Bar Artwork R3</t>
  </si>
  <si>
    <t>ME2/1 Wire Fixation Bar LHC L2</t>
  </si>
  <si>
    <t>Common ME2/1, 3/1, 4/1 Plate, Stiffening, Frame</t>
  </si>
  <si>
    <t>avail @ FNAL</t>
  </si>
  <si>
    <t>75</t>
  </si>
  <si>
    <t>Sleeve, Gas (0+4+6(5)+4+6(5)+4+0)</t>
  </si>
  <si>
    <t>Copper Foil Roll 2.75" x .002" x 235 ft. (roll)</t>
  </si>
  <si>
    <t>Tape, Dbl Sided Adhes, .002" x 1" wide 3M  966 (36yd) (rolls)</t>
  </si>
  <si>
    <t>Extra/Short</t>
  </si>
  <si>
    <r>
      <t>Status</t>
    </r>
    <r>
      <rPr>
        <sz val="8"/>
        <rFont val="Arial"/>
        <family val="2"/>
      </rPr>
      <t xml:space="preserve"> (3/14/00)</t>
    </r>
  </si>
  <si>
    <r>
      <t xml:space="preserve">Board, Protection,  Assembly </t>
    </r>
    <r>
      <rPr>
        <i/>
        <sz val="10"/>
        <rFont val="Arial"/>
        <family val="2"/>
      </rPr>
      <t>"ME234/2 ONLY"</t>
    </r>
  </si>
  <si>
    <r>
      <t xml:space="preserve">Board, Protection,  Assembly </t>
    </r>
    <r>
      <rPr>
        <i/>
        <sz val="10"/>
        <rFont val="Arial"/>
        <family val="2"/>
      </rPr>
      <t>"All Except ME234/2"</t>
    </r>
  </si>
  <si>
    <t>ME2/1 Wire Fixation Bar LHNE L3</t>
  </si>
  <si>
    <t>ME2/1 Wire Fixation Bar LHWE L1</t>
  </si>
  <si>
    <t>ME2/1 Wire Fixation Bar RHC R2</t>
  </si>
  <si>
    <t>ME2/1 Wire Fixation Bar RHNE R3</t>
  </si>
  <si>
    <t>ME2/1 Wire Fixation Bar RHWE R1</t>
  </si>
  <si>
    <t xml:space="preserve">Switch, NO Momentary, </t>
  </si>
  <si>
    <t>Silicone Spray Lubricant (can - est 1per 40 chambers)</t>
  </si>
  <si>
    <t>ME3/1 Label, Chamber Nameplate</t>
  </si>
  <si>
    <t>ME3/1 Panel, Anode Side</t>
  </si>
  <si>
    <t>ME3/1 Panel, HV Side</t>
  </si>
  <si>
    <t>ME3/1 Panel, Small End</t>
  </si>
  <si>
    <t>PNPI Gap Bar, Wide End (IP)</t>
  </si>
  <si>
    <t>PNPI Gap Bar, Wide End (OP)</t>
  </si>
  <si>
    <t>1/4" Stainless Gas Flow Tube, Lower, except IHEP</t>
  </si>
  <si>
    <t>1/4" Stainless Stl Gas Flow Tube, Upper, except IHEP</t>
  </si>
  <si>
    <t>Cells this color require ordering changes</t>
  </si>
  <si>
    <t>HV Cable Cover Assembly</t>
  </si>
  <si>
    <t>Reflects quantities ordered by Linda as verified 8/22/00</t>
  </si>
  <si>
    <t>Fla.</t>
  </si>
  <si>
    <t>Chamber ME 1/3</t>
  </si>
  <si>
    <t>Chamber ME 3/1</t>
  </si>
  <si>
    <t>Chamber ME 4/1</t>
  </si>
  <si>
    <t>Unique Parts to be Ordered
ME 1/3, ME 3/1, and ME4/1 Chambers</t>
  </si>
  <si>
    <t>Add'l
Spare</t>
  </si>
  <si>
    <t>Sets</t>
  </si>
  <si>
    <t>Total
Sets to</t>
  </si>
  <si>
    <t xml:space="preserve">type </t>
  </si>
  <si>
    <t>ORDER</t>
  </si>
  <si>
    <t>2000 FEET</t>
  </si>
  <si>
    <t>Req'd.</t>
  </si>
  <si>
    <t>Avail.</t>
  </si>
  <si>
    <t>Total Qty</t>
  </si>
  <si>
    <t>Pc's</t>
  </si>
  <si>
    <t>30 boxes; Approx 18 pcs/box; 11.5# ea.</t>
  </si>
  <si>
    <t>50 boxes; Approx.28 pcs/box; 6.5# ea.</t>
  </si>
  <si>
    <t>20 boxes; Approx 28 pcs/box; 4.5# ea.</t>
  </si>
  <si>
    <t>20 boxes; Approx 28 pcs/box; 9.5# ea.</t>
  </si>
  <si>
    <t>available</t>
  </si>
  <si>
    <t>ME4/1 Label Nameplate</t>
  </si>
  <si>
    <t>Kapton Non-Adhesive 4" x .002" x 100 yd (roll)</t>
  </si>
  <si>
    <t xml:space="preserve">Grommet Buna-N </t>
  </si>
  <si>
    <t>HV Cable Connector Channel Cover</t>
  </si>
  <si>
    <t>Cable Holding/Interlock Block</t>
  </si>
  <si>
    <t>ME2/1, 3/1, 4/1 Gap Bar, Wide End (IP)</t>
  </si>
  <si>
    <t>ME2/1, 3/1, 4/1 Gap Bar, Wide End (OP)</t>
  </si>
  <si>
    <t>ME1/2 Gap Bar, Narrow End (ALL)</t>
  </si>
  <si>
    <t>ME1/2 Gap Bar, Left Hand Side (ALL)</t>
  </si>
  <si>
    <t>ME1/2 Gap Bar, Right Hand Side (ALL)</t>
  </si>
  <si>
    <t>ME1/2 Isolation Strip, Outer Panels</t>
  </si>
  <si>
    <t>ME1/2 Isolation Strip, Inner Panels</t>
  </si>
  <si>
    <t>Total Sets Required</t>
  </si>
  <si>
    <t>Order Parts for ME 1/2 and
ME 2/1 Chambers</t>
  </si>
  <si>
    <t xml:space="preserve">N. Chester
Printed: 7/27/00 </t>
  </si>
  <si>
    <t>ME1/2 Gap Bar, Wide End (OP)</t>
  </si>
  <si>
    <t>ME1/2 Gap Bar, Wide End (IP)</t>
  </si>
  <si>
    <t>Parts</t>
  </si>
  <si>
    <t>Total</t>
  </si>
  <si>
    <t xml:space="preserve">to </t>
  </si>
  <si>
    <t>~5%</t>
  </si>
  <si>
    <t>Heat Shrink Tubing, 1/8" ID, Polyolefin 500' roll (feet)</t>
  </si>
  <si>
    <t>Lead Wire Assembly, High Voltage 4" long (pieces)</t>
  </si>
  <si>
    <t>Rework item #18  368048</t>
  </si>
  <si>
    <t>Spoke to Linda 10/31, ECO going thru</t>
  </si>
  <si>
    <t>Florida</t>
  </si>
  <si>
    <t>updated 10/6/00</t>
  </si>
  <si>
    <t>Bracket, 'YZ' Fixed Top Mounting LLE</t>
  </si>
  <si>
    <t>Bracket, 'Z' Fixed Top Mounting RLE</t>
  </si>
  <si>
    <t>Bracket, 'YZ' Fixed Bot Mounting LLE</t>
  </si>
  <si>
    <t>Bracket, 'Z' Fixed Bot Mounting RLE</t>
  </si>
  <si>
    <t>Spares</t>
  </si>
  <si>
    <t>Percent</t>
  </si>
  <si>
    <t>with</t>
  </si>
  <si>
    <t>(15 rolls)</t>
  </si>
  <si>
    <t>30 rolls</t>
  </si>
  <si>
    <t>cF</t>
  </si>
  <si>
    <t>uF</t>
  </si>
  <si>
    <t>Detector Requirements</t>
  </si>
  <si>
    <t xml:space="preserve">Spares Required </t>
  </si>
  <si>
    <t>Total Frame Sets Required</t>
  </si>
  <si>
    <t>Ring, Connector Lifting, use with MA-368078</t>
  </si>
  <si>
    <t>Ring, Lifting Connector, 3/8" use with 368078</t>
  </si>
  <si>
    <t>5599069C-e</t>
  </si>
  <si>
    <t>Bracket, 'YZ' Fixed Top Mounting 5.80"</t>
  </si>
  <si>
    <t>Bracket, 'Z' Fixed Top Mounting 5.80"</t>
  </si>
  <si>
    <t>Bracket, 'XYZ' Fixed Top Mounting 10.00"</t>
  </si>
  <si>
    <t>Bracket, 'YZ' Fixed Bot Mounting 5.80"</t>
  </si>
  <si>
    <t>Bracket, 'Z' Fixed Bot Mounting 5.80"</t>
  </si>
  <si>
    <t>Bracket, 'XYZ' Fixed Bottom Mounting 10.00"</t>
  </si>
  <si>
    <t>ME1/2 Bracket, 'Z' Top Half Small End Mounting 6.10"</t>
  </si>
  <si>
    <t>ME1/2 Bracket, 'XYZ' Top Half Sm End Mtg 6.10"</t>
  </si>
  <si>
    <t>ME1/2 Bracket, 'XYZ' Bottom Half Sm End Mtg 6.10"</t>
  </si>
  <si>
    <t>ME1/2 Bracket, 'Z' Bottom Half Sm End Mtg 6.10"</t>
  </si>
  <si>
    <t>ME1/3 Mounting Bracket, Top YZ 5.80"</t>
  </si>
  <si>
    <t>ME1/3 Mounting Bracket, Bottom YZ 5.80"</t>
  </si>
  <si>
    <t>ME1/3Mounting Bracket, Top Z 5.80"</t>
  </si>
  <si>
    <t>ME1/3 Mounting Bracket, Bottom Z 5.80"</t>
  </si>
  <si>
    <t>ME1/3 Mounting Bracket, Top Z (sm end) 5.78"</t>
  </si>
  <si>
    <t>??</t>
  </si>
  <si>
    <t>FNAL</t>
  </si>
  <si>
    <t>ME1/3 Mounting Bracket, Bottom Z (sm end) 5.78"</t>
  </si>
  <si>
    <t>ME1/3 Mounting Bracket, Top XYZ 5.78"</t>
  </si>
  <si>
    <t>ME1/3 Mounting Bracket, Bottom XYZ 5.78"</t>
  </si>
  <si>
    <t>15?</t>
  </si>
  <si>
    <t>ME4/1 Gap Bar, Narrow End (ALL)</t>
  </si>
  <si>
    <t>ME4/1 Gap Bar, Left Hand Side (ALL)</t>
  </si>
  <si>
    <t>ME4/1 Gap Bar, Right Hand Side (ALL)</t>
  </si>
  <si>
    <t>ME4/1 Isolation Strip, Outer Panels</t>
  </si>
  <si>
    <t>ME4/1 Isolation Strip, Inner Panels</t>
  </si>
  <si>
    <t>Z Bracket List for All Chambers</t>
  </si>
  <si>
    <t>ME4/1 Panel, Small End</t>
  </si>
  <si>
    <t>ME4/1 Panel, HV Side</t>
  </si>
  <si>
    <r>
      <t xml:space="preserve">ME1/3 Wire Fixation Bar LHWE L1 from </t>
    </r>
    <r>
      <rPr>
        <sz val="10"/>
        <color indexed="10"/>
        <rFont val="Arial"/>
        <family val="2"/>
      </rPr>
      <t xml:space="preserve">368449 Rev A. </t>
    </r>
  </si>
  <si>
    <r>
      <t xml:space="preserve">ME1/3 Wire Fixation Bar RHWE R1 from </t>
    </r>
    <r>
      <rPr>
        <sz val="10"/>
        <color indexed="10"/>
        <rFont val="Arial"/>
        <family val="2"/>
      </rPr>
      <t>368451 Rev A.</t>
    </r>
  </si>
  <si>
    <r>
      <t xml:space="preserve">ME1/3 Wire Fixation Bar LHC L2 from </t>
    </r>
    <r>
      <rPr>
        <sz val="10"/>
        <color indexed="10"/>
        <rFont val="Arial"/>
        <family val="2"/>
      </rPr>
      <t>368453 Rev A.</t>
    </r>
  </si>
  <si>
    <r>
      <t xml:space="preserve">ME1/3 Wire Fixation Bar RHC R2 from </t>
    </r>
    <r>
      <rPr>
        <sz val="10"/>
        <color indexed="10"/>
        <rFont val="Arial"/>
        <family val="2"/>
      </rPr>
      <t>368455 Rev A.</t>
    </r>
  </si>
  <si>
    <r>
      <t xml:space="preserve">ME1/3 Wire Fixation Bar LHNE L3 from </t>
    </r>
    <r>
      <rPr>
        <sz val="10"/>
        <color indexed="10"/>
        <rFont val="Arial"/>
        <family val="2"/>
      </rPr>
      <t>368457 Rev A.</t>
    </r>
  </si>
  <si>
    <r>
      <t xml:space="preserve">ME1/3 Wire Fixation Bar RHNE R3 from </t>
    </r>
    <r>
      <rPr>
        <sz val="10"/>
        <color indexed="10"/>
        <rFont val="Arial"/>
        <family val="2"/>
      </rPr>
      <t>368459 Rev B.</t>
    </r>
  </si>
  <si>
    <r>
      <t xml:space="preserve">ME3/1 Wire Fixation Bar LHWE L1 from </t>
    </r>
    <r>
      <rPr>
        <sz val="10"/>
        <color indexed="10"/>
        <rFont val="Arial"/>
        <family val="2"/>
      </rPr>
      <t>368469 Rev B.</t>
    </r>
  </si>
  <si>
    <r>
      <t xml:space="preserve">ME3/1 Wire Fixation Bar RHWE R2 from </t>
    </r>
    <r>
      <rPr>
        <sz val="10"/>
        <color indexed="10"/>
        <rFont val="Arial"/>
        <family val="2"/>
      </rPr>
      <t>368471 Rev B.</t>
    </r>
  </si>
  <si>
    <r>
      <t xml:space="preserve">ME3/1 Wire Fixation Bar LHC L2 from </t>
    </r>
    <r>
      <rPr>
        <sz val="10"/>
        <color indexed="10"/>
        <rFont val="Arial"/>
        <family val="2"/>
      </rPr>
      <t>368473 Rev B.</t>
    </r>
  </si>
  <si>
    <r>
      <t xml:space="preserve">ME3/1 Wire Fixation Bar RHC R2 from </t>
    </r>
    <r>
      <rPr>
        <sz val="10"/>
        <color indexed="10"/>
        <rFont val="Arial"/>
        <family val="2"/>
      </rPr>
      <t>368475 Rev B.</t>
    </r>
  </si>
  <si>
    <r>
      <t xml:space="preserve">ME3/1 Wire Fixation Bar LHNE L3 from </t>
    </r>
    <r>
      <rPr>
        <sz val="10"/>
        <color indexed="10"/>
        <rFont val="Arial"/>
        <family val="2"/>
      </rPr>
      <t>368477 Rev B.</t>
    </r>
  </si>
  <si>
    <r>
      <t xml:space="preserve">ME3/1 Wire Fixation Bar RHNE R3 from </t>
    </r>
    <r>
      <rPr>
        <sz val="10"/>
        <color indexed="10"/>
        <rFont val="Arial"/>
        <family val="2"/>
      </rPr>
      <t>368479 Rev B.</t>
    </r>
  </si>
  <si>
    <r>
      <t xml:space="preserve">ME4/1 Wire Fixation Bar LHWE L1 from </t>
    </r>
    <r>
      <rPr>
        <sz val="10"/>
        <color indexed="10"/>
        <rFont val="Arial"/>
        <family val="2"/>
      </rPr>
      <t>368487 Rev A.</t>
    </r>
  </si>
  <si>
    <r>
      <t xml:space="preserve">ME4/1 Wire Fixation Bar RHWE R1 from </t>
    </r>
    <r>
      <rPr>
        <sz val="10"/>
        <color indexed="10"/>
        <rFont val="Arial"/>
        <family val="2"/>
      </rPr>
      <t>368489 Rev A.</t>
    </r>
  </si>
  <si>
    <r>
      <t>ME4/1 Wire Fixation Bar LHC L2 from</t>
    </r>
    <r>
      <rPr>
        <sz val="10"/>
        <color indexed="10"/>
        <rFont val="Arial"/>
        <family val="2"/>
      </rPr>
      <t xml:space="preserve"> 368491 Rev A.</t>
    </r>
  </si>
  <si>
    <r>
      <t xml:space="preserve">ME4/1 Wire Fixation Bar RHC R2 from </t>
    </r>
    <r>
      <rPr>
        <sz val="10"/>
        <color indexed="10"/>
        <rFont val="Arial"/>
        <family val="2"/>
      </rPr>
      <t>368493 Rev A.</t>
    </r>
  </si>
  <si>
    <r>
      <t xml:space="preserve">ME4/1 Wire Fixation Bar LHNE L3 from </t>
    </r>
    <r>
      <rPr>
        <sz val="10"/>
        <color indexed="10"/>
        <rFont val="Arial"/>
        <family val="2"/>
      </rPr>
      <t>368495 Rev A.</t>
    </r>
  </si>
  <si>
    <r>
      <t xml:space="preserve">ME4/1 Wire Fixation Bar RHNE R3 from </t>
    </r>
    <r>
      <rPr>
        <sz val="10"/>
        <color indexed="10"/>
        <rFont val="Arial"/>
        <family val="2"/>
      </rPr>
      <t>368497 Rev A.</t>
    </r>
  </si>
  <si>
    <t>ME4/1 Panel, Anode Side</t>
  </si>
  <si>
    <t>size</t>
  </si>
  <si>
    <t>Rev.</t>
  </si>
  <si>
    <t>Description</t>
  </si>
  <si>
    <t>Qty.</t>
  </si>
  <si>
    <t>Qty</t>
  </si>
  <si>
    <t>Total Reqd</t>
  </si>
  <si>
    <t xml:space="preserve">(Old) Est. </t>
  </si>
  <si>
    <t>Jan. 18 '00</t>
  </si>
  <si>
    <t>Rounded</t>
  </si>
  <si>
    <t>Order</t>
  </si>
  <si>
    <t xml:space="preserve">ME234/2 </t>
  </si>
  <si>
    <t xml:space="preserve">FNAL </t>
  </si>
  <si>
    <t>Actual (blk)</t>
  </si>
  <si>
    <t>Common Parts for All Chambers (ex. Frames)</t>
  </si>
  <si>
    <t>ME1/2</t>
  </si>
  <si>
    <t>ME1/3</t>
  </si>
  <si>
    <t>ME2/1</t>
  </si>
  <si>
    <t>ME3/1</t>
  </si>
  <si>
    <t>ME4/1</t>
  </si>
  <si>
    <t>ME234/2</t>
  </si>
  <si>
    <t>Buy Qty</t>
  </si>
  <si>
    <t>Est. Buy</t>
  </si>
  <si>
    <t>Spare</t>
  </si>
  <si>
    <t>Plan</t>
  </si>
  <si>
    <t>From</t>
  </si>
  <si>
    <t>Prod.Code</t>
  </si>
  <si>
    <t>Comments</t>
  </si>
  <si>
    <t xml:space="preserve">Procurement </t>
  </si>
  <si>
    <t>P0 #</t>
  </si>
  <si>
    <t>or Est (red)</t>
  </si>
  <si>
    <t>Total Number of Chambers to be Produced</t>
  </si>
  <si>
    <t>(Pcs UOS)</t>
  </si>
  <si>
    <t>%</t>
  </si>
  <si>
    <t>G.A. 8/11/99</t>
  </si>
  <si>
    <t>$/piece</t>
  </si>
  <si>
    <t>A</t>
  </si>
  <si>
    <t>Stud, Center Gap Bar, 5-40 UNC x 5.93"</t>
  </si>
  <si>
    <t>2</t>
  </si>
  <si>
    <t>Industry</t>
  </si>
  <si>
    <t>EPQ</t>
  </si>
  <si>
    <t>140 in Stock, option to PNPI for 1100</t>
  </si>
  <si>
    <t>PO 526820</t>
  </si>
  <si>
    <t>B</t>
  </si>
  <si>
    <t>Nut, Center Gap Bar Stud, 5-40 UNC</t>
  </si>
  <si>
    <t>4</t>
  </si>
  <si>
    <t>280 in stock, option to PNPI for 2200</t>
  </si>
  <si>
    <t>Mounting Plate, HV Terminal</t>
  </si>
  <si>
    <t>3</t>
  </si>
  <si>
    <t>Ordered 1500 from PNPI+175 Basic</t>
  </si>
  <si>
    <t>175 in stock, option to PNPI for 1500</t>
  </si>
  <si>
    <t>235 ft/roll, 6 rolls already in stock</t>
  </si>
  <si>
    <t>12 in stock, option for 58</t>
  </si>
  <si>
    <t>PO 526370</t>
  </si>
  <si>
    <t>-</t>
  </si>
  <si>
    <t>Screw, Pan Head Phillips, Stainless 6-32UNC x 3/8"</t>
  </si>
  <si>
    <t>4500 in stock</t>
  </si>
  <si>
    <t>LA483</t>
  </si>
  <si>
    <t>Wire, Gold Plated Tungsten, 50 micron dia.(.002") 2.6km</t>
  </si>
  <si>
    <t>EPK</t>
  </si>
  <si>
    <t>chd 11/15/99</t>
  </si>
  <si>
    <t xml:space="preserve">110 in stock, option for 625 </t>
  </si>
  <si>
    <t>PO 526044</t>
  </si>
  <si>
    <t>O-Ring, Fluorocarbon.,  9/16"ID x 3/4" OD, #2-113 parker</t>
  </si>
  <si>
    <t>10K in stock,  option for 80K</t>
  </si>
  <si>
    <t>PO 525248</t>
  </si>
  <si>
    <t xml:space="preserve">Bulkhead Connector, male 1/4 NPT to 1/4" tube </t>
  </si>
  <si>
    <t>updated 8/30/99 was rev B</t>
  </si>
  <si>
    <t>800 in stock</t>
  </si>
  <si>
    <t>LA468</t>
  </si>
  <si>
    <t>Dwg #</t>
  </si>
  <si>
    <t>Dwg. #</t>
  </si>
  <si>
    <t>Mylar Tape, 3 mil x .375" wide no adhesive (1650 ft.) (rolls)</t>
  </si>
  <si>
    <t>Tape, Dbl Sided Adhesive, .002" x 1/4" wide x 72 yds. (rolls)</t>
  </si>
  <si>
    <t>Tape, Teflon Sealing, 1/2" x 260" roll (rolls)</t>
  </si>
  <si>
    <t>PNPI Kapton, Adhes Back, 1.0" x .002" x 36 yd. (rolls)</t>
  </si>
  <si>
    <t>Screw, Pan Head Phillips, clear polycarb. #4-40 x 3/8</t>
  </si>
  <si>
    <t>Hold</t>
  </si>
  <si>
    <t>18K in stock</t>
  </si>
  <si>
    <t>LA492</t>
  </si>
  <si>
    <t>Total Unique Part Sets Required</t>
  </si>
  <si>
    <t>(%)</t>
  </si>
  <si>
    <t>(Qty.)</t>
  </si>
  <si>
    <t xml:space="preserve">Cable Tie, Nylon, 4" lg x .100",  Mc Mast #7130K12 </t>
  </si>
  <si>
    <t>7100 in stock</t>
  </si>
  <si>
    <t>LA476</t>
  </si>
  <si>
    <t>Label, Test Strip Connector</t>
  </si>
  <si>
    <t>1</t>
  </si>
  <si>
    <t>R. Jensen</t>
  </si>
  <si>
    <t>Ordered 3K on 11/5/99</t>
  </si>
  <si>
    <t>RTV 41 Rubber &amp; Catalyst RTV 9811 (liters)</t>
  </si>
  <si>
    <t>Nut, Hex, DIN 439B M10-1.5, A2/18-8 SST</t>
  </si>
  <si>
    <t>none</t>
  </si>
  <si>
    <t>ES</t>
  </si>
  <si>
    <t>Wire, Gold Plated Be/Cu, 200 u, (008") dia (5k'/spool) (km)</t>
  </si>
  <si>
    <t>50 km</t>
  </si>
  <si>
    <t>50  km/ 30 spools</t>
  </si>
  <si>
    <t>dwg released.</t>
  </si>
  <si>
    <t>30 spools in stock</t>
  </si>
  <si>
    <t>PO 526703</t>
  </si>
  <si>
    <t>EPP</t>
  </si>
  <si>
    <t>Order Assembled</t>
  </si>
  <si>
    <t>1950 in stock, option for 7050</t>
  </si>
  <si>
    <t>PO 525367</t>
  </si>
  <si>
    <t>Lead Wire, High Voltage, white (1000' spool) (ft.)</t>
  </si>
  <si>
    <t>Part of 368048</t>
  </si>
  <si>
    <t>EPL</t>
  </si>
  <si>
    <t xml:space="preserve">Bolt, Panel 'B', M10 x 201.5 mm lg (7.93") </t>
  </si>
  <si>
    <t>Bolt, Panel 'A', M 10 x 195 mm lg (7.68")</t>
  </si>
  <si>
    <t>Nut, Jam, STL 3/8-24-UNF, 18-8 SST</t>
  </si>
  <si>
    <t>Washer, Flat M10, DIN 125, 18-8 SST</t>
  </si>
  <si>
    <t>Washer, Lock Tooth, .25 Dia., Int/Ext, Z/P Steel</t>
  </si>
  <si>
    <t>Screw, Hex Washer Hd Thd Forming M6-1 x 16, Z/P Steel</t>
  </si>
  <si>
    <t xml:space="preserve">Screw, Soc/Hd. Flat/Hd. Cap M6-1 x 12 mm;  Steel </t>
  </si>
  <si>
    <t>Ring, Swivel McMaster Carr # 29495T42</t>
  </si>
  <si>
    <t>ok to buy nsc 9/7</t>
  </si>
  <si>
    <t>Shim, Light, 2 Slot</t>
  </si>
  <si>
    <t>Shim, Medium, 2 Slot</t>
  </si>
  <si>
    <t>Shim, Heavy, 2 Slot</t>
  </si>
  <si>
    <t>Shim, Light, 3 Slot</t>
  </si>
  <si>
    <t>Shim, Medium, 3 Slot</t>
  </si>
  <si>
    <t>Shim, Heavy, 3 Slot</t>
  </si>
  <si>
    <t>Connect. Assy, 34 Pin Cath. Strip Output w grd strip</t>
  </si>
  <si>
    <t>EPN</t>
  </si>
  <si>
    <t>To be assembled in MP9</t>
  </si>
  <si>
    <t>Resistor, 51 ohm, 1/2w carbon</t>
  </si>
  <si>
    <t>5K in stock</t>
  </si>
  <si>
    <t>LA484</t>
  </si>
  <si>
    <t>Resistor 51 ohm, 1/2 watt, with bent leads</t>
  </si>
  <si>
    <t>Make from 368093</t>
  </si>
  <si>
    <t xml:space="preserve">To be assembled in MP9 </t>
  </si>
  <si>
    <t>TSG0622</t>
  </si>
  <si>
    <t xml:space="preserve">Plug, Miniature Banana, 2mm dia. Red </t>
  </si>
  <si>
    <t>EPO</t>
  </si>
  <si>
    <t>Plug, Miniature Lemo connector, Kings-Lemo # 1075-1</t>
  </si>
  <si>
    <t>6</t>
  </si>
  <si>
    <t>Part of 368099</t>
  </si>
  <si>
    <t>2300 in stock, option for 100</t>
  </si>
  <si>
    <t>PO 526380</t>
  </si>
  <si>
    <t>Connector, Adapter, Mini Lemo Socket</t>
  </si>
  <si>
    <t>2500 in stock</t>
  </si>
  <si>
    <t>PO 526614</t>
  </si>
  <si>
    <t>Cable, Coaxial, RG174/U  (1000 ft. spool) (ft.)</t>
  </si>
  <si>
    <t>3 rolls in stock</t>
  </si>
  <si>
    <t>LA500</t>
  </si>
  <si>
    <t>Cable Assembly, Test</t>
  </si>
  <si>
    <t>TSG0620</t>
  </si>
  <si>
    <t>Target, Retro-Reflective</t>
  </si>
  <si>
    <t xml:space="preserve">280 in stock, option for 2920 </t>
  </si>
  <si>
    <t>PO 526651</t>
  </si>
  <si>
    <t>SIP 1Meg, 8 pin Resistor Network</t>
  </si>
  <si>
    <t>na</t>
  </si>
  <si>
    <t>SIP 1Meg, 10 pin Resistor Network</t>
  </si>
  <si>
    <t>Street Elbow 1/4" male to 1/4" female NPT</t>
  </si>
  <si>
    <t>HV Cable Mounting Block</t>
  </si>
  <si>
    <t>HV Chamber Cable Connector Channel Cover</t>
  </si>
  <si>
    <t>Screw, Pan Hd Thd Form M6-40 for Cable Cover</t>
  </si>
  <si>
    <t>Used</t>
  </si>
  <si>
    <t>Chamb</t>
  </si>
  <si>
    <t>Net</t>
  </si>
  <si>
    <t>Avail</t>
  </si>
  <si>
    <t>Need/</t>
  </si>
  <si>
    <t>(excess)</t>
  </si>
  <si>
    <t>St. Adapter, 12 mm OD tube compression to 1/4" male NPT</t>
  </si>
  <si>
    <t>CAPLUG .75 Inside Dia.polyethylene/red</t>
  </si>
  <si>
    <t>Spacer Bar</t>
  </si>
  <si>
    <t>Florida U</t>
  </si>
  <si>
    <t>Andrey Korytov @ (352)392-3482</t>
  </si>
  <si>
    <t>Ordered 875 from UF, exercise option for 5625</t>
  </si>
  <si>
    <t>PO 525253</t>
  </si>
  <si>
    <t>Pin, Fiberglass, 1/8" dia. For Wire fixation bar location</t>
  </si>
  <si>
    <t>Florida U.</t>
  </si>
  <si>
    <t>Andrey Korytov @ (352)392-3483</t>
  </si>
  <si>
    <t>Ordered 3200 from UF, exercise option for 24100</t>
  </si>
  <si>
    <t>Pin, brass .84" lg for strip connector</t>
  </si>
  <si>
    <t>60</t>
  </si>
  <si>
    <t>2100 in stock, option to PNPI</t>
  </si>
  <si>
    <t>Resistor, 4.7M ohm, 1/2w with Bent Leads</t>
  </si>
  <si>
    <t>Make from 368255</t>
  </si>
  <si>
    <t>TSG 0622</t>
  </si>
  <si>
    <t>Resistor, Carbon 4.7 M ohm, 1/2 W</t>
  </si>
  <si>
    <t xml:space="preserve">150000 in stock, option for 7000 </t>
  </si>
  <si>
    <t>PO 525997</t>
  </si>
  <si>
    <t>Resistor, 1.0 M ohm, 1/2w with bent Leads</t>
  </si>
  <si>
    <t>Make from 368257</t>
  </si>
  <si>
    <t>Resistor, Carbon 1.0 Mohm, 1/2 W</t>
  </si>
  <si>
    <t>18000 in Stock</t>
  </si>
  <si>
    <t>LA 482</t>
  </si>
  <si>
    <t>Capacitor with Bent Leads (Config. #1)</t>
  </si>
  <si>
    <t>Make from 368272</t>
  </si>
  <si>
    <t>TSG 0618</t>
  </si>
  <si>
    <t xml:space="preserve">Capacitor - 1 nf Ceramic DHR15 Y5P 102M 7.5kV </t>
  </si>
  <si>
    <t>Ordered 176600 on 11/10/99 (G.A.)</t>
  </si>
  <si>
    <t>PO 133499</t>
  </si>
  <si>
    <t>Capacitor with Bent Leads (Config. #2)</t>
  </si>
  <si>
    <t>Make from 368273</t>
  </si>
  <si>
    <t>Make from std. part</t>
  </si>
  <si>
    <t xml:space="preserve"> 800 in stock</t>
  </si>
  <si>
    <t>PO 526046</t>
  </si>
  <si>
    <t>C</t>
  </si>
  <si>
    <t>EPM</t>
  </si>
  <si>
    <t>Purchase Assembled, supply parts</t>
  </si>
  <si>
    <t>840 instock, option for 3160</t>
  </si>
  <si>
    <t>PO 133478</t>
  </si>
  <si>
    <t>D</t>
  </si>
  <si>
    <t>Board, Protection, Finished, made from ES-368264 mat'l.</t>
  </si>
  <si>
    <t>Vendor to procure</t>
  </si>
  <si>
    <t>Connector, 6 Pin Strip Header</t>
  </si>
  <si>
    <t>Make from 368274</t>
  </si>
  <si>
    <t>Connector, 36 Pin Strip, Sullins # S1012-36-ND</t>
  </si>
  <si>
    <t>Make into 368273</t>
  </si>
  <si>
    <t>Diode, Mot. # BAV99LT1, or Allied # 858-2469; Surf. Mt., case SOT-23</t>
  </si>
  <si>
    <t>Used on 368262 &amp; 368307</t>
  </si>
  <si>
    <t>Resistor, 15 ohm, 1/4w, 5% carbon comp. thru hole mt.;</t>
  </si>
  <si>
    <t>Resistor, 10 ohm, 1/4w, 1%, surface mount, case 1206;</t>
  </si>
  <si>
    <t>EPV</t>
  </si>
  <si>
    <t>37 rolls in stock, increase by 2 rolls</t>
  </si>
  <si>
    <t>PO 368280</t>
  </si>
  <si>
    <t>Spring Pin, SS 0.1" dia x 1/2"</t>
  </si>
  <si>
    <t>23500 in stock, 1500 to be ordered</t>
  </si>
  <si>
    <t>LA 499</t>
  </si>
  <si>
    <t>Connector, Latch Ejector, 34 Pin w/ long latch</t>
  </si>
  <si>
    <t>30</t>
  </si>
  <si>
    <t>Part of 368092</t>
  </si>
  <si>
    <t>Ordered ~11700 on 11/5/99 (G.A.)</t>
  </si>
  <si>
    <t>PO 526397</t>
  </si>
  <si>
    <t>Connector, 34 St. Pin Latch Ejector .100x.100 no latch</t>
  </si>
  <si>
    <t>Part of 368263</t>
  </si>
  <si>
    <t>Wire, Gold Plated Tungsten, 50 micron dia.(.002") 1.5 km</t>
  </si>
  <si>
    <t xml:space="preserve">30 in stock, option for 235 </t>
  </si>
  <si>
    <t>ALMIT Solder, w/Flux cored, KR-19 SHrma, .65mm  (roll)</t>
  </si>
  <si>
    <t>EPW</t>
  </si>
  <si>
    <t>chd 12/15/99</t>
  </si>
  <si>
    <t>216 rolls in stock, option for 434</t>
  </si>
  <si>
    <t>LA 474</t>
  </si>
  <si>
    <t>Shim, Corner Heavy</t>
  </si>
  <si>
    <t>Ordered 41K ft on 11/10/99 (G.A.)</t>
  </si>
  <si>
    <t>PO 526252</t>
  </si>
  <si>
    <t>900 in stock, option for 8550</t>
  </si>
  <si>
    <t>Shim, Corner Medium</t>
  </si>
  <si>
    <t>310 in stock, option for 6090</t>
  </si>
  <si>
    <t>PR 134071</t>
  </si>
  <si>
    <t>Shim, Corner Light</t>
  </si>
  <si>
    <t>Screw, Pan Head Phillips, Polycarb 6-32UNC x 3/8"</t>
  </si>
  <si>
    <t>6000 in stock</t>
  </si>
  <si>
    <t>LA 492</t>
  </si>
  <si>
    <t>Connector, 4 Pin Strip Header</t>
  </si>
  <si>
    <t>Connector, 5 Pin Strip Header</t>
  </si>
  <si>
    <t>New 3/22/00</t>
  </si>
  <si>
    <t>Quantity</t>
  </si>
  <si>
    <t xml:space="preserve">Bolt, Panel 'C', M10 x 212.7mm lg (8.38") </t>
  </si>
  <si>
    <t>Bracket, 'XYZ' Fixed Bottom Mounting</t>
  </si>
  <si>
    <t>Wisc</t>
  </si>
  <si>
    <t>Dwg.</t>
  </si>
  <si>
    <t>PN</t>
  </si>
  <si>
    <t>0</t>
  </si>
  <si>
    <t>Washer, Flat, M10 x 30mm O.D. DIN 9021B, Z/P Stl</t>
  </si>
  <si>
    <t>Agreed</t>
  </si>
  <si>
    <t>To</t>
  </si>
  <si>
    <t>?</t>
  </si>
  <si>
    <t>Chamber Common Frame Parts List</t>
  </si>
  <si>
    <t>Ring, Retaining Ext., 3/8 Dia.Z/P Stl, McM #98410A117</t>
  </si>
  <si>
    <t>Budget</t>
  </si>
  <si>
    <t>Codes</t>
  </si>
  <si>
    <t>Epoxy, 3M-2216, Parts A and B (50/50%) (qt. cans each part)</t>
  </si>
  <si>
    <t>Epoxy Resin Epolite 5313 (90%) &amp; (resin cans 1 qt. ea.)
Hard, DETA (10%) [hardener cans 2 oz. ea.]</t>
  </si>
  <si>
    <t>Silicone Rubber RTV 41  (2.5 gal can=12 lb. can)</t>
  </si>
  <si>
    <t>Silicone Paste Catalyst RTV 9811 (2.5 gal can=12 lb. Can)</t>
  </si>
  <si>
    <t>Insulator, Kapton, 4"x9.56"x.002" m/f MA-274450 100 yd (rolls)</t>
  </si>
  <si>
    <t>Braid, Flat Copper, Chem Wik #10-100L  (100' spool)</t>
  </si>
  <si>
    <t>Lug, Ground, .25 push on, male</t>
  </si>
  <si>
    <t>Bracket, 'XYZ' Fixed Top Mounting</t>
  </si>
  <si>
    <t>8</t>
  </si>
  <si>
    <t>E</t>
  </si>
  <si>
    <t>Ring, Retng, 10mm 'E' Style SP stl, McM # 98543A117</t>
  </si>
  <si>
    <t>ME2/1 Gap Bar, Narrow End (ALL)</t>
  </si>
  <si>
    <t>ME2/1 Gap Bar, Left Hand Side (ALL)</t>
  </si>
  <si>
    <t>ME2/1 Gap Bar, Right Hand Side (ALL)</t>
  </si>
  <si>
    <t>ME2/1 Isolation Strip, Outer Panels</t>
  </si>
  <si>
    <t>ME2/1 Isolation Strip, Inner Panels</t>
  </si>
  <si>
    <t>ME2/1 Extrusion, Anode Side Top (from 368174)</t>
  </si>
  <si>
    <t>ME2/1 Extrusion, HV Side Top (from 368176)</t>
  </si>
  <si>
    <t>Date Parts Needed</t>
  </si>
  <si>
    <t xml:space="preserve">ME1/3 Gap Bar, Wide End (OP) </t>
  </si>
  <si>
    <t xml:space="preserve">ME1/3 1/4" SS Gas Flow Tube, Lower </t>
  </si>
  <si>
    <t>ME1/3 1/4" SS Gas Flow Tube, Upper</t>
  </si>
  <si>
    <r>
      <t>Nut, Bulkhead Connector, Chamfered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OBSOLETE 10/2/01</t>
    </r>
  </si>
  <si>
    <t>ME1/3 Chamber Nameplate Label</t>
  </si>
  <si>
    <t>ME1/3 Gap Bar, Narrow End (ALL)</t>
  </si>
  <si>
    <t>ME1/3 Gap Bar, Left Hand Side (ALL)</t>
  </si>
  <si>
    <t>ME1/3 Gap Bar, Right Hand Side (ALL)</t>
  </si>
  <si>
    <t>ME1/3 Gap Bar, Wide End (IP)</t>
  </si>
  <si>
    <t>ME1/3 Isolation Strip, Outer Panels</t>
  </si>
  <si>
    <t>ME1/3 Isolation Strip, Inner Panels</t>
  </si>
  <si>
    <t>Tubing, Mylar,Heat Shrink (25 x 7" pc. Pkg)  (piece)</t>
  </si>
  <si>
    <t>ME3/1 Gap Bar, Narrow End (ALL)</t>
  </si>
  <si>
    <t>ME3/1 Gap Bar, Left Hand Side (ALL)</t>
  </si>
  <si>
    <t>ME3/1 Gap Bar, Right Hand Side (ALL)</t>
  </si>
  <si>
    <t>ME3/1 Isolation Strip, Outer Panels</t>
  </si>
  <si>
    <t>ME3/1 Isolation Strip, Inner Panels</t>
  </si>
  <si>
    <t>Extrusion, Side Frame Profile, 130" +.125/-000</t>
  </si>
  <si>
    <t>Extrusion, Side/WE Frame Profile, 78" +.125/-000</t>
  </si>
  <si>
    <t>Extrusion, WE Frame Profile, 53" +.125/-000</t>
  </si>
  <si>
    <t>Extrusion, NE Frame Profile, 112.5" +.125/-000</t>
  </si>
  <si>
    <t>Extrusion, 'Z' Mounting Bracket Profile (ft.)</t>
  </si>
  <si>
    <t>ME1/2 Mounting Bracket, 'XYZ' Bottom Half LSE</t>
  </si>
  <si>
    <t>ME1/2 Mounting Bracket, 'XYZ' Top Half LSE</t>
  </si>
  <si>
    <t>ME1/2 Mounting Bracket, 'Z' Bottom Half RSE</t>
  </si>
  <si>
    <t>ME1/3 Panel, Big End</t>
  </si>
  <si>
    <t>ME1/3 Panel, Small End</t>
  </si>
  <si>
    <t>ME1/2 Mounting Bracket, 'Z' Top Half RSE</t>
  </si>
  <si>
    <t>Common ME2/1, 3/1, 4/1 Panel, Big End</t>
  </si>
  <si>
    <t>Foreign Site Chamber Unique Parts List</t>
  </si>
  <si>
    <t xml:space="preserve">N. Chester
Updated 8/7/01 </t>
  </si>
  <si>
    <t>Silicone Spray Lubricant (can - est one can for 40 chambers)</t>
  </si>
  <si>
    <t>Primer, RTV 41, Silicone (pint container - est 1 pt.for 40 chambers)</t>
  </si>
  <si>
    <t>ME 1/2 Parts</t>
  </si>
  <si>
    <t xml:space="preserve">ME 1/3 Parts </t>
  </si>
  <si>
    <t>ME1/3 Panel, Anode Side</t>
  </si>
  <si>
    <t>ME1/3 Panel, HV Side</t>
  </si>
  <si>
    <t>ME 2/1 Parts</t>
  </si>
  <si>
    <t>ME 3/1 Parts</t>
  </si>
  <si>
    <t xml:space="preserve">ME 4/1 Parts </t>
  </si>
  <si>
    <t xml:space="preserve">ME4/1 Extrusion, Anode Side Bottom </t>
  </si>
  <si>
    <t>ME4/1 Extrusion, Anode Side Top</t>
  </si>
  <si>
    <t>ME4/1 Extrusion, HV Side Top</t>
  </si>
  <si>
    <t>ME4/1 Extrusion, HV Side Bottom</t>
  </si>
  <si>
    <t>ME4/1 Extrusion, Small End Bottom</t>
  </si>
  <si>
    <t>ME4/1 Extrusion, Small End Top</t>
  </si>
  <si>
    <t>ME2/1 Extrusion, HV Side Bottom</t>
  </si>
  <si>
    <t>ME2/1 Extrusion, Small End Bottom</t>
  </si>
  <si>
    <t>ME2/1 Extrusion, Anode Side Top</t>
  </si>
  <si>
    <t>ME2/1 Extrusion, HV Side Top</t>
  </si>
  <si>
    <t>ME2/1 Extrusion, Small End Top</t>
  </si>
  <si>
    <t>ME3/1 Extrusion, HV Side Bottom</t>
  </si>
  <si>
    <t>ME3/1 Extrusion, Anode Side Top</t>
  </si>
  <si>
    <t>ME3/1 Extrusion, HV Side Top[</t>
  </si>
  <si>
    <t>ME3/1 Extrusion, Small End Top</t>
  </si>
  <si>
    <t>ME3/1 Extrusion, Small End Bottom</t>
  </si>
  <si>
    <t>ME3/1 Extrusion, Anode Side Bottom</t>
  </si>
  <si>
    <t>ME2/1 Extrusion, Anode Side Bottom</t>
  </si>
  <si>
    <t>ME1/3 Extrusion, HV Side Bottom</t>
  </si>
  <si>
    <t>ME1/3 Extrusion, Small End Bottom</t>
  </si>
  <si>
    <t>ME1/3 Extrusion, Anode Side Top</t>
  </si>
  <si>
    <t>ME1/3 Extrusion, Big End Top</t>
  </si>
  <si>
    <t>ME1/3 Extrusion, HV Side Top</t>
  </si>
  <si>
    <t>ME1/3 Extrusion, Small End Top</t>
  </si>
  <si>
    <t>ME1/3 Extrusion, Anode Side Bottom</t>
  </si>
  <si>
    <t>ME1/3 Extrusion, Big End Bottom</t>
  </si>
  <si>
    <t>ME1/3 Mounting Bracket, YZ Bottom</t>
  </si>
  <si>
    <t>ME1/3 Mounting Bracket, Z Bottom</t>
  </si>
  <si>
    <t>ME1/3 Mounting Bracket, Z Bottom(sm end)</t>
  </si>
  <si>
    <t>ME1/3 Mounting Bracket, XYZ Top</t>
  </si>
  <si>
    <t>ME1/3 Mounting Bracket, YZ Top</t>
  </si>
  <si>
    <t>ME1/3 Mounting Bracket, Z Top(sm end)</t>
  </si>
  <si>
    <t>ME1/3 Mounting Bracket, Z Top</t>
  </si>
  <si>
    <t>ME1/3 Mounting Bracket, XYZ Bottom</t>
  </si>
  <si>
    <t>Qty/</t>
  </si>
  <si>
    <t>Chamber</t>
  </si>
  <si>
    <t xml:space="preserve">ME1/2 Extrusion, Anode Side Bottom </t>
  </si>
  <si>
    <t>ME1/2 Extrusion, Big End Bottom</t>
  </si>
  <si>
    <t>ME1/2 Extrusion, HV Side Bottom</t>
  </si>
  <si>
    <t>ME1/2 Extrusion, Small End Bottom</t>
  </si>
  <si>
    <t>ME1/2 Extrusion, Anode Side Top</t>
  </si>
  <si>
    <t>ME1/2 Extrusion, Big End Top</t>
  </si>
  <si>
    <t>ME1/2 Extrusion, HV Side Top</t>
  </si>
  <si>
    <t>ME1/2 Extrusion, Small End Top</t>
  </si>
  <si>
    <t>Common ME2/1, 3/1, 4/1 Extrusion, Top Big End</t>
  </si>
  <si>
    <t>Common ME2/1, 3/1, 4/1 Extrusion, Bottom Big End</t>
  </si>
  <si>
    <t xml:space="preserve">Raw </t>
  </si>
  <si>
    <t>Mat'l</t>
  </si>
  <si>
    <t>by IHEP</t>
  </si>
  <si>
    <t>by PNPI</t>
  </si>
  <si>
    <t>by Fnal</t>
  </si>
  <si>
    <t>5599066B-a</t>
  </si>
  <si>
    <t>5599014C-a</t>
  </si>
  <si>
    <t>5599015C-a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</si>
</sst>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_);[Red]\(0.00\)"/>
    <numFmt numFmtId="166" formatCode="0.0"/>
    <numFmt numFmtId="167" formatCode="000"/>
    <numFmt numFmtId="168" formatCode="0.00_);\(0.00\)"/>
    <numFmt numFmtId="169" formatCode="0_);\(0\)"/>
    <numFmt numFmtId="170" formatCode="0.0%"/>
    <numFmt numFmtId="171" formatCode="00000"/>
    <numFmt numFmtId="172" formatCode="&quot;$&quot;#,##0"/>
    <numFmt numFmtId="173" formatCode="0.00000"/>
    <numFmt numFmtId="174" formatCode="0;0;;@"/>
  </numFmts>
  <fonts count="2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vertAlign val="subscript"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  <font>
      <sz val="8"/>
      <color indexed="10"/>
      <name val="Arial"/>
      <family val="2"/>
    </font>
    <font>
      <strike/>
      <sz val="10"/>
      <name val="Arial"/>
      <family val="2"/>
    </font>
    <font>
      <sz val="8"/>
      <color indexed="17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trike/>
      <sz val="10"/>
      <color indexed="10"/>
      <name val="Arial"/>
      <family val="2"/>
    </font>
    <font>
      <sz val="18"/>
      <color indexed="10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44" fontId="0" fillId="0" borderId="2" xfId="17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44" fontId="0" fillId="0" borderId="2" xfId="17" applyFont="1" applyBorder="1" applyAlignment="1">
      <alignment horizontal="left"/>
    </xf>
    <xf numFmtId="1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44" fontId="0" fillId="0" borderId="2" xfId="17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1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Continuous"/>
    </xf>
    <xf numFmtId="169" fontId="1" fillId="0" borderId="0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/>
    </xf>
    <xf numFmtId="169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70" fontId="1" fillId="0" borderId="0" xfId="0" applyNumberFormat="1" applyFont="1" applyBorder="1" applyAlignment="1">
      <alignment horizontal="centerContinuous"/>
    </xf>
    <xf numFmtId="166" fontId="4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Continuous"/>
    </xf>
    <xf numFmtId="14" fontId="1" fillId="0" borderId="1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Continuous" vertical="center"/>
    </xf>
    <xf numFmtId="1" fontId="1" fillId="0" borderId="1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66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9" fontId="4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0" fontId="0" fillId="2" borderId="1" xfId="0" applyFont="1" applyFill="1" applyBorder="1" applyAlignment="1">
      <alignment/>
    </xf>
    <xf numFmtId="169" fontId="4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9" fontId="11" fillId="0" borderId="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69" fontId="13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wrapText="1"/>
    </xf>
    <xf numFmtId="166" fontId="18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6" fontId="0" fillId="0" borderId="6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169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69" fontId="0" fillId="0" borderId="2" xfId="0" applyNumberFormat="1" applyFont="1" applyBorder="1" applyAlignment="1">
      <alignment horizontal="centerContinuous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Continuous"/>
    </xf>
    <xf numFmtId="1" fontId="0" fillId="0" borderId="0" xfId="0" applyNumberFormat="1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left" wrapText="1"/>
    </xf>
    <xf numFmtId="166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vertical="center" wrapText="1"/>
    </xf>
    <xf numFmtId="2" fontId="0" fillId="0" borderId="6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Continuous"/>
    </xf>
    <xf numFmtId="1" fontId="0" fillId="0" borderId="0" xfId="0" applyNumberFormat="1" applyFont="1" applyFill="1" applyAlignment="1">
      <alignment horizontal="centerContinuous"/>
    </xf>
    <xf numFmtId="1" fontId="0" fillId="0" borderId="1" xfId="0" applyNumberFormat="1" applyFont="1" applyFill="1" applyBorder="1" applyAlignment="1">
      <alignment horizontal="centerContinuous"/>
    </xf>
    <xf numFmtId="1" fontId="9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1" fontId="0" fillId="0" borderId="7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4" fontId="0" fillId="0" borderId="4" xfId="17" applyFont="1" applyBorder="1" applyAlignment="1">
      <alignment horizontal="center"/>
    </xf>
    <xf numFmtId="0" fontId="0" fillId="1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2" fontId="0" fillId="0" borderId="4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right"/>
    </xf>
    <xf numFmtId="44" fontId="5" fillId="0" borderId="2" xfId="17" applyFont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vertical="top" wrapText="1"/>
    </xf>
    <xf numFmtId="1" fontId="24" fillId="0" borderId="0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" fontId="24" fillId="0" borderId="4" xfId="0" applyNumberFormat="1" applyFont="1" applyBorder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0" fontId="24" fillId="0" borderId="2" xfId="0" applyFont="1" applyBorder="1" applyAlignment="1">
      <alignment/>
    </xf>
    <xf numFmtId="0" fontId="24" fillId="0" borderId="2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1" fontId="1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9"/>
  <sheetViews>
    <sheetView workbookViewId="0" topLeftCell="A1">
      <pane xSplit="7110" ySplit="1410" topLeftCell="H70" activePane="bottomRight" state="split"/>
      <selection pane="topLeft" activeCell="C7" sqref="C1:C16384"/>
      <selection pane="topRight" activeCell="C1" sqref="C1"/>
      <selection pane="bottomLeft" activeCell="C51" sqref="C51"/>
      <selection pane="bottomRight" activeCell="R6" sqref="R6"/>
    </sheetView>
  </sheetViews>
  <sheetFormatPr defaultColWidth="9.140625" defaultRowHeight="12.75"/>
  <cols>
    <col min="1" max="1" width="4.8515625" style="54" customWidth="1"/>
    <col min="2" max="2" width="8.28125" style="8" customWidth="1"/>
    <col min="3" max="3" width="57.140625" style="54" customWidth="1"/>
    <col min="4" max="4" width="6.140625" style="54" customWidth="1"/>
    <col min="5" max="5" width="6.421875" style="54" customWidth="1"/>
    <col min="6" max="11" width="6.140625" style="54" customWidth="1"/>
    <col min="12" max="13" width="7.421875" style="87" customWidth="1"/>
    <col min="14" max="14" width="5.7109375" style="54" customWidth="1"/>
    <col min="15" max="15" width="7.8515625" style="54" customWidth="1"/>
    <col min="16" max="16" width="11.28125" style="54" customWidth="1"/>
    <col min="17" max="17" width="9.140625" style="54" customWidth="1"/>
    <col min="18" max="18" width="10.8515625" style="8" customWidth="1"/>
    <col min="19" max="19" width="7.00390625" style="54" customWidth="1"/>
    <col min="20" max="20" width="12.140625" style="54" customWidth="1"/>
    <col min="21" max="21" width="11.7109375" style="8" customWidth="1"/>
    <col min="22" max="22" width="11.7109375" style="271" customWidth="1"/>
    <col min="23" max="24" width="9.140625" style="54" customWidth="1"/>
    <col min="25" max="25" width="30.57421875" style="54" customWidth="1"/>
    <col min="26" max="26" width="32.28125" style="54" customWidth="1"/>
    <col min="27" max="27" width="10.421875" style="54" customWidth="1"/>
    <col min="28" max="28" width="12.140625" style="54" customWidth="1"/>
    <col min="29" max="16384" width="9.140625" style="54" customWidth="1"/>
  </cols>
  <sheetData>
    <row r="1" spans="1:28" ht="12.75">
      <c r="A1" s="8" t="s">
        <v>193</v>
      </c>
      <c r="B1" s="8" t="s">
        <v>262</v>
      </c>
      <c r="C1" s="225" t="s">
        <v>195</v>
      </c>
      <c r="D1" s="272" t="s">
        <v>196</v>
      </c>
      <c r="E1" s="272"/>
      <c r="F1" s="272" t="s">
        <v>196</v>
      </c>
      <c r="G1" s="272"/>
      <c r="H1" s="272" t="s">
        <v>196</v>
      </c>
      <c r="I1" s="255"/>
      <c r="J1" s="272" t="s">
        <v>196</v>
      </c>
      <c r="K1" s="255"/>
      <c r="L1" s="273" t="s">
        <v>196</v>
      </c>
      <c r="M1" s="274"/>
      <c r="N1" s="272" t="s">
        <v>197</v>
      </c>
      <c r="O1" s="255"/>
      <c r="P1" s="275" t="s">
        <v>198</v>
      </c>
      <c r="Q1" s="165" t="s">
        <v>199</v>
      </c>
      <c r="R1" s="165" t="s">
        <v>200</v>
      </c>
      <c r="S1" s="276">
        <v>36663</v>
      </c>
      <c r="T1" s="276">
        <v>36663</v>
      </c>
      <c r="U1" s="276" t="s">
        <v>201</v>
      </c>
      <c r="V1" s="277"/>
      <c r="W1" s="16" t="s">
        <v>202</v>
      </c>
      <c r="X1" s="16" t="s">
        <v>203</v>
      </c>
      <c r="Y1" s="15"/>
      <c r="Z1" s="16" t="s">
        <v>204</v>
      </c>
      <c r="AA1" s="15"/>
      <c r="AB1" s="17" t="s">
        <v>205</v>
      </c>
    </row>
    <row r="2" spans="1:28" ht="15">
      <c r="A2" s="8"/>
      <c r="C2" s="278" t="s">
        <v>206</v>
      </c>
      <c r="D2" s="272" t="s">
        <v>207</v>
      </c>
      <c r="E2" s="255"/>
      <c r="F2" s="272" t="s">
        <v>208</v>
      </c>
      <c r="G2" s="255"/>
      <c r="H2" s="272" t="s">
        <v>209</v>
      </c>
      <c r="I2" s="255"/>
      <c r="J2" s="272" t="s">
        <v>210</v>
      </c>
      <c r="K2" s="255"/>
      <c r="L2" s="256" t="s">
        <v>211</v>
      </c>
      <c r="M2" s="274"/>
      <c r="N2" s="272" t="s">
        <v>212</v>
      </c>
      <c r="O2" s="255"/>
      <c r="P2" s="275" t="s">
        <v>197</v>
      </c>
      <c r="Q2" s="11" t="s">
        <v>213</v>
      </c>
      <c r="R2" s="11" t="s">
        <v>214</v>
      </c>
      <c r="S2" s="165" t="s">
        <v>215</v>
      </c>
      <c r="T2" s="11" t="s">
        <v>216</v>
      </c>
      <c r="U2" s="11" t="s">
        <v>216</v>
      </c>
      <c r="V2" s="23"/>
      <c r="W2" s="16" t="s">
        <v>217</v>
      </c>
      <c r="X2" s="16" t="s">
        <v>218</v>
      </c>
      <c r="Y2" s="16" t="s">
        <v>219</v>
      </c>
      <c r="Z2" s="16" t="s">
        <v>220</v>
      </c>
      <c r="AA2" s="16" t="s">
        <v>221</v>
      </c>
      <c r="AB2" s="17" t="s">
        <v>222</v>
      </c>
    </row>
    <row r="3" spans="1:28" ht="12.75">
      <c r="A3" s="5"/>
      <c r="B3" s="5"/>
      <c r="C3" s="279" t="s">
        <v>223</v>
      </c>
      <c r="D3" s="5">
        <v>1</v>
      </c>
      <c r="E3" s="280">
        <v>76</v>
      </c>
      <c r="F3" s="281">
        <v>1</v>
      </c>
      <c r="G3" s="280">
        <f>74+2</f>
        <v>76</v>
      </c>
      <c r="H3" s="281">
        <v>1</v>
      </c>
      <c r="I3" s="11">
        <f>38+2</f>
        <v>40</v>
      </c>
      <c r="J3" s="281">
        <v>1</v>
      </c>
      <c r="K3" s="280">
        <f>38+2</f>
        <v>40</v>
      </c>
      <c r="L3" s="282">
        <v>1</v>
      </c>
      <c r="M3" s="283">
        <f>38+2</f>
        <v>40</v>
      </c>
      <c r="N3" s="281">
        <v>1</v>
      </c>
      <c r="O3" s="280">
        <v>150</v>
      </c>
      <c r="P3" s="284">
        <f>O3+M3+K3+I3+G3+E3</f>
        <v>422</v>
      </c>
      <c r="Q3" s="285" t="s">
        <v>224</v>
      </c>
      <c r="R3" s="285"/>
      <c r="S3" s="285" t="s">
        <v>225</v>
      </c>
      <c r="T3" s="285" t="s">
        <v>197</v>
      </c>
      <c r="U3" s="285" t="s">
        <v>197</v>
      </c>
      <c r="V3" s="286" t="s">
        <v>59</v>
      </c>
      <c r="W3" s="287"/>
      <c r="X3" s="6" t="s">
        <v>226</v>
      </c>
      <c r="Y3" s="7"/>
      <c r="Z3" s="287" t="s">
        <v>60</v>
      </c>
      <c r="AA3" s="7"/>
      <c r="AB3" s="288" t="s">
        <v>227</v>
      </c>
    </row>
    <row r="4" spans="1:28" ht="12.75">
      <c r="A4" s="8"/>
      <c r="C4" s="19"/>
      <c r="D4" s="10"/>
      <c r="E4" s="11"/>
      <c r="F4" s="10"/>
      <c r="G4" s="11"/>
      <c r="H4" s="10"/>
      <c r="I4" s="12"/>
      <c r="J4" s="10"/>
      <c r="K4" s="11"/>
      <c r="L4" s="13"/>
      <c r="M4" s="14"/>
      <c r="N4" s="10"/>
      <c r="O4" s="11"/>
      <c r="P4" s="284"/>
      <c r="Q4" s="11"/>
      <c r="R4" s="11"/>
      <c r="S4" s="11"/>
      <c r="T4" s="11"/>
      <c r="U4" s="11"/>
      <c r="V4" s="23"/>
      <c r="W4" s="15"/>
      <c r="X4" s="16"/>
      <c r="Y4" s="15"/>
      <c r="Z4" s="15"/>
      <c r="AA4" s="15"/>
      <c r="AB4" s="17"/>
    </row>
    <row r="5" spans="1:28" ht="12.75">
      <c r="A5" s="8"/>
      <c r="C5" s="19"/>
      <c r="D5" s="10"/>
      <c r="E5" s="11"/>
      <c r="F5" s="10"/>
      <c r="G5" s="11"/>
      <c r="H5" s="10"/>
      <c r="I5" s="11"/>
      <c r="J5" s="10"/>
      <c r="K5" s="11"/>
      <c r="L5" s="13"/>
      <c r="M5" s="14"/>
      <c r="N5" s="10"/>
      <c r="O5" s="11"/>
      <c r="P5" s="284"/>
      <c r="Q5" s="11"/>
      <c r="R5" s="11"/>
      <c r="S5" s="11"/>
      <c r="T5" s="11"/>
      <c r="U5" s="11"/>
      <c r="V5" s="23"/>
      <c r="W5" s="15"/>
      <c r="X5" s="16"/>
      <c r="Y5" s="15"/>
      <c r="Z5" s="15"/>
      <c r="AA5" s="15"/>
      <c r="AB5" s="17"/>
    </row>
    <row r="6" spans="1:28" ht="12.75">
      <c r="A6" s="8" t="s">
        <v>228</v>
      </c>
      <c r="B6" s="8">
        <v>106778</v>
      </c>
      <c r="C6" s="257" t="s">
        <v>267</v>
      </c>
      <c r="D6" s="10">
        <v>0</v>
      </c>
      <c r="E6" s="11">
        <v>0</v>
      </c>
      <c r="F6" s="10">
        <v>0</v>
      </c>
      <c r="G6" s="11">
        <v>0</v>
      </c>
      <c r="H6" s="238">
        <f>20/36/3/12</f>
        <v>0.0154320987654321</v>
      </c>
      <c r="I6" s="234">
        <f>H6*I$3</f>
        <v>0.617283950617284</v>
      </c>
      <c r="J6" s="238">
        <f>35/36/3/12</f>
        <v>0.02700617283950617</v>
      </c>
      <c r="K6" s="234">
        <f>J6*K$3</f>
        <v>1.0802469135802468</v>
      </c>
      <c r="L6" s="238">
        <f>35/36/3/12</f>
        <v>0.02700617283950617</v>
      </c>
      <c r="M6" s="234">
        <f>L6*M$3</f>
        <v>1.0802469135802468</v>
      </c>
      <c r="N6" s="10">
        <v>0</v>
      </c>
      <c r="O6" s="11">
        <v>0</v>
      </c>
      <c r="P6" s="284">
        <f aca="true" t="shared" si="0" ref="P6:P70">O6+M6+K6+I6+G6+E6</f>
        <v>2.7777777777777777</v>
      </c>
      <c r="Q6" s="11"/>
      <c r="R6" s="11"/>
      <c r="S6" s="11"/>
      <c r="T6" s="11"/>
      <c r="U6" s="11"/>
      <c r="V6" s="23"/>
      <c r="W6" s="15"/>
      <c r="X6" s="16"/>
      <c r="Y6" s="15"/>
      <c r="Z6" s="15"/>
      <c r="AA6" s="15"/>
      <c r="AB6" s="17"/>
    </row>
    <row r="7" spans="1:28" ht="12.75">
      <c r="A7" s="8" t="s">
        <v>228</v>
      </c>
      <c r="B7" s="8">
        <v>274450</v>
      </c>
      <c r="C7" s="19" t="s">
        <v>102</v>
      </c>
      <c r="D7" s="10"/>
      <c r="E7" s="11">
        <v>1</v>
      </c>
      <c r="F7" s="10"/>
      <c r="G7" s="11">
        <v>1</v>
      </c>
      <c r="H7" s="10"/>
      <c r="I7" s="11">
        <v>0.666</v>
      </c>
      <c r="J7" s="10"/>
      <c r="K7" s="11">
        <v>0.666</v>
      </c>
      <c r="L7" s="13"/>
      <c r="M7" s="14">
        <v>0.666</v>
      </c>
      <c r="N7" s="10"/>
      <c r="O7" s="11">
        <v>0</v>
      </c>
      <c r="P7" s="284">
        <f t="shared" si="0"/>
        <v>3.998</v>
      </c>
      <c r="Q7" s="11"/>
      <c r="R7" s="11"/>
      <c r="S7" s="11"/>
      <c r="T7" s="11"/>
      <c r="U7" s="11"/>
      <c r="V7" s="23"/>
      <c r="W7" s="15"/>
      <c r="X7" s="16"/>
      <c r="Y7" s="15"/>
      <c r="Z7" s="15"/>
      <c r="AA7" s="15"/>
      <c r="AB7" s="17"/>
    </row>
    <row r="8" spans="1:28" ht="12.75">
      <c r="A8" s="18" t="s">
        <v>228</v>
      </c>
      <c r="B8" s="18">
        <v>368005</v>
      </c>
      <c r="C8" s="19" t="s">
        <v>229</v>
      </c>
      <c r="D8" s="20" t="s">
        <v>230</v>
      </c>
      <c r="E8" s="11">
        <f>D8*E$3</f>
        <v>152</v>
      </c>
      <c r="F8" s="20" t="s">
        <v>230</v>
      </c>
      <c r="G8" s="11">
        <f>F8*G$3</f>
        <v>152</v>
      </c>
      <c r="H8" s="20" t="s">
        <v>230</v>
      </c>
      <c r="I8" s="14">
        <f>H8*I$3</f>
        <v>80</v>
      </c>
      <c r="J8" s="20" t="s">
        <v>230</v>
      </c>
      <c r="K8" s="11">
        <f>J8*K$3</f>
        <v>80</v>
      </c>
      <c r="L8" s="13" t="s">
        <v>230</v>
      </c>
      <c r="M8" s="14">
        <f>L8*M$3</f>
        <v>80</v>
      </c>
      <c r="N8" s="20">
        <v>4</v>
      </c>
      <c r="O8" s="11">
        <f aca="true" t="shared" si="1" ref="O8:O40">N8*O$3</f>
        <v>600</v>
      </c>
      <c r="P8" s="284">
        <f t="shared" si="0"/>
        <v>1144</v>
      </c>
      <c r="Q8" s="11">
        <v>1100</v>
      </c>
      <c r="R8" s="11">
        <v>1100</v>
      </c>
      <c r="S8" s="22">
        <v>5</v>
      </c>
      <c r="T8" s="11">
        <f>P8+P8*S8*0.01</f>
        <v>1201.2</v>
      </c>
      <c r="U8" s="11">
        <f>MROUND(T8,100)</f>
        <v>1200</v>
      </c>
      <c r="V8" s="23">
        <f>R8-U8</f>
        <v>-100</v>
      </c>
      <c r="W8" s="15" t="s">
        <v>231</v>
      </c>
      <c r="X8" s="16" t="s">
        <v>232</v>
      </c>
      <c r="Y8" s="15"/>
      <c r="Z8" s="15" t="s">
        <v>233</v>
      </c>
      <c r="AA8" s="24" t="s">
        <v>234</v>
      </c>
      <c r="AB8" s="25">
        <v>2.26</v>
      </c>
    </row>
    <row r="9" spans="1:28" ht="12.75">
      <c r="A9" s="8" t="s">
        <v>228</v>
      </c>
      <c r="B9" s="8">
        <v>368006</v>
      </c>
      <c r="C9" s="19" t="s">
        <v>236</v>
      </c>
      <c r="D9" s="10" t="s">
        <v>237</v>
      </c>
      <c r="E9" s="11">
        <f aca="true" t="shared" si="2" ref="E9:E49">D9*E$3</f>
        <v>304</v>
      </c>
      <c r="F9" s="10" t="s">
        <v>237</v>
      </c>
      <c r="G9" s="11">
        <f aca="true" t="shared" si="3" ref="G9:G49">F9*G$3</f>
        <v>304</v>
      </c>
      <c r="H9" s="10" t="s">
        <v>237</v>
      </c>
      <c r="I9" s="11">
        <f aca="true" t="shared" si="4" ref="I9:I49">H9*I$3</f>
        <v>160</v>
      </c>
      <c r="J9" s="10" t="s">
        <v>237</v>
      </c>
      <c r="K9" s="11">
        <f>J9*K$3</f>
        <v>160</v>
      </c>
      <c r="L9" s="26" t="s">
        <v>237</v>
      </c>
      <c r="M9" s="14">
        <f>L9*M$3</f>
        <v>160</v>
      </c>
      <c r="N9" s="10">
        <v>8</v>
      </c>
      <c r="O9" s="11">
        <f t="shared" si="1"/>
        <v>1200</v>
      </c>
      <c r="P9" s="284">
        <f t="shared" si="0"/>
        <v>2288</v>
      </c>
      <c r="Q9" s="11">
        <v>2200</v>
      </c>
      <c r="R9" s="11">
        <v>2200</v>
      </c>
      <c r="S9" s="11">
        <v>5</v>
      </c>
      <c r="T9" s="11">
        <f aca="true" t="shared" si="5" ref="T9:T48">P9+P9*S9*0.01</f>
        <v>2402.4</v>
      </c>
      <c r="U9" s="11">
        <f>MROUND(T9,100)</f>
        <v>2400</v>
      </c>
      <c r="V9" s="23">
        <f aca="true" t="shared" si="6" ref="V9:V48">R9-U9</f>
        <v>-200</v>
      </c>
      <c r="W9" s="15" t="s">
        <v>231</v>
      </c>
      <c r="X9" s="16" t="s">
        <v>232</v>
      </c>
      <c r="Y9" s="15"/>
      <c r="Z9" s="15" t="s">
        <v>238</v>
      </c>
      <c r="AA9" s="24" t="s">
        <v>234</v>
      </c>
      <c r="AB9" s="25">
        <v>2.98</v>
      </c>
    </row>
    <row r="10" spans="1:28" ht="12.75">
      <c r="A10" s="18" t="s">
        <v>228</v>
      </c>
      <c r="B10" s="18">
        <v>368012</v>
      </c>
      <c r="C10" s="19" t="s">
        <v>239</v>
      </c>
      <c r="D10" s="13" t="s">
        <v>240</v>
      </c>
      <c r="E10" s="14">
        <f t="shared" si="2"/>
        <v>228</v>
      </c>
      <c r="F10" s="20" t="s">
        <v>240</v>
      </c>
      <c r="G10" s="11">
        <f t="shared" si="3"/>
        <v>228</v>
      </c>
      <c r="H10" s="20" t="s">
        <v>240</v>
      </c>
      <c r="I10" s="11">
        <f t="shared" si="4"/>
        <v>120</v>
      </c>
      <c r="J10" s="20" t="s">
        <v>240</v>
      </c>
      <c r="K10" s="11">
        <f>J10*K$3</f>
        <v>120</v>
      </c>
      <c r="L10" s="13" t="s">
        <v>240</v>
      </c>
      <c r="M10" s="14">
        <f aca="true" t="shared" si="7" ref="M10:M48">L10*M$3</f>
        <v>120</v>
      </c>
      <c r="N10" s="20">
        <v>5</v>
      </c>
      <c r="O10" s="11">
        <f t="shared" si="1"/>
        <v>750</v>
      </c>
      <c r="P10" s="284">
        <f t="shared" si="0"/>
        <v>1566</v>
      </c>
      <c r="Q10" s="11">
        <v>1500</v>
      </c>
      <c r="R10" s="11">
        <v>1600</v>
      </c>
      <c r="S10" s="11">
        <v>10</v>
      </c>
      <c r="T10" s="11">
        <f t="shared" si="5"/>
        <v>1722.6</v>
      </c>
      <c r="U10" s="11">
        <f>MROUND(T10,100)</f>
        <v>1700</v>
      </c>
      <c r="V10" s="23">
        <f t="shared" si="6"/>
        <v>-100</v>
      </c>
      <c r="W10" s="15" t="s">
        <v>231</v>
      </c>
      <c r="X10" s="16" t="s">
        <v>232</v>
      </c>
      <c r="Y10" s="15" t="s">
        <v>241</v>
      </c>
      <c r="Z10" s="15" t="s">
        <v>242</v>
      </c>
      <c r="AA10" s="24" t="s">
        <v>234</v>
      </c>
      <c r="AB10" s="25">
        <v>1.98</v>
      </c>
    </row>
    <row r="11" spans="1:28" ht="12.75">
      <c r="A11" s="8" t="s">
        <v>228</v>
      </c>
      <c r="B11" s="8">
        <v>368014</v>
      </c>
      <c r="C11" s="19" t="s">
        <v>57</v>
      </c>
      <c r="D11" s="292">
        <f>35/235</f>
        <v>0.14893617021276595</v>
      </c>
      <c r="E11" s="14">
        <f t="shared" si="2"/>
        <v>11.319148936170212</v>
      </c>
      <c r="F11" s="293">
        <f>35/235</f>
        <v>0.14893617021276595</v>
      </c>
      <c r="G11" s="11">
        <f t="shared" si="3"/>
        <v>11.319148936170212</v>
      </c>
      <c r="H11" s="293">
        <f>35/235</f>
        <v>0.14893617021276595</v>
      </c>
      <c r="I11" s="11">
        <f t="shared" si="4"/>
        <v>5.957446808510638</v>
      </c>
      <c r="J11" s="293">
        <f>35/235</f>
        <v>0.14893617021276595</v>
      </c>
      <c r="K11" s="11">
        <f>J11*K$3</f>
        <v>5.957446808510638</v>
      </c>
      <c r="L11" s="292">
        <f>35/235</f>
        <v>0.14893617021276595</v>
      </c>
      <c r="M11" s="14">
        <f t="shared" si="7"/>
        <v>5.957446808510638</v>
      </c>
      <c r="N11" s="254">
        <f>50/235</f>
        <v>0.2127659574468085</v>
      </c>
      <c r="O11" s="11">
        <f t="shared" si="1"/>
        <v>31.914893617021278</v>
      </c>
      <c r="P11" s="284">
        <f t="shared" si="0"/>
        <v>72.42553191489361</v>
      </c>
      <c r="Q11" s="11">
        <v>16000</v>
      </c>
      <c r="R11" s="11">
        <v>17000</v>
      </c>
      <c r="S11" s="11">
        <v>10</v>
      </c>
      <c r="T11" s="11">
        <f>(P11+P11*S11*0.01)/235</f>
        <v>0.33901312811226797</v>
      </c>
      <c r="U11" s="11"/>
      <c r="V11" s="23">
        <f t="shared" si="6"/>
        <v>17000</v>
      </c>
      <c r="W11" s="15" t="s">
        <v>231</v>
      </c>
      <c r="X11" s="16" t="s">
        <v>232</v>
      </c>
      <c r="Y11" s="15" t="s">
        <v>243</v>
      </c>
      <c r="Z11" s="15" t="s">
        <v>244</v>
      </c>
      <c r="AA11" s="24" t="s">
        <v>245</v>
      </c>
      <c r="AB11" s="25">
        <v>41.25</v>
      </c>
    </row>
    <row r="12" spans="1:28" ht="12.75">
      <c r="A12" s="18" t="s">
        <v>228</v>
      </c>
      <c r="B12" s="18">
        <v>368015</v>
      </c>
      <c r="C12" s="19" t="s">
        <v>247</v>
      </c>
      <c r="D12" s="20">
        <f>2*3</f>
        <v>6</v>
      </c>
      <c r="E12" s="11">
        <f t="shared" si="2"/>
        <v>456</v>
      </c>
      <c r="F12" s="20">
        <f>2*3</f>
        <v>6</v>
      </c>
      <c r="G12" s="11">
        <f t="shared" si="3"/>
        <v>456</v>
      </c>
      <c r="H12" s="20">
        <f>2*3</f>
        <v>6</v>
      </c>
      <c r="I12" s="11">
        <f t="shared" si="4"/>
        <v>240</v>
      </c>
      <c r="J12" s="20">
        <f>2*3</f>
        <v>6</v>
      </c>
      <c r="K12" s="11">
        <f aca="true" t="shared" si="8" ref="K12:K20">J12*K$3</f>
        <v>240</v>
      </c>
      <c r="L12" s="13">
        <f>2*3</f>
        <v>6</v>
      </c>
      <c r="M12" s="14">
        <f t="shared" si="7"/>
        <v>240</v>
      </c>
      <c r="N12" s="20">
        <v>10</v>
      </c>
      <c r="O12" s="11">
        <f t="shared" si="1"/>
        <v>1500</v>
      </c>
      <c r="P12" s="284">
        <f t="shared" si="0"/>
        <v>3132</v>
      </c>
      <c r="Q12" s="11">
        <v>3000</v>
      </c>
      <c r="R12" s="11">
        <v>3100</v>
      </c>
      <c r="S12" s="11">
        <v>10</v>
      </c>
      <c r="T12" s="11">
        <f t="shared" si="5"/>
        <v>3445.2</v>
      </c>
      <c r="U12" s="11">
        <v>3500</v>
      </c>
      <c r="V12" s="23" t="s">
        <v>160</v>
      </c>
      <c r="W12" s="15" t="s">
        <v>231</v>
      </c>
      <c r="X12" s="16" t="s">
        <v>232</v>
      </c>
      <c r="Y12" s="15"/>
      <c r="Z12" s="15" t="s">
        <v>248</v>
      </c>
      <c r="AA12" s="24" t="s">
        <v>249</v>
      </c>
      <c r="AB12" s="25">
        <v>0.0235</v>
      </c>
    </row>
    <row r="13" spans="1:28" ht="12.75">
      <c r="A13" s="8" t="s">
        <v>228</v>
      </c>
      <c r="B13" s="8">
        <v>368019</v>
      </c>
      <c r="C13" s="19" t="s">
        <v>250</v>
      </c>
      <c r="D13" s="27">
        <v>1.5</v>
      </c>
      <c r="E13" s="28">
        <f>D13*E$3</f>
        <v>114</v>
      </c>
      <c r="F13" s="27">
        <v>1.5</v>
      </c>
      <c r="G13" s="28">
        <f t="shared" si="3"/>
        <v>114</v>
      </c>
      <c r="H13" s="10">
        <v>0</v>
      </c>
      <c r="I13" s="11">
        <f t="shared" si="4"/>
        <v>0</v>
      </c>
      <c r="J13" s="10">
        <v>0</v>
      </c>
      <c r="K13" s="11">
        <f t="shared" si="8"/>
        <v>0</v>
      </c>
      <c r="L13" s="26">
        <v>0</v>
      </c>
      <c r="M13" s="14">
        <f t="shared" si="7"/>
        <v>0</v>
      </c>
      <c r="N13" s="10">
        <v>3</v>
      </c>
      <c r="O13" s="11">
        <f t="shared" si="1"/>
        <v>450</v>
      </c>
      <c r="P13" s="284">
        <f t="shared" si="0"/>
        <v>678</v>
      </c>
      <c r="Q13" s="11">
        <f>735</f>
        <v>735</v>
      </c>
      <c r="R13" s="11">
        <v>735</v>
      </c>
      <c r="S13" s="11">
        <v>10</v>
      </c>
      <c r="T13" s="11">
        <f t="shared" si="5"/>
        <v>745.8</v>
      </c>
      <c r="U13" s="11">
        <f>MROUND(T13,10)</f>
        <v>750</v>
      </c>
      <c r="V13" s="23">
        <f t="shared" si="6"/>
        <v>-15</v>
      </c>
      <c r="W13" s="15" t="s">
        <v>231</v>
      </c>
      <c r="X13" s="16" t="s">
        <v>251</v>
      </c>
      <c r="Y13" s="15" t="s">
        <v>252</v>
      </c>
      <c r="Z13" s="15" t="s">
        <v>253</v>
      </c>
      <c r="AA13" s="24" t="s">
        <v>254</v>
      </c>
      <c r="AB13" s="25">
        <v>302.9</v>
      </c>
    </row>
    <row r="14" spans="1:28" ht="12.75">
      <c r="A14" s="8" t="s">
        <v>228</v>
      </c>
      <c r="B14" s="8">
        <v>368020</v>
      </c>
      <c r="C14" s="19" t="s">
        <v>255</v>
      </c>
      <c r="D14" s="10">
        <v>196</v>
      </c>
      <c r="E14" s="11">
        <f t="shared" si="2"/>
        <v>14896</v>
      </c>
      <c r="F14" s="10">
        <v>184</v>
      </c>
      <c r="G14" s="11">
        <f t="shared" si="3"/>
        <v>13984</v>
      </c>
      <c r="H14" s="10">
        <f>6*32+6*2+2*2</f>
        <v>208</v>
      </c>
      <c r="I14" s="11">
        <f t="shared" si="4"/>
        <v>8320</v>
      </c>
      <c r="J14" s="10">
        <f>6*30+6*2+2*2</f>
        <v>196</v>
      </c>
      <c r="K14" s="11">
        <f t="shared" si="8"/>
        <v>7840</v>
      </c>
      <c r="L14" s="26">
        <v>184</v>
      </c>
      <c r="M14" s="14">
        <f>L14*M$3</f>
        <v>7360</v>
      </c>
      <c r="N14" s="10">
        <f>6*44+6*2+4*2</f>
        <v>284</v>
      </c>
      <c r="O14" s="11">
        <f t="shared" si="1"/>
        <v>42600</v>
      </c>
      <c r="P14" s="284">
        <f t="shared" si="0"/>
        <v>95000</v>
      </c>
      <c r="Q14" s="11">
        <v>85000</v>
      </c>
      <c r="R14" s="11">
        <v>90000</v>
      </c>
      <c r="S14" s="11">
        <v>10</v>
      </c>
      <c r="T14" s="11">
        <f t="shared" si="5"/>
        <v>104500</v>
      </c>
      <c r="U14" s="11">
        <f>MROUND(T14,100)</f>
        <v>104500</v>
      </c>
      <c r="V14" s="23">
        <f t="shared" si="6"/>
        <v>-14500</v>
      </c>
      <c r="W14" s="15" t="s">
        <v>231</v>
      </c>
      <c r="X14" s="16" t="s">
        <v>232</v>
      </c>
      <c r="Y14" s="15"/>
      <c r="Z14" s="15" t="s">
        <v>256</v>
      </c>
      <c r="AA14" s="24" t="s">
        <v>257</v>
      </c>
      <c r="AB14" s="25">
        <v>0.22</v>
      </c>
    </row>
    <row r="15" spans="1:28" s="266" customFormat="1" ht="12.75" customHeight="1">
      <c r="A15" s="18" t="s">
        <v>228</v>
      </c>
      <c r="B15" s="18">
        <v>368022</v>
      </c>
      <c r="C15" s="29" t="s">
        <v>258</v>
      </c>
      <c r="D15" s="20" t="s">
        <v>230</v>
      </c>
      <c r="E15" s="11">
        <f t="shared" si="2"/>
        <v>152</v>
      </c>
      <c r="F15" s="20" t="s">
        <v>230</v>
      </c>
      <c r="G15" s="11">
        <f t="shared" si="3"/>
        <v>152</v>
      </c>
      <c r="H15" s="20" t="s">
        <v>230</v>
      </c>
      <c r="I15" s="11">
        <f t="shared" si="4"/>
        <v>80</v>
      </c>
      <c r="J15" s="20" t="s">
        <v>230</v>
      </c>
      <c r="K15" s="11">
        <f t="shared" si="8"/>
        <v>80</v>
      </c>
      <c r="L15" s="13" t="s">
        <v>230</v>
      </c>
      <c r="M15" s="14">
        <f t="shared" si="7"/>
        <v>80</v>
      </c>
      <c r="N15" s="20">
        <v>2</v>
      </c>
      <c r="O15" s="11">
        <f t="shared" si="1"/>
        <v>300</v>
      </c>
      <c r="P15" s="284">
        <f t="shared" si="0"/>
        <v>844</v>
      </c>
      <c r="Q15" s="11">
        <v>800</v>
      </c>
      <c r="R15" s="11">
        <v>800</v>
      </c>
      <c r="S15" s="11">
        <v>5</v>
      </c>
      <c r="T15" s="11">
        <f t="shared" si="5"/>
        <v>886.2</v>
      </c>
      <c r="U15" s="11">
        <f>MROUND(T15,100)</f>
        <v>900</v>
      </c>
      <c r="V15" s="23">
        <f t="shared" si="6"/>
        <v>-100</v>
      </c>
      <c r="W15" s="30" t="s">
        <v>231</v>
      </c>
      <c r="X15" s="16" t="s">
        <v>232</v>
      </c>
      <c r="Y15" s="30" t="s">
        <v>259</v>
      </c>
      <c r="Z15" s="30" t="s">
        <v>260</v>
      </c>
      <c r="AA15" s="24" t="s">
        <v>261</v>
      </c>
      <c r="AB15" s="25">
        <v>8.6</v>
      </c>
    </row>
    <row r="16" spans="1:28" ht="12.75">
      <c r="A16" s="18" t="s">
        <v>228</v>
      </c>
      <c r="B16" s="18">
        <v>368026</v>
      </c>
      <c r="C16" s="19" t="s">
        <v>268</v>
      </c>
      <c r="D16" s="20">
        <f>3*2*2*2</f>
        <v>24</v>
      </c>
      <c r="E16" s="11">
        <f t="shared" si="2"/>
        <v>1824</v>
      </c>
      <c r="F16" s="20">
        <f>3*2*2*2</f>
        <v>24</v>
      </c>
      <c r="G16" s="11">
        <f t="shared" si="3"/>
        <v>1824</v>
      </c>
      <c r="H16" s="20">
        <f>3*2*2*2</f>
        <v>24</v>
      </c>
      <c r="I16" s="11">
        <f t="shared" si="4"/>
        <v>960</v>
      </c>
      <c r="J16" s="20">
        <f>3*2*2*2</f>
        <v>24</v>
      </c>
      <c r="K16" s="11">
        <f t="shared" si="8"/>
        <v>960</v>
      </c>
      <c r="L16" s="13">
        <f>3*2*2*2</f>
        <v>24</v>
      </c>
      <c r="M16" s="14">
        <f t="shared" si="7"/>
        <v>960</v>
      </c>
      <c r="N16" s="20">
        <f>3*4*2*2</f>
        <v>48</v>
      </c>
      <c r="O16" s="11">
        <f t="shared" si="1"/>
        <v>7200</v>
      </c>
      <c r="P16" s="284">
        <f t="shared" si="0"/>
        <v>13728</v>
      </c>
      <c r="Q16" s="11">
        <v>13000</v>
      </c>
      <c r="R16" s="11">
        <v>14000</v>
      </c>
      <c r="S16" s="11">
        <v>10</v>
      </c>
      <c r="T16" s="11">
        <f t="shared" si="5"/>
        <v>15100.8</v>
      </c>
      <c r="U16" s="11">
        <f>MROUND(T16,100)</f>
        <v>15100</v>
      </c>
      <c r="V16" s="23">
        <f t="shared" si="6"/>
        <v>-1100</v>
      </c>
      <c r="W16" s="15" t="s">
        <v>231</v>
      </c>
      <c r="X16" s="16" t="s">
        <v>232</v>
      </c>
      <c r="Y16" s="15" t="s">
        <v>269</v>
      </c>
      <c r="Z16" s="15" t="s">
        <v>270</v>
      </c>
      <c r="AA16" s="24" t="s">
        <v>271</v>
      </c>
      <c r="AB16" s="25">
        <v>0.099</v>
      </c>
    </row>
    <row r="17" spans="1:28" ht="12.75">
      <c r="A17" s="8" t="s">
        <v>228</v>
      </c>
      <c r="B17" s="8">
        <v>368027</v>
      </c>
      <c r="C17" s="19" t="s">
        <v>275</v>
      </c>
      <c r="D17" s="10">
        <f>2*2+3*3</f>
        <v>13</v>
      </c>
      <c r="E17" s="11">
        <f t="shared" si="2"/>
        <v>988</v>
      </c>
      <c r="F17" s="10">
        <f>3*3+2*2</f>
        <v>13</v>
      </c>
      <c r="G17" s="11">
        <f t="shared" si="3"/>
        <v>988</v>
      </c>
      <c r="H17" s="10">
        <f>3*3+2*2</f>
        <v>13</v>
      </c>
      <c r="I17" s="11">
        <f t="shared" si="4"/>
        <v>520</v>
      </c>
      <c r="J17" s="20">
        <f>3*3+2*2</f>
        <v>13</v>
      </c>
      <c r="K17" s="11">
        <f t="shared" si="8"/>
        <v>520</v>
      </c>
      <c r="L17" s="13">
        <f>3*3+2*2</f>
        <v>13</v>
      </c>
      <c r="M17" s="14">
        <f t="shared" si="7"/>
        <v>520</v>
      </c>
      <c r="N17" s="10">
        <f>5*3+2*3</f>
        <v>21</v>
      </c>
      <c r="O17" s="11">
        <f t="shared" si="1"/>
        <v>3150</v>
      </c>
      <c r="P17" s="284">
        <f t="shared" si="0"/>
        <v>6686</v>
      </c>
      <c r="Q17" s="11">
        <v>6300</v>
      </c>
      <c r="R17" s="11">
        <v>6400</v>
      </c>
      <c r="S17" s="11">
        <v>5</v>
      </c>
      <c r="T17" s="11">
        <f t="shared" si="5"/>
        <v>7020.3</v>
      </c>
      <c r="U17" s="11">
        <f>MROUND(T17,100)</f>
        <v>7000</v>
      </c>
      <c r="V17" s="23">
        <f t="shared" si="6"/>
        <v>-600</v>
      </c>
      <c r="W17" s="15" t="s">
        <v>231</v>
      </c>
      <c r="X17" s="16" t="s">
        <v>232</v>
      </c>
      <c r="Y17" s="15"/>
      <c r="Z17" s="15" t="s">
        <v>276</v>
      </c>
      <c r="AA17" s="24" t="s">
        <v>277</v>
      </c>
      <c r="AB17" s="25">
        <v>0.0147</v>
      </c>
    </row>
    <row r="18" spans="1:28" ht="12.75">
      <c r="A18" s="8" t="s">
        <v>228</v>
      </c>
      <c r="B18" s="18">
        <v>368033</v>
      </c>
      <c r="C18" s="19" t="s">
        <v>278</v>
      </c>
      <c r="D18" s="20" t="s">
        <v>279</v>
      </c>
      <c r="E18" s="11">
        <f t="shared" si="2"/>
        <v>76</v>
      </c>
      <c r="F18" s="20" t="s">
        <v>279</v>
      </c>
      <c r="G18" s="11">
        <f t="shared" si="3"/>
        <v>76</v>
      </c>
      <c r="H18" s="20" t="s">
        <v>279</v>
      </c>
      <c r="I18" s="11">
        <f t="shared" si="4"/>
        <v>40</v>
      </c>
      <c r="J18" s="20" t="s">
        <v>279</v>
      </c>
      <c r="K18" s="11">
        <f t="shared" si="8"/>
        <v>40</v>
      </c>
      <c r="L18" s="13" t="s">
        <v>279</v>
      </c>
      <c r="M18" s="14">
        <f t="shared" si="7"/>
        <v>40</v>
      </c>
      <c r="N18" s="13">
        <v>1</v>
      </c>
      <c r="O18" s="14">
        <f t="shared" si="1"/>
        <v>150</v>
      </c>
      <c r="P18" s="284">
        <f t="shared" si="0"/>
        <v>422</v>
      </c>
      <c r="Q18" s="14">
        <v>400</v>
      </c>
      <c r="R18" s="14">
        <v>400</v>
      </c>
      <c r="S18" s="14">
        <v>5</v>
      </c>
      <c r="T18" s="11">
        <f t="shared" si="5"/>
        <v>443.1</v>
      </c>
      <c r="U18" s="11">
        <f>MROUND(T18,10)</f>
        <v>440</v>
      </c>
      <c r="V18" s="23">
        <f t="shared" si="6"/>
        <v>-40</v>
      </c>
      <c r="W18" s="32" t="s">
        <v>280</v>
      </c>
      <c r="X18" s="33" t="s">
        <v>232</v>
      </c>
      <c r="Y18" s="32"/>
      <c r="Z18" s="32" t="s">
        <v>281</v>
      </c>
      <c r="AA18" s="34" t="s">
        <v>246</v>
      </c>
      <c r="AB18" s="35">
        <v>0.0157</v>
      </c>
    </row>
    <row r="19" spans="1:21" s="116" customFormat="1" ht="13.5" customHeight="1">
      <c r="A19" s="115" t="s">
        <v>228</v>
      </c>
      <c r="B19" s="115">
        <v>368034</v>
      </c>
      <c r="C19" s="116" t="s">
        <v>282</v>
      </c>
      <c r="D19" s="111">
        <v>0.2</v>
      </c>
      <c r="E19" s="11">
        <f t="shared" si="2"/>
        <v>15.200000000000001</v>
      </c>
      <c r="F19" s="111">
        <v>0.2</v>
      </c>
      <c r="G19" s="11">
        <f t="shared" si="3"/>
        <v>15.200000000000001</v>
      </c>
      <c r="H19" s="111">
        <v>0.2</v>
      </c>
      <c r="I19" s="11">
        <f t="shared" si="4"/>
        <v>8</v>
      </c>
      <c r="J19" s="111">
        <v>0.2</v>
      </c>
      <c r="K19" s="11">
        <f t="shared" si="8"/>
        <v>8</v>
      </c>
      <c r="L19" s="111">
        <v>0.2</v>
      </c>
      <c r="M19" s="14">
        <f t="shared" si="7"/>
        <v>8</v>
      </c>
      <c r="N19" s="111">
        <v>0.2</v>
      </c>
      <c r="O19" s="14">
        <f t="shared" si="1"/>
        <v>30</v>
      </c>
      <c r="P19" s="284">
        <f t="shared" si="0"/>
        <v>84.4</v>
      </c>
      <c r="Q19" s="14">
        <v>0</v>
      </c>
      <c r="R19" s="118">
        <f>P19</f>
        <v>84.4</v>
      </c>
      <c r="S19" s="115">
        <v>20</v>
      </c>
      <c r="T19" s="11">
        <f t="shared" si="5"/>
        <v>101.28</v>
      </c>
      <c r="U19" s="195">
        <v>101</v>
      </c>
    </row>
    <row r="20" spans="1:21" s="116" customFormat="1" ht="13.5" customHeight="1">
      <c r="A20" s="115" t="s">
        <v>228</v>
      </c>
      <c r="B20" s="115">
        <v>368042</v>
      </c>
      <c r="C20" s="62" t="s">
        <v>462</v>
      </c>
      <c r="D20" s="111">
        <v>30</v>
      </c>
      <c r="E20" s="11">
        <f t="shared" si="2"/>
        <v>2280</v>
      </c>
      <c r="F20" s="111">
        <v>24</v>
      </c>
      <c r="G20" s="11">
        <f t="shared" si="3"/>
        <v>1824</v>
      </c>
      <c r="H20" s="111">
        <v>30</v>
      </c>
      <c r="I20" s="11">
        <f t="shared" si="4"/>
        <v>1200</v>
      </c>
      <c r="J20" s="111">
        <v>30</v>
      </c>
      <c r="K20" s="11">
        <f t="shared" si="8"/>
        <v>1200</v>
      </c>
      <c r="L20" s="111">
        <v>30</v>
      </c>
      <c r="M20" s="14">
        <f t="shared" si="7"/>
        <v>1200</v>
      </c>
      <c r="N20" s="111">
        <v>30</v>
      </c>
      <c r="O20" s="14">
        <f t="shared" si="1"/>
        <v>4500</v>
      </c>
      <c r="P20" s="284">
        <f t="shared" si="0"/>
        <v>12204</v>
      </c>
      <c r="Q20" s="14">
        <v>0</v>
      </c>
      <c r="R20" s="118">
        <v>0</v>
      </c>
      <c r="S20" s="115">
        <v>10</v>
      </c>
      <c r="T20" s="11">
        <f t="shared" si="5"/>
        <v>13424.4</v>
      </c>
      <c r="U20" s="195">
        <v>13500</v>
      </c>
    </row>
    <row r="21" spans="1:28" ht="12.75">
      <c r="A21" s="36" t="s">
        <v>285</v>
      </c>
      <c r="B21" s="36">
        <v>368047</v>
      </c>
      <c r="C21" s="37" t="s">
        <v>286</v>
      </c>
      <c r="D21" s="38">
        <v>0.1</v>
      </c>
      <c r="E21" s="39">
        <f>D21*E$3</f>
        <v>7.6000000000000005</v>
      </c>
      <c r="F21" s="38">
        <v>0.1</v>
      </c>
      <c r="G21" s="39">
        <f t="shared" si="3"/>
        <v>7.6000000000000005</v>
      </c>
      <c r="H21" s="38">
        <v>0.1</v>
      </c>
      <c r="I21" s="39">
        <f t="shared" si="4"/>
        <v>4</v>
      </c>
      <c r="J21" s="40">
        <v>0.1</v>
      </c>
      <c r="K21" s="39">
        <f>J21*K$3</f>
        <v>4</v>
      </c>
      <c r="L21" s="40">
        <v>0.1</v>
      </c>
      <c r="M21" s="14">
        <f>L21*M$3</f>
        <v>4</v>
      </c>
      <c r="N21" s="38">
        <v>0.15</v>
      </c>
      <c r="O21" s="39">
        <f t="shared" si="1"/>
        <v>22.5</v>
      </c>
      <c r="P21" s="284">
        <f t="shared" si="0"/>
        <v>49.7</v>
      </c>
      <c r="Q21" s="14" t="s">
        <v>287</v>
      </c>
      <c r="R21" s="41" t="s">
        <v>288</v>
      </c>
      <c r="S21" s="14">
        <v>10</v>
      </c>
      <c r="T21" s="11">
        <f>P21+P21*S21*0.01</f>
        <v>54.67</v>
      </c>
      <c r="U21" s="11">
        <v>60</v>
      </c>
      <c r="V21" s="23">
        <v>-10</v>
      </c>
      <c r="W21" s="32" t="s">
        <v>231</v>
      </c>
      <c r="X21" s="33" t="s">
        <v>251</v>
      </c>
      <c r="Y21" s="32" t="s">
        <v>289</v>
      </c>
      <c r="Z21" s="32" t="s">
        <v>290</v>
      </c>
      <c r="AA21" s="34" t="s">
        <v>291</v>
      </c>
      <c r="AB21" s="35">
        <v>475</v>
      </c>
    </row>
    <row r="22" spans="1:28" ht="12.75">
      <c r="A22" s="8" t="s">
        <v>235</v>
      </c>
      <c r="B22" s="8">
        <v>368048</v>
      </c>
      <c r="C22" s="19" t="s">
        <v>123</v>
      </c>
      <c r="D22" s="10">
        <f>6*3</f>
        <v>18</v>
      </c>
      <c r="E22" s="11">
        <f t="shared" si="2"/>
        <v>1368</v>
      </c>
      <c r="F22" s="10">
        <f>6*3</f>
        <v>18</v>
      </c>
      <c r="G22" s="11">
        <f t="shared" si="3"/>
        <v>1368</v>
      </c>
      <c r="H22" s="10">
        <f>6*3</f>
        <v>18</v>
      </c>
      <c r="I22" s="11">
        <f t="shared" si="4"/>
        <v>720</v>
      </c>
      <c r="J22" s="20">
        <f>6*3</f>
        <v>18</v>
      </c>
      <c r="K22" s="11">
        <f>J22*K$3</f>
        <v>720</v>
      </c>
      <c r="L22" s="13">
        <f>6*3</f>
        <v>18</v>
      </c>
      <c r="M22" s="14">
        <f t="shared" si="7"/>
        <v>720</v>
      </c>
      <c r="N22" s="10">
        <v>30</v>
      </c>
      <c r="O22" s="11">
        <f t="shared" si="1"/>
        <v>4500</v>
      </c>
      <c r="P22" s="284">
        <f t="shared" si="0"/>
        <v>9396</v>
      </c>
      <c r="Q22" s="11">
        <v>8600</v>
      </c>
      <c r="R22" s="11">
        <v>9000</v>
      </c>
      <c r="S22" s="11">
        <v>5</v>
      </c>
      <c r="T22" s="11">
        <f t="shared" si="5"/>
        <v>9865.8</v>
      </c>
      <c r="U22" s="11">
        <f>MROUND(T22,100)</f>
        <v>9900</v>
      </c>
      <c r="V22" s="23">
        <f t="shared" si="6"/>
        <v>-900</v>
      </c>
      <c r="W22" s="15" t="s">
        <v>231</v>
      </c>
      <c r="X22" s="16" t="s">
        <v>292</v>
      </c>
      <c r="Y22" s="15" t="s">
        <v>293</v>
      </c>
      <c r="Z22" s="15" t="s">
        <v>294</v>
      </c>
      <c r="AA22" s="24" t="s">
        <v>295</v>
      </c>
      <c r="AB22" s="25">
        <v>1.38</v>
      </c>
    </row>
    <row r="23" spans="1:28" ht="12.75">
      <c r="A23" s="8" t="s">
        <v>228</v>
      </c>
      <c r="B23" s="8">
        <v>368049</v>
      </c>
      <c r="C23" s="19" t="s">
        <v>296</v>
      </c>
      <c r="D23" s="10">
        <f>6*3*4/12</f>
        <v>6</v>
      </c>
      <c r="E23" s="11">
        <f t="shared" si="2"/>
        <v>456</v>
      </c>
      <c r="F23" s="10">
        <f>6*3*4/12</f>
        <v>6</v>
      </c>
      <c r="G23" s="11">
        <f t="shared" si="3"/>
        <v>456</v>
      </c>
      <c r="H23" s="10">
        <f>6*3*4/12</f>
        <v>6</v>
      </c>
      <c r="I23" s="11">
        <f t="shared" si="4"/>
        <v>240</v>
      </c>
      <c r="J23" s="10">
        <f>6*3*4/12</f>
        <v>6</v>
      </c>
      <c r="K23" s="11">
        <f>J23*K$3</f>
        <v>240</v>
      </c>
      <c r="L23" s="26">
        <f>6*3*4/12</f>
        <v>6</v>
      </c>
      <c r="M23" s="14">
        <f t="shared" si="7"/>
        <v>240</v>
      </c>
      <c r="N23" s="10">
        <f>5*2*3*4/12</f>
        <v>10</v>
      </c>
      <c r="O23" s="11">
        <f t="shared" si="1"/>
        <v>1500</v>
      </c>
      <c r="P23" s="284">
        <f t="shared" si="0"/>
        <v>3132</v>
      </c>
      <c r="Q23" s="11">
        <v>3</v>
      </c>
      <c r="R23" s="11">
        <v>3</v>
      </c>
      <c r="S23" s="11">
        <v>5</v>
      </c>
      <c r="T23" s="11">
        <f t="shared" si="5"/>
        <v>3288.6</v>
      </c>
      <c r="U23" s="11">
        <f>MROUND(T23,100)</f>
        <v>3300</v>
      </c>
      <c r="V23" s="23">
        <f t="shared" si="6"/>
        <v>-3297</v>
      </c>
      <c r="W23" s="15" t="s">
        <v>231</v>
      </c>
      <c r="X23" s="16" t="s">
        <v>292</v>
      </c>
      <c r="Y23" s="15" t="s">
        <v>297</v>
      </c>
      <c r="Z23" s="15" t="s">
        <v>297</v>
      </c>
      <c r="AA23" s="24" t="s">
        <v>246</v>
      </c>
      <c r="AB23" s="25"/>
    </row>
    <row r="24" spans="1:28" ht="12.75">
      <c r="A24" s="18" t="s">
        <v>228</v>
      </c>
      <c r="B24" s="18">
        <v>368092</v>
      </c>
      <c r="C24" s="19" t="s">
        <v>314</v>
      </c>
      <c r="D24" s="20">
        <v>30</v>
      </c>
      <c r="E24" s="11">
        <f t="shared" si="2"/>
        <v>2280</v>
      </c>
      <c r="F24" s="20">
        <v>24</v>
      </c>
      <c r="G24" s="11">
        <f t="shared" si="3"/>
        <v>1824</v>
      </c>
      <c r="H24" s="20">
        <v>30</v>
      </c>
      <c r="I24" s="11">
        <f t="shared" si="4"/>
        <v>1200</v>
      </c>
      <c r="J24" s="20">
        <v>30</v>
      </c>
      <c r="K24" s="11">
        <f aca="true" t="shared" si="9" ref="K24:K34">J24*K$3</f>
        <v>1200</v>
      </c>
      <c r="L24" s="13">
        <v>30</v>
      </c>
      <c r="M24" s="14">
        <f t="shared" si="7"/>
        <v>1200</v>
      </c>
      <c r="N24" s="20">
        <v>30</v>
      </c>
      <c r="O24" s="11">
        <f t="shared" si="1"/>
        <v>4500</v>
      </c>
      <c r="P24" s="284">
        <f t="shared" si="0"/>
        <v>12204</v>
      </c>
      <c r="Q24" s="11">
        <v>11500</v>
      </c>
      <c r="R24" s="11">
        <v>12000</v>
      </c>
      <c r="S24" s="11">
        <v>10</v>
      </c>
      <c r="T24" s="11">
        <f>P24+P24*S24*0.01</f>
        <v>13424.4</v>
      </c>
      <c r="U24" s="11">
        <f>MROUND(T24,100)</f>
        <v>13400</v>
      </c>
      <c r="V24" s="23">
        <f t="shared" si="6"/>
        <v>-1400</v>
      </c>
      <c r="W24" s="15" t="s">
        <v>231</v>
      </c>
      <c r="X24" s="16" t="s">
        <v>315</v>
      </c>
      <c r="Y24" s="15"/>
      <c r="Z24" s="15" t="s">
        <v>316</v>
      </c>
      <c r="AA24" s="24" t="s">
        <v>246</v>
      </c>
      <c r="AB24" s="25">
        <v>0</v>
      </c>
    </row>
    <row r="25" spans="1:28" ht="12.75">
      <c r="A25" s="8" t="s">
        <v>228</v>
      </c>
      <c r="B25" s="18">
        <v>368093</v>
      </c>
      <c r="C25" s="19" t="s">
        <v>317</v>
      </c>
      <c r="D25" s="20">
        <f>2*6</f>
        <v>12</v>
      </c>
      <c r="E25" s="11">
        <f t="shared" si="2"/>
        <v>912</v>
      </c>
      <c r="F25" s="20">
        <f>2*6</f>
        <v>12</v>
      </c>
      <c r="G25" s="11">
        <f t="shared" si="3"/>
        <v>912</v>
      </c>
      <c r="H25" s="20">
        <f>2*6</f>
        <v>12</v>
      </c>
      <c r="I25" s="11">
        <f t="shared" si="4"/>
        <v>480</v>
      </c>
      <c r="J25" s="20">
        <f>2*6</f>
        <v>12</v>
      </c>
      <c r="K25" s="11">
        <f t="shared" si="9"/>
        <v>480</v>
      </c>
      <c r="L25" s="13">
        <f>2*6</f>
        <v>12</v>
      </c>
      <c r="M25" s="14">
        <f t="shared" si="7"/>
        <v>480</v>
      </c>
      <c r="N25" s="20">
        <f>2*6</f>
        <v>12</v>
      </c>
      <c r="O25" s="11">
        <f t="shared" si="1"/>
        <v>1800</v>
      </c>
      <c r="P25" s="284">
        <f t="shared" si="0"/>
        <v>5064</v>
      </c>
      <c r="Q25" s="11">
        <v>4700</v>
      </c>
      <c r="R25" s="11">
        <v>4800</v>
      </c>
      <c r="S25" s="11">
        <v>5</v>
      </c>
      <c r="T25" s="11">
        <f t="shared" si="5"/>
        <v>5317.2</v>
      </c>
      <c r="U25" s="11">
        <f>MROUND(T25,100)</f>
        <v>5300</v>
      </c>
      <c r="V25" s="23">
        <f t="shared" si="6"/>
        <v>-500</v>
      </c>
      <c r="W25" s="15" t="s">
        <v>231</v>
      </c>
      <c r="X25" s="16" t="s">
        <v>315</v>
      </c>
      <c r="Y25" s="15"/>
      <c r="Z25" s="15" t="s">
        <v>318</v>
      </c>
      <c r="AA25" s="24" t="s">
        <v>319</v>
      </c>
      <c r="AB25" s="25">
        <v>0.092</v>
      </c>
    </row>
    <row r="26" spans="1:28" ht="12.75">
      <c r="A26" s="18" t="s">
        <v>228</v>
      </c>
      <c r="B26" s="18">
        <v>368094</v>
      </c>
      <c r="C26" s="19" t="s">
        <v>320</v>
      </c>
      <c r="D26" s="20">
        <f>2*6</f>
        <v>12</v>
      </c>
      <c r="E26" s="11">
        <f t="shared" si="2"/>
        <v>912</v>
      </c>
      <c r="F26" s="20">
        <f>2*6</f>
        <v>12</v>
      </c>
      <c r="G26" s="11">
        <f t="shared" si="3"/>
        <v>912</v>
      </c>
      <c r="H26" s="20">
        <f>2*6</f>
        <v>12</v>
      </c>
      <c r="I26" s="11">
        <f t="shared" si="4"/>
        <v>480</v>
      </c>
      <c r="J26" s="20">
        <f>2*6</f>
        <v>12</v>
      </c>
      <c r="K26" s="11">
        <f t="shared" si="9"/>
        <v>480</v>
      </c>
      <c r="L26" s="13">
        <f>2*6</f>
        <v>12</v>
      </c>
      <c r="M26" s="14">
        <f t="shared" si="7"/>
        <v>480</v>
      </c>
      <c r="N26" s="20">
        <f>2*6</f>
        <v>12</v>
      </c>
      <c r="O26" s="11">
        <f t="shared" si="1"/>
        <v>1800</v>
      </c>
      <c r="P26" s="284">
        <f t="shared" si="0"/>
        <v>5064</v>
      </c>
      <c r="Q26" s="11">
        <v>4700</v>
      </c>
      <c r="R26" s="11">
        <v>4800</v>
      </c>
      <c r="S26" s="11">
        <v>5</v>
      </c>
      <c r="T26" s="11">
        <f t="shared" si="5"/>
        <v>5317.2</v>
      </c>
      <c r="U26" s="11">
        <f>MROUND(T26,100)</f>
        <v>5300</v>
      </c>
      <c r="V26" s="23">
        <f t="shared" si="6"/>
        <v>-500</v>
      </c>
      <c r="W26" s="15" t="s">
        <v>231</v>
      </c>
      <c r="X26" s="16" t="s">
        <v>315</v>
      </c>
      <c r="Y26" s="15" t="s">
        <v>321</v>
      </c>
      <c r="Z26" s="15" t="s">
        <v>322</v>
      </c>
      <c r="AA26" s="24" t="s">
        <v>323</v>
      </c>
      <c r="AB26" s="25">
        <v>0</v>
      </c>
    </row>
    <row r="27" spans="1:28" ht="12.75">
      <c r="A27" s="18" t="s">
        <v>228</v>
      </c>
      <c r="B27" s="18">
        <v>368095</v>
      </c>
      <c r="C27" s="19" t="s">
        <v>324</v>
      </c>
      <c r="D27" s="20">
        <f>3*2*3</f>
        <v>18</v>
      </c>
      <c r="E27" s="11">
        <f t="shared" si="2"/>
        <v>1368</v>
      </c>
      <c r="F27" s="20">
        <f>3*2*3</f>
        <v>18</v>
      </c>
      <c r="G27" s="11">
        <f t="shared" si="3"/>
        <v>1368</v>
      </c>
      <c r="H27" s="20">
        <f>3*2*3</f>
        <v>18</v>
      </c>
      <c r="I27" s="11">
        <f t="shared" si="4"/>
        <v>720</v>
      </c>
      <c r="J27" s="20">
        <f>3*2*3</f>
        <v>18</v>
      </c>
      <c r="K27" s="11">
        <f t="shared" si="9"/>
        <v>720</v>
      </c>
      <c r="L27" s="13">
        <f>3*2*3</f>
        <v>18</v>
      </c>
      <c r="M27" s="14">
        <f t="shared" si="7"/>
        <v>720</v>
      </c>
      <c r="N27" s="20">
        <v>30</v>
      </c>
      <c r="O27" s="11">
        <f t="shared" si="1"/>
        <v>4500</v>
      </c>
      <c r="P27" s="284">
        <f t="shared" si="0"/>
        <v>9396</v>
      </c>
      <c r="Q27" s="11">
        <v>8600</v>
      </c>
      <c r="R27" s="11">
        <v>9000</v>
      </c>
      <c r="S27" s="11">
        <v>5</v>
      </c>
      <c r="T27" s="11">
        <f t="shared" si="5"/>
        <v>9865.8</v>
      </c>
      <c r="U27" s="11">
        <f>MROUND(T27,100)</f>
        <v>9900</v>
      </c>
      <c r="V27" s="23">
        <f t="shared" si="6"/>
        <v>-900</v>
      </c>
      <c r="W27" s="15" t="s">
        <v>231</v>
      </c>
      <c r="X27" s="16" t="s">
        <v>325</v>
      </c>
      <c r="Y27" s="15" t="s">
        <v>297</v>
      </c>
      <c r="Z27" s="15" t="s">
        <v>297</v>
      </c>
      <c r="AA27" s="24" t="s">
        <v>246</v>
      </c>
      <c r="AB27" s="25">
        <v>0</v>
      </c>
    </row>
    <row r="28" spans="1:28" ht="12.75">
      <c r="A28" s="8" t="s">
        <v>228</v>
      </c>
      <c r="B28" s="8">
        <v>368096</v>
      </c>
      <c r="C28" s="19" t="s">
        <v>326</v>
      </c>
      <c r="D28" s="10" t="s">
        <v>327</v>
      </c>
      <c r="E28" s="11">
        <f t="shared" si="2"/>
        <v>456</v>
      </c>
      <c r="F28" s="10" t="s">
        <v>327</v>
      </c>
      <c r="G28" s="11">
        <f t="shared" si="3"/>
        <v>456</v>
      </c>
      <c r="H28" s="10" t="s">
        <v>327</v>
      </c>
      <c r="I28" s="11">
        <f t="shared" si="4"/>
        <v>240</v>
      </c>
      <c r="J28" s="10" t="s">
        <v>327</v>
      </c>
      <c r="K28" s="11">
        <f t="shared" si="9"/>
        <v>240</v>
      </c>
      <c r="L28" s="26" t="s">
        <v>327</v>
      </c>
      <c r="M28" s="14">
        <f t="shared" si="7"/>
        <v>240</v>
      </c>
      <c r="N28" s="10">
        <v>6</v>
      </c>
      <c r="O28" s="11">
        <f t="shared" si="1"/>
        <v>900</v>
      </c>
      <c r="P28" s="284">
        <f t="shared" si="0"/>
        <v>2532</v>
      </c>
      <c r="Q28" s="11">
        <v>2300</v>
      </c>
      <c r="R28" s="11">
        <v>2400</v>
      </c>
      <c r="S28" s="11">
        <v>5</v>
      </c>
      <c r="T28" s="11">
        <f t="shared" si="5"/>
        <v>2658.6</v>
      </c>
      <c r="U28" s="11">
        <f>MROUND(T28,100)</f>
        <v>2700</v>
      </c>
      <c r="V28" s="23">
        <f t="shared" si="6"/>
        <v>-300</v>
      </c>
      <c r="W28" s="15" t="s">
        <v>231</v>
      </c>
      <c r="X28" s="16" t="s">
        <v>315</v>
      </c>
      <c r="Y28" s="15" t="s">
        <v>328</v>
      </c>
      <c r="Z28" s="15" t="s">
        <v>329</v>
      </c>
      <c r="AA28" s="24" t="s">
        <v>330</v>
      </c>
      <c r="AB28" s="25">
        <v>4.99</v>
      </c>
    </row>
    <row r="29" spans="1:28" ht="12.75">
      <c r="A29" s="8" t="s">
        <v>228</v>
      </c>
      <c r="B29" s="8">
        <v>368097</v>
      </c>
      <c r="C29" s="19" t="s">
        <v>331</v>
      </c>
      <c r="D29" s="10" t="s">
        <v>327</v>
      </c>
      <c r="E29" s="11">
        <f t="shared" si="2"/>
        <v>456</v>
      </c>
      <c r="F29" s="10" t="s">
        <v>327</v>
      </c>
      <c r="G29" s="11">
        <f t="shared" si="3"/>
        <v>456</v>
      </c>
      <c r="H29" s="10" t="s">
        <v>327</v>
      </c>
      <c r="I29" s="11">
        <f t="shared" si="4"/>
        <v>240</v>
      </c>
      <c r="J29" s="10" t="s">
        <v>327</v>
      </c>
      <c r="K29" s="11">
        <f t="shared" si="9"/>
        <v>240</v>
      </c>
      <c r="L29" s="26" t="s">
        <v>327</v>
      </c>
      <c r="M29" s="14">
        <f t="shared" si="7"/>
        <v>240</v>
      </c>
      <c r="N29" s="10">
        <v>6</v>
      </c>
      <c r="O29" s="11">
        <f t="shared" si="1"/>
        <v>900</v>
      </c>
      <c r="P29" s="284">
        <f t="shared" si="0"/>
        <v>2532</v>
      </c>
      <c r="Q29" s="11">
        <v>2300</v>
      </c>
      <c r="R29" s="11">
        <v>2400</v>
      </c>
      <c r="S29" s="11">
        <v>5</v>
      </c>
      <c r="T29" s="11">
        <f t="shared" si="5"/>
        <v>2658.6</v>
      </c>
      <c r="U29" s="11">
        <f>MROUND(T29,100)</f>
        <v>2700</v>
      </c>
      <c r="V29" s="23">
        <f t="shared" si="6"/>
        <v>-300</v>
      </c>
      <c r="W29" s="15" t="s">
        <v>231</v>
      </c>
      <c r="X29" s="16" t="s">
        <v>315</v>
      </c>
      <c r="Y29" s="15"/>
      <c r="Z29" s="15" t="s">
        <v>332</v>
      </c>
      <c r="AA29" s="24" t="s">
        <v>333</v>
      </c>
      <c r="AB29" s="25">
        <v>5.36</v>
      </c>
    </row>
    <row r="30" spans="1:28" ht="12.75">
      <c r="A30" s="36" t="s">
        <v>228</v>
      </c>
      <c r="B30" s="36">
        <v>368098</v>
      </c>
      <c r="C30" s="37" t="s">
        <v>334</v>
      </c>
      <c r="D30" s="26">
        <v>8</v>
      </c>
      <c r="E30" s="14">
        <f t="shared" si="2"/>
        <v>608</v>
      </c>
      <c r="F30" s="26">
        <v>8</v>
      </c>
      <c r="G30" s="14">
        <f t="shared" si="3"/>
        <v>608</v>
      </c>
      <c r="H30" s="26">
        <v>8</v>
      </c>
      <c r="I30" s="14">
        <f t="shared" si="4"/>
        <v>320</v>
      </c>
      <c r="J30" s="26">
        <v>8</v>
      </c>
      <c r="K30" s="14">
        <f t="shared" si="9"/>
        <v>320</v>
      </c>
      <c r="L30" s="26">
        <v>8</v>
      </c>
      <c r="M30" s="14">
        <f t="shared" si="7"/>
        <v>320</v>
      </c>
      <c r="N30" s="26">
        <v>8</v>
      </c>
      <c r="O30" s="14">
        <f t="shared" si="1"/>
        <v>1200</v>
      </c>
      <c r="P30" s="284">
        <f t="shared" si="0"/>
        <v>3376</v>
      </c>
      <c r="Q30" s="14">
        <v>32</v>
      </c>
      <c r="R30" s="14">
        <v>32</v>
      </c>
      <c r="S30" s="14">
        <v>0</v>
      </c>
      <c r="T30" s="11">
        <f t="shared" si="5"/>
        <v>3376</v>
      </c>
      <c r="U30" s="11">
        <f>MROUND(T30,100)</f>
        <v>3400</v>
      </c>
      <c r="V30" s="23">
        <f t="shared" si="6"/>
        <v>-3368</v>
      </c>
      <c r="W30" s="32" t="s">
        <v>231</v>
      </c>
      <c r="X30" s="33" t="s">
        <v>315</v>
      </c>
      <c r="Y30" s="32" t="s">
        <v>328</v>
      </c>
      <c r="Z30" s="32" t="s">
        <v>335</v>
      </c>
      <c r="AA30" s="34" t="s">
        <v>336</v>
      </c>
      <c r="AB30" s="35"/>
    </row>
    <row r="31" spans="1:28" ht="12.75">
      <c r="A31" s="8" t="s">
        <v>235</v>
      </c>
      <c r="B31" s="8">
        <v>368099</v>
      </c>
      <c r="C31" s="19" t="s">
        <v>337</v>
      </c>
      <c r="D31" s="10">
        <v>6</v>
      </c>
      <c r="E31" s="11">
        <f t="shared" si="2"/>
        <v>456</v>
      </c>
      <c r="F31" s="10">
        <v>6</v>
      </c>
      <c r="G31" s="11">
        <f t="shared" si="3"/>
        <v>456</v>
      </c>
      <c r="H31" s="10">
        <v>6</v>
      </c>
      <c r="I31" s="11">
        <f t="shared" si="4"/>
        <v>240</v>
      </c>
      <c r="J31" s="10">
        <v>6</v>
      </c>
      <c r="K31" s="11">
        <f t="shared" si="9"/>
        <v>240</v>
      </c>
      <c r="L31" s="26">
        <v>6</v>
      </c>
      <c r="M31" s="14">
        <f t="shared" si="7"/>
        <v>240</v>
      </c>
      <c r="N31" s="10">
        <v>6</v>
      </c>
      <c r="O31" s="11">
        <f t="shared" si="1"/>
        <v>900</v>
      </c>
      <c r="P31" s="284">
        <f t="shared" si="0"/>
        <v>2532</v>
      </c>
      <c r="Q31" s="11">
        <v>2300</v>
      </c>
      <c r="R31" s="11">
        <v>2400</v>
      </c>
      <c r="S31" s="11">
        <v>5</v>
      </c>
      <c r="T31" s="11">
        <f t="shared" si="5"/>
        <v>2658.6</v>
      </c>
      <c r="U31" s="11">
        <f>MROUND(T31,100)</f>
        <v>2700</v>
      </c>
      <c r="V31" s="23">
        <f t="shared" si="6"/>
        <v>-300</v>
      </c>
      <c r="W31" s="15" t="s">
        <v>231</v>
      </c>
      <c r="X31" s="16" t="s">
        <v>315</v>
      </c>
      <c r="Y31" s="15"/>
      <c r="Z31" s="15" t="s">
        <v>316</v>
      </c>
      <c r="AA31" s="24" t="s">
        <v>338</v>
      </c>
      <c r="AB31" s="25">
        <v>0</v>
      </c>
    </row>
    <row r="32" spans="1:28" ht="14.25" customHeight="1">
      <c r="A32" s="42" t="s">
        <v>228</v>
      </c>
      <c r="B32" s="42">
        <v>368100</v>
      </c>
      <c r="C32" s="37" t="s">
        <v>339</v>
      </c>
      <c r="D32" s="13">
        <v>8</v>
      </c>
      <c r="E32" s="14">
        <f aca="true" t="shared" si="10" ref="E32:E38">D32*E$3</f>
        <v>608</v>
      </c>
      <c r="F32" s="13">
        <v>8</v>
      </c>
      <c r="G32" s="14">
        <f t="shared" si="3"/>
        <v>608</v>
      </c>
      <c r="H32" s="13">
        <v>8</v>
      </c>
      <c r="I32" s="14">
        <f t="shared" si="4"/>
        <v>320</v>
      </c>
      <c r="J32" s="13">
        <v>8</v>
      </c>
      <c r="K32" s="14">
        <f t="shared" si="9"/>
        <v>320</v>
      </c>
      <c r="L32" s="13">
        <v>8</v>
      </c>
      <c r="M32" s="14">
        <f t="shared" si="7"/>
        <v>320</v>
      </c>
      <c r="N32" s="13">
        <v>8</v>
      </c>
      <c r="O32" s="14">
        <f t="shared" si="1"/>
        <v>1200</v>
      </c>
      <c r="P32" s="284">
        <f t="shared" si="0"/>
        <v>3376</v>
      </c>
      <c r="Q32" s="14">
        <v>3100</v>
      </c>
      <c r="R32" s="14">
        <v>3200</v>
      </c>
      <c r="S32" s="14">
        <v>5</v>
      </c>
      <c r="T32" s="11">
        <f t="shared" si="5"/>
        <v>3544.8</v>
      </c>
      <c r="U32" s="11">
        <f>MROUND(T32,100)</f>
        <v>3500</v>
      </c>
      <c r="V32" s="23">
        <f t="shared" si="6"/>
        <v>-300</v>
      </c>
      <c r="W32" s="32" t="s">
        <v>231</v>
      </c>
      <c r="X32" s="33" t="s">
        <v>232</v>
      </c>
      <c r="Y32" s="32"/>
      <c r="Z32" s="32" t="s">
        <v>340</v>
      </c>
      <c r="AA32" s="34" t="s">
        <v>341</v>
      </c>
      <c r="AB32" s="35">
        <v>8.25</v>
      </c>
    </row>
    <row r="33" spans="1:28" ht="12.75">
      <c r="A33" s="42" t="s">
        <v>228</v>
      </c>
      <c r="B33" s="42">
        <v>368114</v>
      </c>
      <c r="C33" s="43" t="s">
        <v>342</v>
      </c>
      <c r="D33" s="13">
        <f>6*5</f>
        <v>30</v>
      </c>
      <c r="E33" s="14">
        <f t="shared" si="10"/>
        <v>2280</v>
      </c>
      <c r="F33" s="13">
        <f>6*4</f>
        <v>24</v>
      </c>
      <c r="G33" s="14">
        <f t="shared" si="3"/>
        <v>1824</v>
      </c>
      <c r="H33" s="13">
        <f>6*5</f>
        <v>30</v>
      </c>
      <c r="I33" s="14">
        <f t="shared" si="4"/>
        <v>1200</v>
      </c>
      <c r="J33" s="13">
        <f>6*5</f>
        <v>30</v>
      </c>
      <c r="K33" s="14">
        <f t="shared" si="9"/>
        <v>1200</v>
      </c>
      <c r="L33" s="13">
        <f>6*5</f>
        <v>30</v>
      </c>
      <c r="M33" s="14">
        <f t="shared" si="7"/>
        <v>1200</v>
      </c>
      <c r="N33" s="13">
        <v>30</v>
      </c>
      <c r="O33" s="14">
        <f t="shared" si="1"/>
        <v>4500</v>
      </c>
      <c r="P33" s="284">
        <f t="shared" si="0"/>
        <v>12204</v>
      </c>
      <c r="Q33" s="14" t="s">
        <v>343</v>
      </c>
      <c r="R33" s="14">
        <v>6500</v>
      </c>
      <c r="S33" s="14">
        <v>10</v>
      </c>
      <c r="T33" s="11">
        <f t="shared" si="5"/>
        <v>13424.4</v>
      </c>
      <c r="U33" s="11">
        <f>MROUND(T33,100)</f>
        <v>13400</v>
      </c>
      <c r="V33" s="23">
        <f t="shared" si="6"/>
        <v>-6900</v>
      </c>
      <c r="W33" s="32" t="s">
        <v>231</v>
      </c>
      <c r="X33" s="33" t="s">
        <v>315</v>
      </c>
      <c r="Y33" s="32"/>
      <c r="Z33" s="32" t="s">
        <v>202</v>
      </c>
      <c r="AA33" s="34"/>
      <c r="AB33" s="35"/>
    </row>
    <row r="34" spans="1:28" ht="12.75">
      <c r="A34" s="42" t="s">
        <v>228</v>
      </c>
      <c r="B34" s="42">
        <v>368115</v>
      </c>
      <c r="C34" s="43" t="s">
        <v>344</v>
      </c>
      <c r="D34" s="13">
        <f>6*5</f>
        <v>30</v>
      </c>
      <c r="E34" s="14">
        <f t="shared" si="10"/>
        <v>2280</v>
      </c>
      <c r="F34" s="13">
        <f>6*4</f>
        <v>24</v>
      </c>
      <c r="G34" s="14">
        <f t="shared" si="3"/>
        <v>1824</v>
      </c>
      <c r="H34" s="13">
        <f>6*5</f>
        <v>30</v>
      </c>
      <c r="I34" s="14">
        <f t="shared" si="4"/>
        <v>1200</v>
      </c>
      <c r="J34" s="13">
        <f>6*5</f>
        <v>30</v>
      </c>
      <c r="K34" s="14">
        <f t="shared" si="9"/>
        <v>1200</v>
      </c>
      <c r="L34" s="13">
        <f>6*5</f>
        <v>30</v>
      </c>
      <c r="M34" s="14">
        <f t="shared" si="7"/>
        <v>1200</v>
      </c>
      <c r="N34" s="13">
        <v>30</v>
      </c>
      <c r="O34" s="14">
        <f t="shared" si="1"/>
        <v>4500</v>
      </c>
      <c r="P34" s="284">
        <f t="shared" si="0"/>
        <v>12204</v>
      </c>
      <c r="Q34" s="14" t="s">
        <v>343</v>
      </c>
      <c r="R34" s="14">
        <v>6500</v>
      </c>
      <c r="S34" s="14">
        <v>10</v>
      </c>
      <c r="T34" s="11">
        <f t="shared" si="5"/>
        <v>13424.4</v>
      </c>
      <c r="U34" s="11">
        <f>MROUND(T34,100)</f>
        <v>13400</v>
      </c>
      <c r="V34" s="23">
        <f t="shared" si="6"/>
        <v>-6900</v>
      </c>
      <c r="W34" s="32" t="s">
        <v>231</v>
      </c>
      <c r="X34" s="33" t="s">
        <v>315</v>
      </c>
      <c r="Y34" s="32"/>
      <c r="Z34" s="32" t="s">
        <v>202</v>
      </c>
      <c r="AA34" s="34"/>
      <c r="AB34" s="35"/>
    </row>
    <row r="35" spans="1:28" ht="12.75">
      <c r="A35" s="8" t="s">
        <v>228</v>
      </c>
      <c r="B35" s="8">
        <v>368116</v>
      </c>
      <c r="C35" s="19" t="s">
        <v>345</v>
      </c>
      <c r="D35" s="20">
        <v>2</v>
      </c>
      <c r="E35" s="11">
        <f t="shared" si="10"/>
        <v>152</v>
      </c>
      <c r="F35" s="10">
        <v>2</v>
      </c>
      <c r="G35" s="11">
        <f>F35*G$3</f>
        <v>152</v>
      </c>
      <c r="H35" s="10">
        <v>2</v>
      </c>
      <c r="I35" s="11">
        <f>H35*I$3</f>
        <v>80</v>
      </c>
      <c r="J35" s="10">
        <v>2</v>
      </c>
      <c r="K35" s="11">
        <f>J35*K$3</f>
        <v>80</v>
      </c>
      <c r="L35" s="13">
        <v>2</v>
      </c>
      <c r="M35" s="14">
        <f>L35*M$3</f>
        <v>80</v>
      </c>
      <c r="N35" s="10">
        <v>2</v>
      </c>
      <c r="O35" s="14">
        <f t="shared" si="1"/>
        <v>300</v>
      </c>
      <c r="P35" s="284">
        <f t="shared" si="0"/>
        <v>844</v>
      </c>
      <c r="Q35" s="11">
        <v>0</v>
      </c>
      <c r="R35" s="11">
        <v>0</v>
      </c>
      <c r="S35" s="11">
        <v>5</v>
      </c>
      <c r="T35" s="11">
        <f t="shared" si="5"/>
        <v>886.2</v>
      </c>
      <c r="U35" s="11">
        <f>MROUND(T35,100)</f>
        <v>900</v>
      </c>
      <c r="V35" s="23">
        <f>R35-U35</f>
        <v>-900</v>
      </c>
      <c r="W35" s="32" t="s">
        <v>231</v>
      </c>
      <c r="X35" s="16"/>
      <c r="Y35" s="15"/>
      <c r="Z35" s="15"/>
      <c r="AA35" s="15"/>
      <c r="AB35" s="25"/>
    </row>
    <row r="36" spans="1:28" ht="12.75">
      <c r="A36" s="8" t="s">
        <v>228</v>
      </c>
      <c r="B36" s="8">
        <v>368117</v>
      </c>
      <c r="C36" s="19" t="s">
        <v>355</v>
      </c>
      <c r="D36" s="20">
        <v>2</v>
      </c>
      <c r="E36" s="11">
        <f t="shared" si="10"/>
        <v>152</v>
      </c>
      <c r="F36" s="10">
        <v>2</v>
      </c>
      <c r="G36" s="20">
        <f>F36*G$3</f>
        <v>152</v>
      </c>
      <c r="H36" s="10">
        <v>2</v>
      </c>
      <c r="I36" s="11">
        <f>H36*I$3</f>
        <v>80</v>
      </c>
      <c r="J36" s="10">
        <v>2</v>
      </c>
      <c r="K36" s="11">
        <f>J36*K$3</f>
        <v>80</v>
      </c>
      <c r="L36" s="13">
        <v>2</v>
      </c>
      <c r="M36" s="14">
        <f>L36*M$3</f>
        <v>80</v>
      </c>
      <c r="N36" s="10">
        <v>2</v>
      </c>
      <c r="O36" s="14">
        <f t="shared" si="1"/>
        <v>300</v>
      </c>
      <c r="P36" s="284">
        <f t="shared" si="0"/>
        <v>844</v>
      </c>
      <c r="Q36" s="11">
        <v>0</v>
      </c>
      <c r="R36" s="11">
        <v>0</v>
      </c>
      <c r="S36" s="11">
        <v>5</v>
      </c>
      <c r="T36" s="11">
        <f t="shared" si="5"/>
        <v>886.2</v>
      </c>
      <c r="U36" s="11">
        <f>MROUND(T36,100)</f>
        <v>900</v>
      </c>
      <c r="V36" s="23">
        <f>R36-U36</f>
        <v>-900</v>
      </c>
      <c r="W36" s="32" t="s">
        <v>231</v>
      </c>
      <c r="X36" s="16"/>
      <c r="Y36" s="15"/>
      <c r="Z36" s="15"/>
      <c r="AA36" s="15"/>
      <c r="AB36" s="25"/>
    </row>
    <row r="37" spans="1:28" ht="12.75">
      <c r="A37" s="8" t="s">
        <v>228</v>
      </c>
      <c r="B37" s="8">
        <v>368118</v>
      </c>
      <c r="C37" s="19" t="s">
        <v>122</v>
      </c>
      <c r="D37" s="20">
        <f>D22*1.5/12</f>
        <v>2.25</v>
      </c>
      <c r="E37" s="11">
        <f t="shared" si="10"/>
        <v>171</v>
      </c>
      <c r="F37" s="20">
        <f>F22*1.5/12</f>
        <v>2.25</v>
      </c>
      <c r="G37" s="20">
        <f>F37*G$3</f>
        <v>171</v>
      </c>
      <c r="H37" s="20">
        <f>H22*1.5/12</f>
        <v>2.25</v>
      </c>
      <c r="I37" s="11">
        <f>H37*I$3</f>
        <v>90</v>
      </c>
      <c r="J37" s="20">
        <f>J22*1.5/12</f>
        <v>2.25</v>
      </c>
      <c r="K37" s="11">
        <f>J37*K$3</f>
        <v>90</v>
      </c>
      <c r="L37" s="20">
        <f>L22*1.5/12</f>
        <v>2.25</v>
      </c>
      <c r="M37" s="14">
        <f>L37*M$3</f>
        <v>90</v>
      </c>
      <c r="N37" s="20">
        <f>N22*1.5/12</f>
        <v>3.75</v>
      </c>
      <c r="O37" s="14">
        <f t="shared" si="1"/>
        <v>562.5</v>
      </c>
      <c r="P37" s="284">
        <f t="shared" si="0"/>
        <v>1174.5</v>
      </c>
      <c r="Q37" s="11">
        <v>0</v>
      </c>
      <c r="R37" s="11">
        <v>0</v>
      </c>
      <c r="S37" s="11">
        <v>10</v>
      </c>
      <c r="T37" s="11">
        <f t="shared" si="5"/>
        <v>1291.95</v>
      </c>
      <c r="U37" s="11">
        <v>1500</v>
      </c>
      <c r="V37" s="23">
        <f>R37-U37</f>
        <v>-1500</v>
      </c>
      <c r="W37" s="32" t="s">
        <v>231</v>
      </c>
      <c r="X37" s="16" t="s">
        <v>292</v>
      </c>
      <c r="Y37" s="15" t="s">
        <v>124</v>
      </c>
      <c r="Z37" s="15" t="s">
        <v>125</v>
      </c>
      <c r="AA37" s="15"/>
      <c r="AB37" s="25"/>
    </row>
    <row r="38" spans="1:28" ht="12.75">
      <c r="A38" s="8" t="s">
        <v>228</v>
      </c>
      <c r="B38" s="8">
        <v>368119</v>
      </c>
      <c r="C38" s="19" t="s">
        <v>356</v>
      </c>
      <c r="D38" s="20">
        <v>2</v>
      </c>
      <c r="E38" s="11">
        <f t="shared" si="10"/>
        <v>152</v>
      </c>
      <c r="F38" s="10">
        <v>2</v>
      </c>
      <c r="G38" s="20">
        <f>F38*G$3</f>
        <v>152</v>
      </c>
      <c r="H38" s="10">
        <v>2</v>
      </c>
      <c r="I38" s="11">
        <f>H38*I$3</f>
        <v>80</v>
      </c>
      <c r="J38" s="10">
        <v>2</v>
      </c>
      <c r="K38" s="11">
        <f>J38*K$3</f>
        <v>80</v>
      </c>
      <c r="L38" s="13">
        <v>2</v>
      </c>
      <c r="M38" s="14">
        <f>L38*M$3</f>
        <v>80</v>
      </c>
      <c r="N38" s="10">
        <v>2</v>
      </c>
      <c r="O38" s="14">
        <f t="shared" si="1"/>
        <v>300</v>
      </c>
      <c r="P38" s="284">
        <f t="shared" si="0"/>
        <v>844</v>
      </c>
      <c r="Q38" s="11">
        <v>0</v>
      </c>
      <c r="R38" s="11">
        <v>0</v>
      </c>
      <c r="S38" s="11">
        <v>5</v>
      </c>
      <c r="T38" s="11">
        <f>P38+P38*S38*0.01</f>
        <v>886.2</v>
      </c>
      <c r="U38" s="11">
        <f>MROUND(T38,100)</f>
        <v>900</v>
      </c>
      <c r="V38" s="23">
        <f>R38-U38</f>
        <v>-900</v>
      </c>
      <c r="W38" s="32"/>
      <c r="X38" s="16"/>
      <c r="Y38" s="15"/>
      <c r="Z38" s="15"/>
      <c r="AA38" s="15"/>
      <c r="AB38" s="25"/>
    </row>
    <row r="39" spans="1:28" ht="12.75">
      <c r="A39" s="18" t="s">
        <v>228</v>
      </c>
      <c r="B39" s="18">
        <v>368248</v>
      </c>
      <c r="C39" s="19" t="s">
        <v>357</v>
      </c>
      <c r="D39" s="20">
        <f>2*6</f>
        <v>12</v>
      </c>
      <c r="E39" s="11">
        <f t="shared" si="2"/>
        <v>912</v>
      </c>
      <c r="F39" s="20">
        <f>2*6</f>
        <v>12</v>
      </c>
      <c r="G39" s="11">
        <f t="shared" si="3"/>
        <v>912</v>
      </c>
      <c r="H39" s="20">
        <f>2*6</f>
        <v>12</v>
      </c>
      <c r="I39" s="11">
        <f t="shared" si="4"/>
        <v>480</v>
      </c>
      <c r="J39" s="20">
        <f>2*6</f>
        <v>12</v>
      </c>
      <c r="K39" s="11">
        <f aca="true" t="shared" si="11" ref="K39:K49">J39*K$3</f>
        <v>480</v>
      </c>
      <c r="L39" s="13">
        <f>2*6</f>
        <v>12</v>
      </c>
      <c r="M39" s="14">
        <f t="shared" si="7"/>
        <v>480</v>
      </c>
      <c r="N39" s="20">
        <v>24</v>
      </c>
      <c r="O39" s="11">
        <f t="shared" si="1"/>
        <v>3600</v>
      </c>
      <c r="P39" s="284">
        <f t="shared" si="0"/>
        <v>6864</v>
      </c>
      <c r="Q39" s="11">
        <v>6500</v>
      </c>
      <c r="R39" s="11">
        <v>6500</v>
      </c>
      <c r="S39" s="11">
        <v>5</v>
      </c>
      <c r="T39" s="11">
        <f t="shared" si="5"/>
        <v>7207.2</v>
      </c>
      <c r="U39" s="11">
        <f>MROUND(T39,100)</f>
        <v>7200</v>
      </c>
      <c r="V39" s="23">
        <f t="shared" si="6"/>
        <v>-700</v>
      </c>
      <c r="W39" s="15" t="s">
        <v>358</v>
      </c>
      <c r="X39" s="16" t="s">
        <v>232</v>
      </c>
      <c r="Y39" s="15" t="s">
        <v>359</v>
      </c>
      <c r="Z39" s="15" t="s">
        <v>360</v>
      </c>
      <c r="AA39" s="24" t="s">
        <v>361</v>
      </c>
      <c r="AB39" s="25" t="s">
        <v>246</v>
      </c>
    </row>
    <row r="40" spans="1:28" ht="12.75">
      <c r="A40" s="8" t="s">
        <v>228</v>
      </c>
      <c r="B40" s="8">
        <v>368250</v>
      </c>
      <c r="C40" s="19" t="s">
        <v>362</v>
      </c>
      <c r="D40" s="10">
        <f>18*3</f>
        <v>54</v>
      </c>
      <c r="E40" s="11">
        <f t="shared" si="2"/>
        <v>4104</v>
      </c>
      <c r="F40" s="10">
        <f>18*3</f>
        <v>54</v>
      </c>
      <c r="G40" s="11">
        <f t="shared" si="3"/>
        <v>4104</v>
      </c>
      <c r="H40" s="10">
        <f>18*3</f>
        <v>54</v>
      </c>
      <c r="I40" s="11">
        <f t="shared" si="4"/>
        <v>2160</v>
      </c>
      <c r="J40" s="10">
        <f>18*3</f>
        <v>54</v>
      </c>
      <c r="K40" s="11">
        <f t="shared" si="11"/>
        <v>2160</v>
      </c>
      <c r="L40" s="26">
        <f>18*3</f>
        <v>54</v>
      </c>
      <c r="M40" s="14">
        <f t="shared" si="7"/>
        <v>2160</v>
      </c>
      <c r="N40" s="10">
        <f>30*3</f>
        <v>90</v>
      </c>
      <c r="O40" s="11">
        <f t="shared" si="1"/>
        <v>13500</v>
      </c>
      <c r="P40" s="284">
        <f t="shared" si="0"/>
        <v>28188</v>
      </c>
      <c r="Q40" s="11">
        <v>26000</v>
      </c>
      <c r="R40" s="11">
        <v>27300</v>
      </c>
      <c r="S40" s="11">
        <v>5</v>
      </c>
      <c r="T40" s="11">
        <f t="shared" si="5"/>
        <v>29597.4</v>
      </c>
      <c r="U40" s="11">
        <f>MROUND(T40,100)</f>
        <v>29600</v>
      </c>
      <c r="V40" s="23">
        <f t="shared" si="6"/>
        <v>-2300</v>
      </c>
      <c r="W40" s="15" t="s">
        <v>363</v>
      </c>
      <c r="X40" s="16" t="s">
        <v>298</v>
      </c>
      <c r="Y40" s="15" t="s">
        <v>364</v>
      </c>
      <c r="Z40" s="15" t="s">
        <v>365</v>
      </c>
      <c r="AA40" s="24" t="s">
        <v>361</v>
      </c>
      <c r="AB40" s="25" t="s">
        <v>246</v>
      </c>
    </row>
    <row r="41" spans="1:28" ht="12.75">
      <c r="A41" s="8" t="s">
        <v>228</v>
      </c>
      <c r="B41" s="8">
        <v>368252</v>
      </c>
      <c r="C41" s="19" t="s">
        <v>366</v>
      </c>
      <c r="D41" s="10" t="s">
        <v>367</v>
      </c>
      <c r="E41" s="11">
        <f t="shared" si="2"/>
        <v>4560</v>
      </c>
      <c r="F41" s="10">
        <v>48</v>
      </c>
      <c r="G41" s="11">
        <f t="shared" si="3"/>
        <v>3648</v>
      </c>
      <c r="H41" s="10" t="s">
        <v>367</v>
      </c>
      <c r="I41" s="11">
        <f t="shared" si="4"/>
        <v>2400</v>
      </c>
      <c r="J41" s="10" t="s">
        <v>367</v>
      </c>
      <c r="K41" s="11">
        <f t="shared" si="11"/>
        <v>2400</v>
      </c>
      <c r="L41" s="26" t="s">
        <v>367</v>
      </c>
      <c r="M41" s="14">
        <f t="shared" si="7"/>
        <v>2400</v>
      </c>
      <c r="N41" s="10">
        <v>60</v>
      </c>
      <c r="O41" s="11">
        <f aca="true" t="shared" si="12" ref="O41:O65">N41*O$3</f>
        <v>9000</v>
      </c>
      <c r="P41" s="284">
        <f t="shared" si="0"/>
        <v>24408</v>
      </c>
      <c r="Q41" s="11">
        <v>22500</v>
      </c>
      <c r="R41" s="11">
        <v>23500</v>
      </c>
      <c r="S41" s="11">
        <v>10</v>
      </c>
      <c r="T41" s="11">
        <f t="shared" si="5"/>
        <v>26848.8</v>
      </c>
      <c r="U41" s="11">
        <f>MROUND(T41,100)</f>
        <v>26800</v>
      </c>
      <c r="V41" s="23">
        <f t="shared" si="6"/>
        <v>-3300</v>
      </c>
      <c r="W41" s="15" t="s">
        <v>231</v>
      </c>
      <c r="X41" s="16" t="s">
        <v>315</v>
      </c>
      <c r="Y41" s="15"/>
      <c r="Z41" s="15" t="s">
        <v>368</v>
      </c>
      <c r="AA41" s="24" t="s">
        <v>234</v>
      </c>
      <c r="AB41" s="25">
        <v>0.6</v>
      </c>
    </row>
    <row r="42" spans="1:28" ht="12.75">
      <c r="A42" s="18" t="s">
        <v>228</v>
      </c>
      <c r="B42" s="8">
        <v>368254</v>
      </c>
      <c r="C42" s="19" t="s">
        <v>369</v>
      </c>
      <c r="D42" s="10">
        <f>D69*16</f>
        <v>384</v>
      </c>
      <c r="E42" s="11">
        <f t="shared" si="2"/>
        <v>29184</v>
      </c>
      <c r="F42" s="10">
        <f>F69*16</f>
        <v>192</v>
      </c>
      <c r="G42" s="11">
        <f t="shared" si="3"/>
        <v>14592</v>
      </c>
      <c r="H42" s="10">
        <f>H69*16</f>
        <v>672</v>
      </c>
      <c r="I42" s="11">
        <f t="shared" si="4"/>
        <v>26880</v>
      </c>
      <c r="J42" s="10">
        <f>J69*16</f>
        <v>576</v>
      </c>
      <c r="K42" s="11">
        <f t="shared" si="11"/>
        <v>23040</v>
      </c>
      <c r="L42" s="26">
        <f>L69*16</f>
        <v>576</v>
      </c>
      <c r="M42" s="14">
        <f t="shared" si="7"/>
        <v>23040</v>
      </c>
      <c r="N42" s="10">
        <f>N50*16</f>
        <v>384</v>
      </c>
      <c r="O42" s="11">
        <f t="shared" si="12"/>
        <v>57600</v>
      </c>
      <c r="P42" s="284">
        <f t="shared" si="0"/>
        <v>174336</v>
      </c>
      <c r="Q42" s="11">
        <v>150000</v>
      </c>
      <c r="R42" s="11">
        <v>157000</v>
      </c>
      <c r="S42" s="11">
        <v>5</v>
      </c>
      <c r="T42" s="11">
        <f t="shared" si="5"/>
        <v>183052.8</v>
      </c>
      <c r="U42" s="11">
        <f>MROUND(T42,100)</f>
        <v>183100</v>
      </c>
      <c r="V42" s="23">
        <f t="shared" si="6"/>
        <v>-26100</v>
      </c>
      <c r="W42" s="15" t="s">
        <v>231</v>
      </c>
      <c r="X42" s="16" t="s">
        <v>325</v>
      </c>
      <c r="Y42" s="15" t="s">
        <v>370</v>
      </c>
      <c r="Z42" s="15" t="s">
        <v>322</v>
      </c>
      <c r="AA42" s="24" t="s">
        <v>371</v>
      </c>
      <c r="AB42" s="25">
        <v>0</v>
      </c>
    </row>
    <row r="43" spans="1:28" ht="12.75">
      <c r="A43" s="18" t="s">
        <v>228</v>
      </c>
      <c r="B43" s="8">
        <v>368255</v>
      </c>
      <c r="C43" s="19" t="s">
        <v>372</v>
      </c>
      <c r="D43" s="10">
        <v>384</v>
      </c>
      <c r="E43" s="11">
        <f t="shared" si="2"/>
        <v>29184</v>
      </c>
      <c r="F43" s="10">
        <v>192</v>
      </c>
      <c r="G43" s="11">
        <f t="shared" si="3"/>
        <v>14592</v>
      </c>
      <c r="H43" s="10">
        <v>672</v>
      </c>
      <c r="I43" s="11">
        <f t="shared" si="4"/>
        <v>26880</v>
      </c>
      <c r="J43" s="10">
        <v>576</v>
      </c>
      <c r="K43" s="11">
        <f t="shared" si="11"/>
        <v>23040</v>
      </c>
      <c r="L43" s="26">
        <v>576</v>
      </c>
      <c r="M43" s="14">
        <f t="shared" si="7"/>
        <v>23040</v>
      </c>
      <c r="N43" s="10">
        <f>N51*16</f>
        <v>384</v>
      </c>
      <c r="O43" s="11">
        <f t="shared" si="12"/>
        <v>57600</v>
      </c>
      <c r="P43" s="284">
        <f t="shared" si="0"/>
        <v>174336</v>
      </c>
      <c r="Q43" s="11">
        <v>150000</v>
      </c>
      <c r="R43" s="11">
        <v>157000</v>
      </c>
      <c r="S43" s="11">
        <v>5</v>
      </c>
      <c r="T43" s="11">
        <f t="shared" si="5"/>
        <v>183052.8</v>
      </c>
      <c r="U43" s="11">
        <f>MROUND(T43,100)</f>
        <v>183100</v>
      </c>
      <c r="V43" s="23">
        <f t="shared" si="6"/>
        <v>-26100</v>
      </c>
      <c r="W43" s="15" t="s">
        <v>231</v>
      </c>
      <c r="X43" s="16" t="s">
        <v>325</v>
      </c>
      <c r="Y43" s="15"/>
      <c r="Z43" s="15" t="s">
        <v>373</v>
      </c>
      <c r="AA43" s="24" t="s">
        <v>374</v>
      </c>
      <c r="AB43" s="25">
        <v>0.081</v>
      </c>
    </row>
    <row r="44" spans="1:28" ht="12.75">
      <c r="A44" s="8" t="s">
        <v>228</v>
      </c>
      <c r="B44" s="8">
        <v>368256</v>
      </c>
      <c r="C44" s="19" t="s">
        <v>375</v>
      </c>
      <c r="D44" s="10">
        <f>4*3*3</f>
        <v>36</v>
      </c>
      <c r="E44" s="11">
        <f t="shared" si="2"/>
        <v>2736</v>
      </c>
      <c r="F44" s="10">
        <f>4*3*3</f>
        <v>36</v>
      </c>
      <c r="G44" s="11">
        <f t="shared" si="3"/>
        <v>2736</v>
      </c>
      <c r="H44" s="10">
        <f>4*3*3</f>
        <v>36</v>
      </c>
      <c r="I44" s="11">
        <f t="shared" si="4"/>
        <v>1440</v>
      </c>
      <c r="J44" s="10">
        <f>4*3*3</f>
        <v>36</v>
      </c>
      <c r="K44" s="11">
        <f t="shared" si="11"/>
        <v>1440</v>
      </c>
      <c r="L44" s="26">
        <f>4*3*3</f>
        <v>36</v>
      </c>
      <c r="M44" s="14">
        <f t="shared" si="7"/>
        <v>1440</v>
      </c>
      <c r="N44" s="10">
        <v>60</v>
      </c>
      <c r="O44" s="11">
        <f t="shared" si="12"/>
        <v>9000</v>
      </c>
      <c r="P44" s="284">
        <f t="shared" si="0"/>
        <v>18792</v>
      </c>
      <c r="Q44" s="11">
        <v>18000</v>
      </c>
      <c r="R44" s="11">
        <v>18200</v>
      </c>
      <c r="S44" s="11">
        <v>5</v>
      </c>
      <c r="T44" s="11">
        <f t="shared" si="5"/>
        <v>19731.6</v>
      </c>
      <c r="U44" s="11">
        <f>MROUND(T44,100)</f>
        <v>19700</v>
      </c>
      <c r="V44" s="23">
        <f t="shared" si="6"/>
        <v>-1500</v>
      </c>
      <c r="W44" s="15" t="s">
        <v>231</v>
      </c>
      <c r="X44" s="16" t="s">
        <v>325</v>
      </c>
      <c r="Y44" s="15" t="s">
        <v>376</v>
      </c>
      <c r="Z44" s="15" t="s">
        <v>316</v>
      </c>
      <c r="AA44" s="24" t="s">
        <v>371</v>
      </c>
      <c r="AB44" s="25">
        <v>0</v>
      </c>
    </row>
    <row r="45" spans="1:28" ht="12.75">
      <c r="A45" s="8" t="s">
        <v>228</v>
      </c>
      <c r="B45" s="8">
        <v>368257</v>
      </c>
      <c r="C45" s="19" t="s">
        <v>377</v>
      </c>
      <c r="D45" s="10">
        <f>4*3*3</f>
        <v>36</v>
      </c>
      <c r="E45" s="11">
        <f t="shared" si="2"/>
        <v>2736</v>
      </c>
      <c r="F45" s="10">
        <f>4*3*3</f>
        <v>36</v>
      </c>
      <c r="G45" s="11">
        <f t="shared" si="3"/>
        <v>2736</v>
      </c>
      <c r="H45" s="10">
        <f>4*3*3</f>
        <v>36</v>
      </c>
      <c r="I45" s="11">
        <f t="shared" si="4"/>
        <v>1440</v>
      </c>
      <c r="J45" s="10">
        <f>4*3*3</f>
        <v>36</v>
      </c>
      <c r="K45" s="11">
        <f t="shared" si="11"/>
        <v>1440</v>
      </c>
      <c r="L45" s="26">
        <f>4*3*3</f>
        <v>36</v>
      </c>
      <c r="M45" s="14">
        <f t="shared" si="7"/>
        <v>1440</v>
      </c>
      <c r="N45" s="10">
        <v>60</v>
      </c>
      <c r="O45" s="11">
        <f t="shared" si="12"/>
        <v>9000</v>
      </c>
      <c r="P45" s="284">
        <f t="shared" si="0"/>
        <v>18792</v>
      </c>
      <c r="Q45" s="11">
        <v>18000</v>
      </c>
      <c r="R45" s="11">
        <v>18200</v>
      </c>
      <c r="S45" s="11">
        <v>5</v>
      </c>
      <c r="T45" s="11">
        <f t="shared" si="5"/>
        <v>19731.6</v>
      </c>
      <c r="U45" s="11">
        <f>MROUND(T45,100)</f>
        <v>19700</v>
      </c>
      <c r="V45" s="23">
        <f t="shared" si="6"/>
        <v>-1500</v>
      </c>
      <c r="W45" s="15" t="s">
        <v>231</v>
      </c>
      <c r="X45" s="16" t="s">
        <v>325</v>
      </c>
      <c r="Y45" s="15"/>
      <c r="Z45" s="15" t="s">
        <v>378</v>
      </c>
      <c r="AA45" s="24" t="s">
        <v>379</v>
      </c>
      <c r="AB45" s="25">
        <v>0.092</v>
      </c>
    </row>
    <row r="46" spans="1:28" ht="12.75">
      <c r="A46" s="8" t="s">
        <v>228</v>
      </c>
      <c r="B46" s="8">
        <v>368258</v>
      </c>
      <c r="C46" s="19" t="s">
        <v>380</v>
      </c>
      <c r="D46" s="20">
        <f>16*D69</f>
        <v>384</v>
      </c>
      <c r="E46" s="11">
        <f t="shared" si="2"/>
        <v>29184</v>
      </c>
      <c r="F46" s="20">
        <f>16*F69</f>
        <v>192</v>
      </c>
      <c r="G46" s="11">
        <f t="shared" si="3"/>
        <v>14592</v>
      </c>
      <c r="H46" s="20">
        <f>16*H69</f>
        <v>672</v>
      </c>
      <c r="I46" s="11">
        <f t="shared" si="4"/>
        <v>26880</v>
      </c>
      <c r="J46" s="20">
        <f>16*J69</f>
        <v>576</v>
      </c>
      <c r="K46" s="11">
        <f t="shared" si="11"/>
        <v>23040</v>
      </c>
      <c r="L46" s="13">
        <f>16*L69</f>
        <v>576</v>
      </c>
      <c r="M46" s="14">
        <f t="shared" si="7"/>
        <v>23040</v>
      </c>
      <c r="N46" s="10">
        <v>384</v>
      </c>
      <c r="O46" s="11">
        <f t="shared" si="12"/>
        <v>57600</v>
      </c>
      <c r="P46" s="284">
        <f t="shared" si="0"/>
        <v>174336</v>
      </c>
      <c r="Q46" s="11">
        <v>150000</v>
      </c>
      <c r="R46" s="11">
        <v>158500</v>
      </c>
      <c r="S46" s="11">
        <v>5</v>
      </c>
      <c r="T46" s="11">
        <f t="shared" si="5"/>
        <v>183052.8</v>
      </c>
      <c r="U46" s="11">
        <f>MROUND(T46,100)</f>
        <v>183100</v>
      </c>
      <c r="V46" s="23">
        <f t="shared" si="6"/>
        <v>-24600</v>
      </c>
      <c r="W46" s="15" t="s">
        <v>231</v>
      </c>
      <c r="X46" s="16" t="s">
        <v>315</v>
      </c>
      <c r="Y46" s="15" t="s">
        <v>381</v>
      </c>
      <c r="Z46" s="15" t="s">
        <v>322</v>
      </c>
      <c r="AA46" s="24" t="s">
        <v>382</v>
      </c>
      <c r="AB46" s="25" t="s">
        <v>246</v>
      </c>
    </row>
    <row r="47" spans="1:28" ht="12.75">
      <c r="A47" s="18" t="s">
        <v>228</v>
      </c>
      <c r="B47" s="18">
        <v>368259</v>
      </c>
      <c r="C47" s="19" t="s">
        <v>383</v>
      </c>
      <c r="D47" s="20">
        <f>16*D69+4*3*3</f>
        <v>420</v>
      </c>
      <c r="E47" s="11">
        <f t="shared" si="2"/>
        <v>31920</v>
      </c>
      <c r="F47" s="20">
        <f>16*F69+4*3*3</f>
        <v>228</v>
      </c>
      <c r="G47" s="11">
        <f t="shared" si="3"/>
        <v>17328</v>
      </c>
      <c r="H47" s="20">
        <f>16*H69+4*3*3</f>
        <v>708</v>
      </c>
      <c r="I47" s="11">
        <f t="shared" si="4"/>
        <v>28320</v>
      </c>
      <c r="J47" s="20">
        <f>16*J69+4*3*3</f>
        <v>612</v>
      </c>
      <c r="K47" s="11">
        <f t="shared" si="11"/>
        <v>24480</v>
      </c>
      <c r="L47" s="13">
        <f>16*L69+4*3*3</f>
        <v>612</v>
      </c>
      <c r="M47" s="14">
        <f t="shared" si="7"/>
        <v>24480</v>
      </c>
      <c r="N47" s="20">
        <f>16*N50+4*5*3</f>
        <v>444</v>
      </c>
      <c r="O47" s="11">
        <f t="shared" si="12"/>
        <v>66600</v>
      </c>
      <c r="P47" s="284">
        <f t="shared" si="0"/>
        <v>193128</v>
      </c>
      <c r="Q47" s="11">
        <v>175000</v>
      </c>
      <c r="R47" s="11">
        <v>176600</v>
      </c>
      <c r="S47" s="11">
        <v>5</v>
      </c>
      <c r="T47" s="11">
        <f t="shared" si="5"/>
        <v>202784.4</v>
      </c>
      <c r="U47" s="11">
        <f>MROUND(T47,100)</f>
        <v>202800</v>
      </c>
      <c r="V47" s="23">
        <f t="shared" si="6"/>
        <v>-26200</v>
      </c>
      <c r="W47" s="15" t="s">
        <v>231</v>
      </c>
      <c r="X47" s="16" t="s">
        <v>315</v>
      </c>
      <c r="Y47" s="15"/>
      <c r="Z47" s="15" t="s">
        <v>384</v>
      </c>
      <c r="AA47" s="24" t="s">
        <v>385</v>
      </c>
      <c r="AB47" s="25">
        <v>0.07</v>
      </c>
    </row>
    <row r="48" spans="1:28" ht="12.75">
      <c r="A48" s="8" t="s">
        <v>228</v>
      </c>
      <c r="B48" s="8">
        <v>368260</v>
      </c>
      <c r="C48" s="19" t="s">
        <v>386</v>
      </c>
      <c r="D48" s="20">
        <f>4*3*3</f>
        <v>36</v>
      </c>
      <c r="E48" s="11">
        <f t="shared" si="2"/>
        <v>2736</v>
      </c>
      <c r="F48" s="20">
        <f>4*3*3</f>
        <v>36</v>
      </c>
      <c r="G48" s="11">
        <f t="shared" si="3"/>
        <v>2736</v>
      </c>
      <c r="H48" s="20">
        <f>4*3*3</f>
        <v>36</v>
      </c>
      <c r="I48" s="11">
        <f t="shared" si="4"/>
        <v>1440</v>
      </c>
      <c r="J48" s="20">
        <f>4*3*3</f>
        <v>36</v>
      </c>
      <c r="K48" s="11">
        <f t="shared" si="11"/>
        <v>1440</v>
      </c>
      <c r="L48" s="13">
        <f>4*3*3</f>
        <v>36</v>
      </c>
      <c r="M48" s="14">
        <f t="shared" si="7"/>
        <v>1440</v>
      </c>
      <c r="N48" s="10">
        <v>60</v>
      </c>
      <c r="O48" s="11">
        <f t="shared" si="12"/>
        <v>9000</v>
      </c>
      <c r="P48" s="284">
        <f t="shared" si="0"/>
        <v>18792</v>
      </c>
      <c r="Q48" s="11">
        <v>18000</v>
      </c>
      <c r="R48" s="11">
        <v>18100</v>
      </c>
      <c r="S48" s="11">
        <v>5</v>
      </c>
      <c r="T48" s="11">
        <f t="shared" si="5"/>
        <v>19731.6</v>
      </c>
      <c r="U48" s="11">
        <f>MROUND(T48,100)</f>
        <v>19700</v>
      </c>
      <c r="V48" s="23">
        <f t="shared" si="6"/>
        <v>-1600</v>
      </c>
      <c r="W48" s="15" t="s">
        <v>231</v>
      </c>
      <c r="X48" s="16" t="s">
        <v>315</v>
      </c>
      <c r="Y48" s="15" t="s">
        <v>387</v>
      </c>
      <c r="Z48" s="15" t="s">
        <v>322</v>
      </c>
      <c r="AA48" s="24" t="s">
        <v>382</v>
      </c>
      <c r="AB48" s="25" t="s">
        <v>246</v>
      </c>
    </row>
    <row r="49" spans="1:28" s="61" customFormat="1" ht="13.5" customHeight="1">
      <c r="A49" s="296" t="s">
        <v>228</v>
      </c>
      <c r="B49" s="296">
        <v>368261</v>
      </c>
      <c r="C49" s="297" t="s">
        <v>478</v>
      </c>
      <c r="D49" s="298">
        <v>2</v>
      </c>
      <c r="E49" s="299">
        <f t="shared" si="2"/>
        <v>152</v>
      </c>
      <c r="F49" s="298">
        <v>2</v>
      </c>
      <c r="G49" s="299">
        <f t="shared" si="3"/>
        <v>152</v>
      </c>
      <c r="H49" s="298">
        <v>2</v>
      </c>
      <c r="I49" s="299">
        <f t="shared" si="4"/>
        <v>80</v>
      </c>
      <c r="J49" s="298">
        <v>2</v>
      </c>
      <c r="K49" s="299">
        <f t="shared" si="11"/>
        <v>80</v>
      </c>
      <c r="L49" s="300">
        <v>2</v>
      </c>
      <c r="M49" s="301">
        <f aca="true" t="shared" si="13" ref="M49:M73">L49*M$3</f>
        <v>80</v>
      </c>
      <c r="N49" s="302">
        <v>2</v>
      </c>
      <c r="O49" s="299">
        <f t="shared" si="12"/>
        <v>300</v>
      </c>
      <c r="P49" s="303">
        <f t="shared" si="0"/>
        <v>844</v>
      </c>
      <c r="Q49" s="299">
        <v>800</v>
      </c>
      <c r="R49" s="299">
        <v>800</v>
      </c>
      <c r="S49" s="299">
        <v>5</v>
      </c>
      <c r="T49" s="299">
        <f>P49+P49*S49*0.01</f>
        <v>886.2</v>
      </c>
      <c r="U49" s="299">
        <v>800</v>
      </c>
      <c r="V49" s="304">
        <f>R49-U49</f>
        <v>0</v>
      </c>
      <c r="W49" s="305" t="s">
        <v>231</v>
      </c>
      <c r="X49" s="306" t="s">
        <v>232</v>
      </c>
      <c r="Y49" s="305" t="s">
        <v>388</v>
      </c>
      <c r="Z49" s="305" t="s">
        <v>389</v>
      </c>
      <c r="AA49" s="294" t="s">
        <v>390</v>
      </c>
      <c r="AB49" s="295">
        <v>0.93</v>
      </c>
    </row>
    <row r="50" spans="1:28" ht="12.75">
      <c r="A50" s="36" t="s">
        <v>391</v>
      </c>
      <c r="B50" s="36">
        <v>368262</v>
      </c>
      <c r="C50" s="37" t="s">
        <v>61</v>
      </c>
      <c r="D50" s="26">
        <v>0</v>
      </c>
      <c r="E50" s="14">
        <v>0</v>
      </c>
      <c r="F50" s="26">
        <v>0</v>
      </c>
      <c r="G50" s="14">
        <v>0</v>
      </c>
      <c r="H50" s="26">
        <v>0</v>
      </c>
      <c r="I50" s="14">
        <v>0</v>
      </c>
      <c r="J50" s="26">
        <v>0</v>
      </c>
      <c r="K50" s="14">
        <v>0</v>
      </c>
      <c r="L50" s="26">
        <v>0</v>
      </c>
      <c r="M50" s="14">
        <f t="shared" si="13"/>
        <v>0</v>
      </c>
      <c r="N50" s="26">
        <f>8*3</f>
        <v>24</v>
      </c>
      <c r="O50" s="14">
        <f t="shared" si="12"/>
        <v>3600</v>
      </c>
      <c r="P50" s="284">
        <f t="shared" si="0"/>
        <v>3600</v>
      </c>
      <c r="Q50" s="14">
        <v>3600</v>
      </c>
      <c r="R50" s="14">
        <v>4000</v>
      </c>
      <c r="S50" s="14">
        <v>10</v>
      </c>
      <c r="T50" s="11">
        <f>P50+P50*S50*0.01</f>
        <v>3960</v>
      </c>
      <c r="U50" s="11">
        <f>MROUND(T50,100)</f>
        <v>4000</v>
      </c>
      <c r="V50" s="23">
        <f>R50-U50</f>
        <v>0</v>
      </c>
      <c r="W50" s="32" t="s">
        <v>231</v>
      </c>
      <c r="X50" s="33" t="s">
        <v>392</v>
      </c>
      <c r="Y50" s="32" t="s">
        <v>393</v>
      </c>
      <c r="Z50" s="32" t="s">
        <v>394</v>
      </c>
      <c r="AA50" s="34" t="s">
        <v>395</v>
      </c>
      <c r="AB50" s="35">
        <v>7</v>
      </c>
    </row>
    <row r="51" spans="1:28" ht="12.75">
      <c r="A51" s="8" t="s">
        <v>396</v>
      </c>
      <c r="B51" s="8">
        <v>368263</v>
      </c>
      <c r="C51" s="19" t="s">
        <v>397</v>
      </c>
      <c r="D51" s="26">
        <v>0</v>
      </c>
      <c r="E51" s="14">
        <v>0</v>
      </c>
      <c r="F51" s="26">
        <v>0</v>
      </c>
      <c r="G51" s="14">
        <v>0</v>
      </c>
      <c r="H51" s="26">
        <v>0</v>
      </c>
      <c r="I51" s="14">
        <v>0</v>
      </c>
      <c r="J51" s="26">
        <v>0</v>
      </c>
      <c r="K51" s="14">
        <v>0</v>
      </c>
      <c r="L51" s="26">
        <v>0</v>
      </c>
      <c r="M51" s="14">
        <f t="shared" si="13"/>
        <v>0</v>
      </c>
      <c r="N51" s="10">
        <f>N50</f>
        <v>24</v>
      </c>
      <c r="O51" s="11">
        <f t="shared" si="12"/>
        <v>3600</v>
      </c>
      <c r="P51" s="284">
        <f t="shared" si="0"/>
        <v>3600</v>
      </c>
      <c r="Q51" s="11">
        <v>9600</v>
      </c>
      <c r="R51" s="14">
        <v>4000</v>
      </c>
      <c r="S51" s="14">
        <v>10</v>
      </c>
      <c r="T51" s="11">
        <f>P51+P51*S51*0.01</f>
        <v>3960</v>
      </c>
      <c r="U51" s="11">
        <f>MROUND(T51,100)</f>
        <v>4000</v>
      </c>
      <c r="V51" s="23">
        <f aca="true" t="shared" si="14" ref="V51:V72">R51-U51</f>
        <v>0</v>
      </c>
      <c r="W51" s="15" t="s">
        <v>231</v>
      </c>
      <c r="X51" s="16" t="s">
        <v>392</v>
      </c>
      <c r="Y51" s="15" t="s">
        <v>393</v>
      </c>
      <c r="Z51" s="15" t="s">
        <v>398</v>
      </c>
      <c r="AA51" s="24" t="s">
        <v>246</v>
      </c>
      <c r="AB51" s="25">
        <v>0</v>
      </c>
    </row>
    <row r="52" spans="1:28" ht="12.75">
      <c r="A52" s="18" t="s">
        <v>228</v>
      </c>
      <c r="B52" s="18">
        <v>368273</v>
      </c>
      <c r="C52" s="19" t="s">
        <v>399</v>
      </c>
      <c r="D52" s="20">
        <v>96</v>
      </c>
      <c r="E52" s="11">
        <f aca="true" t="shared" si="15" ref="E52:E73">D52*E$3</f>
        <v>7296</v>
      </c>
      <c r="F52" s="20">
        <v>48</v>
      </c>
      <c r="G52" s="11">
        <f aca="true" t="shared" si="16" ref="G52:G78">F52*G$3</f>
        <v>3648</v>
      </c>
      <c r="H52" s="20">
        <v>168</v>
      </c>
      <c r="I52" s="11">
        <f aca="true" t="shared" si="17" ref="I52:I78">H52*I$3</f>
        <v>6720</v>
      </c>
      <c r="J52" s="20">
        <v>144</v>
      </c>
      <c r="K52" s="11">
        <f aca="true" t="shared" si="18" ref="K52:K65">J52*K$3</f>
        <v>5760</v>
      </c>
      <c r="L52" s="13">
        <v>144</v>
      </c>
      <c r="M52" s="14">
        <f t="shared" si="13"/>
        <v>5760</v>
      </c>
      <c r="N52" s="20">
        <f>N53*6</f>
        <v>144</v>
      </c>
      <c r="O52" s="11">
        <f t="shared" si="12"/>
        <v>21600</v>
      </c>
      <c r="P52" s="284">
        <f t="shared" si="0"/>
        <v>50784</v>
      </c>
      <c r="Q52" s="11">
        <v>58000</v>
      </c>
      <c r="R52" s="11" t="s">
        <v>246</v>
      </c>
      <c r="S52" s="14" t="s">
        <v>246</v>
      </c>
      <c r="T52" s="11" t="s">
        <v>246</v>
      </c>
      <c r="U52" s="11" t="s">
        <v>246</v>
      </c>
      <c r="V52" s="23" t="s">
        <v>246</v>
      </c>
      <c r="W52" s="15" t="s">
        <v>231</v>
      </c>
      <c r="X52" s="16" t="s">
        <v>392</v>
      </c>
      <c r="Y52" s="15" t="s">
        <v>400</v>
      </c>
      <c r="Z52" s="15" t="s">
        <v>398</v>
      </c>
      <c r="AA52" s="24" t="s">
        <v>246</v>
      </c>
      <c r="AB52" s="25">
        <v>0</v>
      </c>
    </row>
    <row r="53" spans="1:28" ht="12.75">
      <c r="A53" s="8" t="s">
        <v>228</v>
      </c>
      <c r="B53" s="8">
        <v>368274</v>
      </c>
      <c r="C53" s="19" t="s">
        <v>401</v>
      </c>
      <c r="D53" s="10">
        <f>D69</f>
        <v>24</v>
      </c>
      <c r="E53" s="11">
        <f t="shared" si="15"/>
        <v>1824</v>
      </c>
      <c r="F53" s="10">
        <f>F69</f>
        <v>12</v>
      </c>
      <c r="G53" s="11">
        <f t="shared" si="16"/>
        <v>912</v>
      </c>
      <c r="H53" s="10">
        <f>H69</f>
        <v>42</v>
      </c>
      <c r="I53" s="11">
        <f t="shared" si="17"/>
        <v>1680</v>
      </c>
      <c r="J53" s="10">
        <f>J69</f>
        <v>36</v>
      </c>
      <c r="K53" s="11">
        <f t="shared" si="18"/>
        <v>1440</v>
      </c>
      <c r="L53" s="26">
        <f>L69</f>
        <v>36</v>
      </c>
      <c r="M53" s="14">
        <f t="shared" si="13"/>
        <v>1440</v>
      </c>
      <c r="N53" s="10">
        <f>N50</f>
        <v>24</v>
      </c>
      <c r="O53" s="11">
        <f t="shared" si="12"/>
        <v>3600</v>
      </c>
      <c r="P53" s="284">
        <f t="shared" si="0"/>
        <v>10896</v>
      </c>
      <c r="Q53" s="11">
        <v>9600</v>
      </c>
      <c r="R53" s="11" t="s">
        <v>246</v>
      </c>
      <c r="S53" s="14" t="s">
        <v>246</v>
      </c>
      <c r="T53" s="11" t="s">
        <v>246</v>
      </c>
      <c r="U53" s="11" t="s">
        <v>246</v>
      </c>
      <c r="V53" s="23" t="s">
        <v>246</v>
      </c>
      <c r="W53" s="15" t="s">
        <v>231</v>
      </c>
      <c r="X53" s="16" t="s">
        <v>392</v>
      </c>
      <c r="Y53" s="15" t="s">
        <v>402</v>
      </c>
      <c r="Z53" s="15" t="s">
        <v>398</v>
      </c>
      <c r="AA53" s="24" t="s">
        <v>246</v>
      </c>
      <c r="AB53" s="25">
        <v>0</v>
      </c>
    </row>
    <row r="54" spans="1:28" ht="11.25" customHeight="1">
      <c r="A54" s="8" t="s">
        <v>228</v>
      </c>
      <c r="B54" s="8">
        <v>368276</v>
      </c>
      <c r="C54" s="44" t="s">
        <v>403</v>
      </c>
      <c r="D54" s="10">
        <f>(16)*D69</f>
        <v>384</v>
      </c>
      <c r="E54" s="11">
        <f t="shared" si="15"/>
        <v>29184</v>
      </c>
      <c r="F54" s="10">
        <f>(16)*F69</f>
        <v>192</v>
      </c>
      <c r="G54" s="11">
        <f t="shared" si="16"/>
        <v>14592</v>
      </c>
      <c r="H54" s="10">
        <f>(16)*H69</f>
        <v>672</v>
      </c>
      <c r="I54" s="11">
        <f t="shared" si="17"/>
        <v>26880</v>
      </c>
      <c r="J54" s="10">
        <f>(16)*J69</f>
        <v>576</v>
      </c>
      <c r="K54" s="11">
        <f t="shared" si="18"/>
        <v>23040</v>
      </c>
      <c r="L54" s="26">
        <f>(16)*L69</f>
        <v>576</v>
      </c>
      <c r="M54" s="14">
        <f t="shared" si="13"/>
        <v>23040</v>
      </c>
      <c r="N54" s="10">
        <f>(16)*N50</f>
        <v>384</v>
      </c>
      <c r="O54" s="11">
        <f t="shared" si="12"/>
        <v>57600</v>
      </c>
      <c r="P54" s="284">
        <f t="shared" si="0"/>
        <v>174336</v>
      </c>
      <c r="Q54" s="11" t="e">
        <f>#REF!*1.05</f>
        <v>#REF!</v>
      </c>
      <c r="R54" s="11" t="s">
        <v>246</v>
      </c>
      <c r="S54" s="14" t="s">
        <v>246</v>
      </c>
      <c r="T54" s="11" t="s">
        <v>246</v>
      </c>
      <c r="U54" s="11" t="s">
        <v>246</v>
      </c>
      <c r="V54" s="23" t="s">
        <v>246</v>
      </c>
      <c r="W54" s="15" t="s">
        <v>231</v>
      </c>
      <c r="X54" s="16" t="s">
        <v>392</v>
      </c>
      <c r="Y54" s="15" t="s">
        <v>404</v>
      </c>
      <c r="Z54" s="15" t="s">
        <v>398</v>
      </c>
      <c r="AA54" s="24" t="s">
        <v>246</v>
      </c>
      <c r="AB54" s="25">
        <v>0</v>
      </c>
    </row>
    <row r="55" spans="1:28" ht="12.75" customHeight="1">
      <c r="A55" s="8" t="s">
        <v>228</v>
      </c>
      <c r="B55" s="8">
        <v>368278</v>
      </c>
      <c r="C55" s="29" t="s">
        <v>405</v>
      </c>
      <c r="D55" s="10">
        <f>16*D69</f>
        <v>384</v>
      </c>
      <c r="E55" s="11">
        <f t="shared" si="15"/>
        <v>29184</v>
      </c>
      <c r="F55" s="10">
        <f>16*F69</f>
        <v>192</v>
      </c>
      <c r="G55" s="11">
        <f t="shared" si="16"/>
        <v>14592</v>
      </c>
      <c r="H55" s="10">
        <f>16*H69</f>
        <v>672</v>
      </c>
      <c r="I55" s="11">
        <f t="shared" si="17"/>
        <v>26880</v>
      </c>
      <c r="J55" s="10">
        <f>16*J69</f>
        <v>576</v>
      </c>
      <c r="K55" s="11">
        <f t="shared" si="18"/>
        <v>23040</v>
      </c>
      <c r="L55" s="26">
        <f>16*L69</f>
        <v>576</v>
      </c>
      <c r="M55" s="14">
        <f t="shared" si="13"/>
        <v>23040</v>
      </c>
      <c r="N55" s="10">
        <f>16*N50</f>
        <v>384</v>
      </c>
      <c r="O55" s="11">
        <f t="shared" si="12"/>
        <v>57600</v>
      </c>
      <c r="P55" s="284">
        <f t="shared" si="0"/>
        <v>174336</v>
      </c>
      <c r="Q55" s="11">
        <v>150000</v>
      </c>
      <c r="R55" s="11" t="s">
        <v>246</v>
      </c>
      <c r="S55" s="14" t="s">
        <v>246</v>
      </c>
      <c r="T55" s="11" t="s">
        <v>246</v>
      </c>
      <c r="U55" s="11" t="s">
        <v>246</v>
      </c>
      <c r="V55" s="23" t="s">
        <v>246</v>
      </c>
      <c r="W55" s="15" t="s">
        <v>231</v>
      </c>
      <c r="X55" s="16" t="s">
        <v>392</v>
      </c>
      <c r="Y55" s="15" t="s">
        <v>404</v>
      </c>
      <c r="Z55" s="15" t="s">
        <v>398</v>
      </c>
      <c r="AA55" s="24" t="s">
        <v>246</v>
      </c>
      <c r="AB55" s="25">
        <v>0</v>
      </c>
    </row>
    <row r="56" spans="1:28" ht="14.25" customHeight="1">
      <c r="A56" s="18" t="s">
        <v>228</v>
      </c>
      <c r="B56" s="18">
        <v>368279</v>
      </c>
      <c r="C56" s="29" t="s">
        <v>406</v>
      </c>
      <c r="D56" s="20">
        <f>16*D69</f>
        <v>384</v>
      </c>
      <c r="E56" s="11">
        <f t="shared" si="15"/>
        <v>29184</v>
      </c>
      <c r="F56" s="20">
        <f>16*F69</f>
        <v>192</v>
      </c>
      <c r="G56" s="11">
        <f t="shared" si="16"/>
        <v>14592</v>
      </c>
      <c r="H56" s="20">
        <f>16*H69</f>
        <v>672</v>
      </c>
      <c r="I56" s="11">
        <f t="shared" si="17"/>
        <v>26880</v>
      </c>
      <c r="J56" s="20">
        <f>16*J69</f>
        <v>576</v>
      </c>
      <c r="K56" s="11">
        <f t="shared" si="18"/>
        <v>23040</v>
      </c>
      <c r="L56" s="13">
        <f>16*L69</f>
        <v>576</v>
      </c>
      <c r="M56" s="14">
        <f t="shared" si="13"/>
        <v>23040</v>
      </c>
      <c r="N56" s="20">
        <f>16*N50</f>
        <v>384</v>
      </c>
      <c r="O56" s="11">
        <f t="shared" si="12"/>
        <v>57600</v>
      </c>
      <c r="P56" s="284">
        <f t="shared" si="0"/>
        <v>174336</v>
      </c>
      <c r="Q56" s="11">
        <v>150000</v>
      </c>
      <c r="R56" s="11" t="s">
        <v>246</v>
      </c>
      <c r="S56" s="14" t="s">
        <v>246</v>
      </c>
      <c r="T56" s="11" t="s">
        <v>246</v>
      </c>
      <c r="U56" s="11" t="s">
        <v>246</v>
      </c>
      <c r="V56" s="23" t="s">
        <v>246</v>
      </c>
      <c r="W56" s="15" t="s">
        <v>231</v>
      </c>
      <c r="X56" s="16" t="s">
        <v>392</v>
      </c>
      <c r="Y56" s="15" t="s">
        <v>404</v>
      </c>
      <c r="Z56" s="15" t="s">
        <v>398</v>
      </c>
      <c r="AA56" s="24" t="s">
        <v>246</v>
      </c>
      <c r="AB56" s="25">
        <v>0</v>
      </c>
    </row>
    <row r="57" spans="1:28" ht="12" customHeight="1">
      <c r="A57" s="18" t="s">
        <v>228</v>
      </c>
      <c r="B57" s="18">
        <v>368280</v>
      </c>
      <c r="C57" s="56" t="s">
        <v>461</v>
      </c>
      <c r="D57" s="258">
        <f>4/12*6*5/100</f>
        <v>0.1</v>
      </c>
      <c r="E57" s="104">
        <f>D57*$E3</f>
        <v>7.6000000000000005</v>
      </c>
      <c r="F57" s="258">
        <f>4/12*6*5/100</f>
        <v>0.1</v>
      </c>
      <c r="G57" s="104">
        <f>F57*G$3</f>
        <v>7.6000000000000005</v>
      </c>
      <c r="H57" s="258">
        <f>4/12*6*5/100</f>
        <v>0.1</v>
      </c>
      <c r="I57" s="104">
        <f>H57*I$3</f>
        <v>4</v>
      </c>
      <c r="J57" s="258">
        <f>4/12*6*5/100</f>
        <v>0.1</v>
      </c>
      <c r="K57" s="104">
        <f>J57*K$3</f>
        <v>4</v>
      </c>
      <c r="L57" s="259">
        <f>10/100</f>
        <v>0.1</v>
      </c>
      <c r="M57" s="104">
        <f>L57*M$3</f>
        <v>4</v>
      </c>
      <c r="N57" s="197">
        <v>0.1</v>
      </c>
      <c r="O57" s="11">
        <f t="shared" si="12"/>
        <v>15</v>
      </c>
      <c r="P57" s="284">
        <f t="shared" si="0"/>
        <v>42.2</v>
      </c>
      <c r="Q57" s="11">
        <v>40</v>
      </c>
      <c r="R57" s="11">
        <v>42</v>
      </c>
      <c r="S57" s="11">
        <v>10</v>
      </c>
      <c r="T57" s="11">
        <f>P57+P57*S57*0.01</f>
        <v>46.42</v>
      </c>
      <c r="U57" s="11">
        <f>MROUND(T57,100)</f>
        <v>0</v>
      </c>
      <c r="V57" s="23">
        <f t="shared" si="14"/>
        <v>42</v>
      </c>
      <c r="W57" s="15" t="s">
        <v>231</v>
      </c>
      <c r="X57" s="16" t="s">
        <v>407</v>
      </c>
      <c r="Y57" s="15"/>
      <c r="Z57" s="15" t="s">
        <v>408</v>
      </c>
      <c r="AA57" s="24" t="s">
        <v>409</v>
      </c>
      <c r="AB57" s="25">
        <v>39.63</v>
      </c>
    </row>
    <row r="58" spans="1:28" ht="12.75">
      <c r="A58" s="36" t="s">
        <v>228</v>
      </c>
      <c r="B58" s="36">
        <v>368282</v>
      </c>
      <c r="C58" s="37" t="s">
        <v>410</v>
      </c>
      <c r="D58" s="26">
        <f>2*6*5</f>
        <v>60</v>
      </c>
      <c r="E58" s="14">
        <f t="shared" si="15"/>
        <v>4560</v>
      </c>
      <c r="F58" s="26">
        <f>2*6*4</f>
        <v>48</v>
      </c>
      <c r="G58" s="14">
        <f t="shared" si="16"/>
        <v>3648</v>
      </c>
      <c r="H58" s="26">
        <f>2*6*5</f>
        <v>60</v>
      </c>
      <c r="I58" s="14">
        <f t="shared" si="17"/>
        <v>2400</v>
      </c>
      <c r="J58" s="26">
        <f>2*6*5</f>
        <v>60</v>
      </c>
      <c r="K58" s="14">
        <f>J58*K$3</f>
        <v>2400</v>
      </c>
      <c r="L58" s="26">
        <f>2*6*5</f>
        <v>60</v>
      </c>
      <c r="M58" s="14">
        <f>L58*M$3</f>
        <v>2400</v>
      </c>
      <c r="N58" s="26">
        <f>2*6*5</f>
        <v>60</v>
      </c>
      <c r="O58" s="14">
        <f t="shared" si="12"/>
        <v>9000</v>
      </c>
      <c r="P58" s="284">
        <f t="shared" si="0"/>
        <v>24408</v>
      </c>
      <c r="Q58" s="14">
        <v>23500</v>
      </c>
      <c r="R58" s="14">
        <v>25000</v>
      </c>
      <c r="S58" s="14">
        <v>10</v>
      </c>
      <c r="T58" s="11">
        <f>P58+P58*S58*0.01</f>
        <v>26848.8</v>
      </c>
      <c r="U58" s="11">
        <f>MROUND(T58,100)</f>
        <v>26800</v>
      </c>
      <c r="V58" s="23">
        <f t="shared" si="14"/>
        <v>-1800</v>
      </c>
      <c r="W58" s="32" t="s">
        <v>231</v>
      </c>
      <c r="X58" s="33" t="s">
        <v>315</v>
      </c>
      <c r="Y58" s="32" t="s">
        <v>307</v>
      </c>
      <c r="Z58" s="32" t="s">
        <v>411</v>
      </c>
      <c r="AA58" s="34" t="s">
        <v>412</v>
      </c>
      <c r="AB58" s="35">
        <v>0.03</v>
      </c>
    </row>
    <row r="59" spans="1:28" ht="12.75">
      <c r="A59" s="18" t="s">
        <v>228</v>
      </c>
      <c r="B59" s="18">
        <v>368283</v>
      </c>
      <c r="C59" s="19" t="s">
        <v>413</v>
      </c>
      <c r="D59" s="20" t="s">
        <v>414</v>
      </c>
      <c r="E59" s="11">
        <f t="shared" si="15"/>
        <v>2280</v>
      </c>
      <c r="F59" s="20">
        <f>6*4</f>
        <v>24</v>
      </c>
      <c r="G59" s="11">
        <f t="shared" si="16"/>
        <v>1824</v>
      </c>
      <c r="H59" s="20" t="s">
        <v>414</v>
      </c>
      <c r="I59" s="11">
        <f t="shared" si="17"/>
        <v>1200</v>
      </c>
      <c r="J59" s="20" t="s">
        <v>414</v>
      </c>
      <c r="K59" s="11">
        <f t="shared" si="18"/>
        <v>1200</v>
      </c>
      <c r="L59" s="13" t="s">
        <v>414</v>
      </c>
      <c r="M59" s="14">
        <f t="shared" si="13"/>
        <v>1200</v>
      </c>
      <c r="N59" s="20">
        <v>30</v>
      </c>
      <c r="O59" s="11">
        <f t="shared" si="12"/>
        <v>4500</v>
      </c>
      <c r="P59" s="284">
        <f t="shared" si="0"/>
        <v>12204</v>
      </c>
      <c r="Q59" s="11">
        <v>11700</v>
      </c>
      <c r="R59" s="11">
        <v>12000</v>
      </c>
      <c r="S59" s="11">
        <v>10</v>
      </c>
      <c r="T59" s="11">
        <f>P59+P59*S59*0.01</f>
        <v>13424.4</v>
      </c>
      <c r="U59" s="11">
        <f>MROUND(T59,100)</f>
        <v>13400</v>
      </c>
      <c r="V59" s="23">
        <f t="shared" si="14"/>
        <v>-1400</v>
      </c>
      <c r="W59" s="15" t="s">
        <v>231</v>
      </c>
      <c r="X59" s="16" t="s">
        <v>315</v>
      </c>
      <c r="Y59" s="15" t="s">
        <v>415</v>
      </c>
      <c r="Z59" s="15" t="s">
        <v>416</v>
      </c>
      <c r="AA59" s="24" t="s">
        <v>417</v>
      </c>
      <c r="AB59" s="25">
        <v>1.02</v>
      </c>
    </row>
    <row r="60" spans="1:28" ht="12.75">
      <c r="A60" s="18" t="s">
        <v>228</v>
      </c>
      <c r="B60" s="18">
        <v>368285</v>
      </c>
      <c r="C60" s="19" t="s">
        <v>418</v>
      </c>
      <c r="D60" s="20">
        <f>D69</f>
        <v>24</v>
      </c>
      <c r="E60" s="11">
        <f t="shared" si="15"/>
        <v>1824</v>
      </c>
      <c r="F60" s="20">
        <f>F69</f>
        <v>12</v>
      </c>
      <c r="G60" s="11">
        <f t="shared" si="16"/>
        <v>912</v>
      </c>
      <c r="H60" s="20">
        <f>H69</f>
        <v>42</v>
      </c>
      <c r="I60" s="11">
        <f t="shared" si="17"/>
        <v>1680</v>
      </c>
      <c r="J60" s="20">
        <f>J69</f>
        <v>36</v>
      </c>
      <c r="K60" s="11">
        <f t="shared" si="18"/>
        <v>1440</v>
      </c>
      <c r="L60" s="13">
        <f>L69</f>
        <v>36</v>
      </c>
      <c r="M60" s="14">
        <f t="shared" si="13"/>
        <v>1440</v>
      </c>
      <c r="N60" s="20">
        <v>24</v>
      </c>
      <c r="O60" s="11">
        <f t="shared" si="12"/>
        <v>3600</v>
      </c>
      <c r="P60" s="284">
        <f t="shared" si="0"/>
        <v>10896</v>
      </c>
      <c r="Q60" s="11">
        <v>9600</v>
      </c>
      <c r="R60" s="11" t="s">
        <v>246</v>
      </c>
      <c r="S60" s="11" t="s">
        <v>246</v>
      </c>
      <c r="T60" s="11" t="s">
        <v>246</v>
      </c>
      <c r="U60" s="11" t="s">
        <v>246</v>
      </c>
      <c r="V60" s="23" t="s">
        <v>246</v>
      </c>
      <c r="W60" s="15" t="s">
        <v>231</v>
      </c>
      <c r="X60" s="16" t="s">
        <v>315</v>
      </c>
      <c r="Y60" s="15" t="s">
        <v>419</v>
      </c>
      <c r="Z60" s="15" t="s">
        <v>398</v>
      </c>
      <c r="AA60" s="24" t="s">
        <v>246</v>
      </c>
      <c r="AB60" s="25"/>
    </row>
    <row r="61" spans="1:28" ht="12.75">
      <c r="A61" s="8" t="s">
        <v>228</v>
      </c>
      <c r="B61" s="8">
        <v>368287</v>
      </c>
      <c r="C61" s="19" t="s">
        <v>420</v>
      </c>
      <c r="D61" s="10">
        <v>0</v>
      </c>
      <c r="E61" s="11">
        <f t="shared" si="15"/>
        <v>0</v>
      </c>
      <c r="F61" s="10">
        <v>0</v>
      </c>
      <c r="G61" s="11">
        <f t="shared" si="16"/>
        <v>0</v>
      </c>
      <c r="H61" s="10">
        <v>3</v>
      </c>
      <c r="I61" s="11">
        <f t="shared" si="17"/>
        <v>120</v>
      </c>
      <c r="J61" s="10">
        <v>3</v>
      </c>
      <c r="K61" s="11">
        <f t="shared" si="18"/>
        <v>120</v>
      </c>
      <c r="L61" s="26">
        <v>3</v>
      </c>
      <c r="M61" s="14">
        <f t="shared" si="13"/>
        <v>120</v>
      </c>
      <c r="N61" s="10">
        <v>0</v>
      </c>
      <c r="O61" s="11">
        <f t="shared" si="12"/>
        <v>0</v>
      </c>
      <c r="P61" s="284">
        <f t="shared" si="0"/>
        <v>360</v>
      </c>
      <c r="Q61" s="11">
        <v>250</v>
      </c>
      <c r="R61" s="11">
        <v>265</v>
      </c>
      <c r="S61" s="11">
        <v>10</v>
      </c>
      <c r="T61" s="11">
        <f>P61+P61*S61*0.01</f>
        <v>396</v>
      </c>
      <c r="U61" s="11">
        <f>MROUND(T61,100)</f>
        <v>400</v>
      </c>
      <c r="V61" s="23">
        <f t="shared" si="14"/>
        <v>-135</v>
      </c>
      <c r="W61" s="15" t="s">
        <v>231</v>
      </c>
      <c r="X61" s="16" t="s">
        <v>251</v>
      </c>
      <c r="Y61" s="15" t="s">
        <v>252</v>
      </c>
      <c r="Z61" s="15" t="s">
        <v>421</v>
      </c>
      <c r="AA61" s="24" t="s">
        <v>254</v>
      </c>
      <c r="AB61" s="25">
        <v>172</v>
      </c>
    </row>
    <row r="62" spans="1:21" s="62" customFormat="1" ht="13.5" customHeight="1">
      <c r="A62" s="100" t="s">
        <v>228</v>
      </c>
      <c r="B62" s="100">
        <v>368288</v>
      </c>
      <c r="C62" s="260" t="s">
        <v>456</v>
      </c>
      <c r="D62" s="237">
        <v>0.31</v>
      </c>
      <c r="E62" s="11">
        <f t="shared" si="15"/>
        <v>23.56</v>
      </c>
      <c r="F62" s="237">
        <v>0.31</v>
      </c>
      <c r="G62" s="11">
        <f t="shared" si="16"/>
        <v>23.56</v>
      </c>
      <c r="H62" s="237">
        <v>0.41</v>
      </c>
      <c r="I62" s="11">
        <f t="shared" si="17"/>
        <v>16.4</v>
      </c>
      <c r="J62" s="237">
        <v>0.41</v>
      </c>
      <c r="K62" s="11">
        <f t="shared" si="18"/>
        <v>16.4</v>
      </c>
      <c r="L62" s="235">
        <v>0.41</v>
      </c>
      <c r="M62" s="14">
        <f t="shared" si="13"/>
        <v>16.4</v>
      </c>
      <c r="N62" s="237">
        <v>1</v>
      </c>
      <c r="O62" s="11">
        <f t="shared" si="12"/>
        <v>150</v>
      </c>
      <c r="P62" s="284">
        <f t="shared" si="0"/>
        <v>246.32000000000002</v>
      </c>
      <c r="Q62" s="246">
        <v>0</v>
      </c>
      <c r="R62" s="247">
        <v>340</v>
      </c>
      <c r="S62" s="104">
        <v>20</v>
      </c>
      <c r="T62" s="11">
        <v>350</v>
      </c>
      <c r="U62" s="104">
        <v>350</v>
      </c>
    </row>
    <row r="63" spans="1:21" s="62" customFormat="1" ht="13.5" customHeight="1">
      <c r="A63" s="100" t="s">
        <v>228</v>
      </c>
      <c r="B63" s="100">
        <v>368289</v>
      </c>
      <c r="C63" s="261" t="s">
        <v>457</v>
      </c>
      <c r="D63" s="237">
        <v>0.16</v>
      </c>
      <c r="E63" s="11">
        <f t="shared" si="15"/>
        <v>12.16</v>
      </c>
      <c r="F63" s="237">
        <v>0.16</v>
      </c>
      <c r="G63" s="11">
        <f t="shared" si="16"/>
        <v>12.16</v>
      </c>
      <c r="H63" s="237">
        <v>0.21</v>
      </c>
      <c r="I63" s="11">
        <f t="shared" si="17"/>
        <v>8.4</v>
      </c>
      <c r="J63" s="237">
        <v>0.21</v>
      </c>
      <c r="K63" s="11">
        <f t="shared" si="18"/>
        <v>8.4</v>
      </c>
      <c r="L63" s="235">
        <v>0.21</v>
      </c>
      <c r="M63" s="14">
        <f t="shared" si="13"/>
        <v>8.4</v>
      </c>
      <c r="N63" s="237">
        <v>0.4</v>
      </c>
      <c r="O63" s="11">
        <f t="shared" si="12"/>
        <v>60</v>
      </c>
      <c r="P63" s="284">
        <f t="shared" si="0"/>
        <v>109.52000000000001</v>
      </c>
      <c r="Q63" s="246">
        <v>0</v>
      </c>
      <c r="R63" s="247" t="e">
        <f>#REF!</f>
        <v>#REF!</v>
      </c>
      <c r="S63" s="104">
        <v>20</v>
      </c>
      <c r="T63" s="11">
        <f>P63+P63*S63*0.01</f>
        <v>131.424</v>
      </c>
      <c r="U63" s="104"/>
    </row>
    <row r="64" spans="1:28" ht="12.75">
      <c r="A64" s="36" t="s">
        <v>228</v>
      </c>
      <c r="B64" s="36">
        <v>368291</v>
      </c>
      <c r="C64" s="37" t="s">
        <v>422</v>
      </c>
      <c r="D64" s="13">
        <v>1</v>
      </c>
      <c r="E64" s="14">
        <f>D64*E$3</f>
        <v>76</v>
      </c>
      <c r="F64" s="13">
        <v>1</v>
      </c>
      <c r="G64" s="11">
        <f t="shared" si="16"/>
        <v>76</v>
      </c>
      <c r="H64" s="13">
        <v>1</v>
      </c>
      <c r="I64" s="11">
        <f t="shared" si="17"/>
        <v>40</v>
      </c>
      <c r="J64" s="13">
        <v>1</v>
      </c>
      <c r="K64" s="11">
        <f t="shared" si="18"/>
        <v>40</v>
      </c>
      <c r="L64" s="13">
        <v>1</v>
      </c>
      <c r="M64" s="14">
        <f t="shared" si="13"/>
        <v>40</v>
      </c>
      <c r="N64" s="13">
        <v>1</v>
      </c>
      <c r="O64" s="11">
        <f t="shared" si="12"/>
        <v>150</v>
      </c>
      <c r="P64" s="284">
        <f t="shared" si="0"/>
        <v>422</v>
      </c>
      <c r="Q64" s="14">
        <v>400</v>
      </c>
      <c r="R64" s="14">
        <v>420</v>
      </c>
      <c r="S64" s="14">
        <v>10</v>
      </c>
      <c r="T64" s="11">
        <f>P64+P64*S64*0.01</f>
        <v>464.2</v>
      </c>
      <c r="U64" s="11">
        <f>MROUND(T64,100)</f>
        <v>500</v>
      </c>
      <c r="V64" s="23">
        <f t="shared" si="14"/>
        <v>-80</v>
      </c>
      <c r="W64" s="32" t="s">
        <v>231</v>
      </c>
      <c r="X64" s="33" t="s">
        <v>407</v>
      </c>
      <c r="Y64" s="32"/>
      <c r="Z64" s="32"/>
      <c r="AA64" s="34" t="s">
        <v>246</v>
      </c>
      <c r="AB64" s="35"/>
    </row>
    <row r="65" spans="1:28" s="53" customFormat="1" ht="12.75">
      <c r="A65" s="42" t="s">
        <v>228</v>
      </c>
      <c r="B65" s="42">
        <v>368300</v>
      </c>
      <c r="C65" s="262" t="s">
        <v>58</v>
      </c>
      <c r="D65" s="40">
        <f>120/3/36</f>
        <v>1.1111111111111112</v>
      </c>
      <c r="E65" s="39">
        <f>D65*E$3</f>
        <v>84.44444444444444</v>
      </c>
      <c r="F65" s="40">
        <v>1.1</v>
      </c>
      <c r="G65" s="39">
        <f t="shared" si="16"/>
        <v>83.60000000000001</v>
      </c>
      <c r="H65" s="40">
        <f>150/3/36</f>
        <v>1.3888888888888888</v>
      </c>
      <c r="I65" s="39">
        <f t="shared" si="17"/>
        <v>55.55555555555556</v>
      </c>
      <c r="J65" s="40">
        <f>150/3/36</f>
        <v>1.3888888888888888</v>
      </c>
      <c r="K65" s="39">
        <f t="shared" si="18"/>
        <v>55.55555555555556</v>
      </c>
      <c r="L65" s="40">
        <f>150/3/36</f>
        <v>1.3888888888888888</v>
      </c>
      <c r="M65" s="39">
        <f t="shared" si="13"/>
        <v>55.55555555555556</v>
      </c>
      <c r="N65" s="40">
        <f>200/3/36</f>
        <v>1.851851851851852</v>
      </c>
      <c r="O65" s="39">
        <f t="shared" si="12"/>
        <v>277.7777777777778</v>
      </c>
      <c r="P65" s="284">
        <f t="shared" si="0"/>
        <v>612.4888888888889</v>
      </c>
      <c r="Q65" s="45">
        <v>600</v>
      </c>
      <c r="R65" s="45">
        <v>650</v>
      </c>
      <c r="S65" s="45">
        <v>10</v>
      </c>
      <c r="T65" s="21">
        <f>(P65+P65*S65*0.01)/108</f>
        <v>6.238312757201647</v>
      </c>
      <c r="U65" s="21">
        <f>MROUND(T65,10)</f>
        <v>10</v>
      </c>
      <c r="V65" s="46">
        <f>R65-U65</f>
        <v>640</v>
      </c>
      <c r="W65" s="32" t="s">
        <v>231</v>
      </c>
      <c r="X65" s="33" t="s">
        <v>423</v>
      </c>
      <c r="Y65" s="32" t="s">
        <v>424</v>
      </c>
      <c r="Z65" s="34" t="s">
        <v>425</v>
      </c>
      <c r="AA65" s="34" t="s">
        <v>426</v>
      </c>
      <c r="AB65" s="35">
        <v>9.65</v>
      </c>
    </row>
    <row r="66" spans="1:28" s="53" customFormat="1" ht="12.75" hidden="1">
      <c r="A66" s="42" t="s">
        <v>228</v>
      </c>
      <c r="B66" s="42">
        <v>368303</v>
      </c>
      <c r="C66" s="37" t="s">
        <v>427</v>
      </c>
      <c r="D66" s="13">
        <v>0</v>
      </c>
      <c r="E66" s="14">
        <v>0</v>
      </c>
      <c r="F66" s="13">
        <v>0</v>
      </c>
      <c r="G66" s="14">
        <v>0</v>
      </c>
      <c r="H66" s="13">
        <v>6</v>
      </c>
      <c r="I66" s="14">
        <v>240</v>
      </c>
      <c r="J66" s="13">
        <v>6</v>
      </c>
      <c r="K66" s="14">
        <v>240</v>
      </c>
      <c r="L66" s="13">
        <v>6</v>
      </c>
      <c r="M66" s="14">
        <f t="shared" si="13"/>
        <v>240</v>
      </c>
      <c r="N66" s="13">
        <v>6</v>
      </c>
      <c r="O66" s="14">
        <v>900</v>
      </c>
      <c r="P66" s="284">
        <f t="shared" si="0"/>
        <v>1620</v>
      </c>
      <c r="Q66" s="45"/>
      <c r="R66" s="45"/>
      <c r="S66" s="45"/>
      <c r="T66" s="21">
        <f aca="true" t="shared" si="19" ref="T66:T71">P66+P66*S66*0.01</f>
        <v>1620</v>
      </c>
      <c r="U66" s="21">
        <f>MROUND(T66,100)</f>
        <v>1600</v>
      </c>
      <c r="V66" s="46">
        <f t="shared" si="14"/>
        <v>-1600</v>
      </c>
      <c r="W66" s="32"/>
      <c r="X66" s="33"/>
      <c r="Y66" s="32"/>
      <c r="Z66" s="34"/>
      <c r="AA66" s="34"/>
      <c r="AB66" s="35"/>
    </row>
    <row r="67" spans="1:28" s="53" customFormat="1" ht="12.75">
      <c r="A67" s="42" t="s">
        <v>228</v>
      </c>
      <c r="B67" s="42">
        <v>368304</v>
      </c>
      <c r="C67" s="263" t="s">
        <v>264</v>
      </c>
      <c r="D67" s="236">
        <f>80/1650</f>
        <v>0.048484848484848485</v>
      </c>
      <c r="E67" s="14">
        <f t="shared" si="15"/>
        <v>3.684848484848485</v>
      </c>
      <c r="F67" s="236">
        <f>80/1650</f>
        <v>0.048484848484848485</v>
      </c>
      <c r="G67" s="14">
        <f t="shared" si="16"/>
        <v>3.684848484848485</v>
      </c>
      <c r="H67" s="236">
        <f>85/1650</f>
        <v>0.051515151515151514</v>
      </c>
      <c r="I67" s="14">
        <f t="shared" si="17"/>
        <v>2.0606060606060606</v>
      </c>
      <c r="J67" s="236">
        <f>80/1650</f>
        <v>0.048484848484848485</v>
      </c>
      <c r="K67" s="14">
        <f aca="true" t="shared" si="20" ref="K67:K77">J67*K$3</f>
        <v>1.9393939393939394</v>
      </c>
      <c r="L67" s="236">
        <f>80/1650</f>
        <v>0.048484848484848485</v>
      </c>
      <c r="M67" s="14">
        <f>L67*M$3</f>
        <v>1.9393939393939394</v>
      </c>
      <c r="N67" s="235">
        <f>150/1650</f>
        <v>0.09090909090909091</v>
      </c>
      <c r="O67" s="14">
        <f>N67*O$3</f>
        <v>13.636363636363637</v>
      </c>
      <c r="P67" s="284">
        <f t="shared" si="0"/>
        <v>26.945454545454545</v>
      </c>
      <c r="Q67" s="45">
        <v>25</v>
      </c>
      <c r="R67" s="45">
        <v>28</v>
      </c>
      <c r="S67" s="45">
        <v>10</v>
      </c>
      <c r="T67" s="21">
        <f>(P67+P67*S67*0.01)/1650</f>
        <v>0.017963636363636366</v>
      </c>
      <c r="U67" s="21">
        <f>MROUND(T67,10)</f>
        <v>0</v>
      </c>
      <c r="V67" s="46">
        <f t="shared" si="14"/>
        <v>28</v>
      </c>
      <c r="W67" s="32" t="s">
        <v>231</v>
      </c>
      <c r="X67" s="33" t="s">
        <v>423</v>
      </c>
      <c r="Y67" s="32"/>
      <c r="Z67" s="32" t="s">
        <v>428</v>
      </c>
      <c r="AA67" s="34" t="s">
        <v>429</v>
      </c>
      <c r="AB67" s="35">
        <v>0.0112</v>
      </c>
    </row>
    <row r="68" spans="1:28" ht="12.75">
      <c r="A68" s="8" t="s">
        <v>228</v>
      </c>
      <c r="B68" s="8">
        <v>368305</v>
      </c>
      <c r="C68" s="105" t="s">
        <v>56</v>
      </c>
      <c r="D68" s="10">
        <f>6*2+4*3</f>
        <v>24</v>
      </c>
      <c r="E68" s="11">
        <f t="shared" si="15"/>
        <v>1824</v>
      </c>
      <c r="F68" s="26">
        <f>5*2+4*3</f>
        <v>22</v>
      </c>
      <c r="G68" s="11">
        <f t="shared" si="16"/>
        <v>1672</v>
      </c>
      <c r="H68" s="10">
        <f>6*2+4*3</f>
        <v>24</v>
      </c>
      <c r="I68" s="11">
        <f t="shared" si="17"/>
        <v>960</v>
      </c>
      <c r="J68" s="10">
        <f>6*2+4*3</f>
        <v>24</v>
      </c>
      <c r="K68" s="11">
        <f t="shared" si="20"/>
        <v>960</v>
      </c>
      <c r="L68" s="26">
        <f>6*2+4*3</f>
        <v>24</v>
      </c>
      <c r="M68" s="14">
        <f t="shared" si="13"/>
        <v>960</v>
      </c>
      <c r="N68" s="10">
        <f>6*2+4*3</f>
        <v>24</v>
      </c>
      <c r="O68" s="11">
        <f>N68*O$3</f>
        <v>3600</v>
      </c>
      <c r="P68" s="284">
        <f t="shared" si="0"/>
        <v>9976</v>
      </c>
      <c r="Q68" s="11" t="e">
        <f>#REF!*1.05</f>
        <v>#REF!</v>
      </c>
      <c r="R68" s="11">
        <v>9450</v>
      </c>
      <c r="S68" s="11">
        <v>5</v>
      </c>
      <c r="T68" s="11">
        <f t="shared" si="19"/>
        <v>10474.8</v>
      </c>
      <c r="U68" s="11">
        <f>MROUND(T68,100)</f>
        <v>10500</v>
      </c>
      <c r="V68" s="23">
        <f t="shared" si="14"/>
        <v>-1050</v>
      </c>
      <c r="W68" s="15" t="s">
        <v>363</v>
      </c>
      <c r="X68" s="16" t="s">
        <v>232</v>
      </c>
      <c r="Y68" s="15" t="s">
        <v>359</v>
      </c>
      <c r="Z68" s="15" t="s">
        <v>430</v>
      </c>
      <c r="AA68" s="24" t="s">
        <v>246</v>
      </c>
      <c r="AB68" s="25" t="s">
        <v>246</v>
      </c>
    </row>
    <row r="69" spans="1:28" ht="12.75">
      <c r="A69" s="36" t="s">
        <v>391</v>
      </c>
      <c r="B69" s="36">
        <v>368307</v>
      </c>
      <c r="C69" s="37" t="s">
        <v>62</v>
      </c>
      <c r="D69" s="26">
        <f>8*3</f>
        <v>24</v>
      </c>
      <c r="E69" s="14">
        <f>D69*E$3</f>
        <v>1824</v>
      </c>
      <c r="F69" s="26">
        <f>4*3</f>
        <v>12</v>
      </c>
      <c r="G69" s="14">
        <f>F69*G$3</f>
        <v>912</v>
      </c>
      <c r="H69" s="26">
        <f>14*3</f>
        <v>42</v>
      </c>
      <c r="I69" s="14">
        <f>H69*I$3</f>
        <v>1680</v>
      </c>
      <c r="J69" s="26">
        <f>12*3</f>
        <v>36</v>
      </c>
      <c r="K69" s="14">
        <f t="shared" si="20"/>
        <v>1440</v>
      </c>
      <c r="L69" s="26">
        <f>12*3</f>
        <v>36</v>
      </c>
      <c r="M69" s="14">
        <f t="shared" si="13"/>
        <v>1440</v>
      </c>
      <c r="N69" s="26">
        <v>0</v>
      </c>
      <c r="O69" s="14">
        <v>0</v>
      </c>
      <c r="P69" s="284">
        <f t="shared" si="0"/>
        <v>7296</v>
      </c>
      <c r="Q69" s="14">
        <v>5800</v>
      </c>
      <c r="R69" s="14">
        <v>6400</v>
      </c>
      <c r="S69" s="14">
        <v>10</v>
      </c>
      <c r="T69" s="11">
        <f t="shared" si="19"/>
        <v>8025.6</v>
      </c>
      <c r="U69" s="11">
        <f>MROUND(T69,100)</f>
        <v>8000</v>
      </c>
      <c r="V69" s="23">
        <f t="shared" si="14"/>
        <v>-1600</v>
      </c>
      <c r="W69" s="32" t="s">
        <v>231</v>
      </c>
      <c r="X69" s="33" t="s">
        <v>392</v>
      </c>
      <c r="Y69" s="32" t="s">
        <v>393</v>
      </c>
      <c r="Z69" s="32" t="s">
        <v>432</v>
      </c>
      <c r="AA69" s="34" t="s">
        <v>433</v>
      </c>
      <c r="AB69" s="35"/>
    </row>
    <row r="70" spans="1:28" ht="12.75">
      <c r="A70" s="8" t="s">
        <v>396</v>
      </c>
      <c r="B70" s="8">
        <v>368308</v>
      </c>
      <c r="C70" s="19" t="s">
        <v>397</v>
      </c>
      <c r="D70" s="10">
        <f>8*3</f>
        <v>24</v>
      </c>
      <c r="E70" s="11">
        <f>D70*E$3</f>
        <v>1824</v>
      </c>
      <c r="F70" s="10">
        <f>4*3</f>
        <v>12</v>
      </c>
      <c r="G70" s="11">
        <f>F70*G$3</f>
        <v>912</v>
      </c>
      <c r="H70" s="10">
        <f>14*3</f>
        <v>42</v>
      </c>
      <c r="I70" s="11">
        <f>H70*I$3</f>
        <v>1680</v>
      </c>
      <c r="J70" s="10">
        <f>12*3</f>
        <v>36</v>
      </c>
      <c r="K70" s="11">
        <f t="shared" si="20"/>
        <v>1440</v>
      </c>
      <c r="L70" s="26">
        <f>12*3</f>
        <v>36</v>
      </c>
      <c r="M70" s="14">
        <f>L70*M$3</f>
        <v>1440</v>
      </c>
      <c r="N70" s="10">
        <v>0</v>
      </c>
      <c r="O70" s="11">
        <v>0</v>
      </c>
      <c r="P70" s="284">
        <f t="shared" si="0"/>
        <v>7296</v>
      </c>
      <c r="Q70" s="11">
        <v>5800</v>
      </c>
      <c r="R70" s="14">
        <v>6400</v>
      </c>
      <c r="S70" s="14">
        <v>10</v>
      </c>
      <c r="T70" s="11">
        <f t="shared" si="19"/>
        <v>8025.6</v>
      </c>
      <c r="U70" s="11">
        <f>MROUND(T70,100)</f>
        <v>8000</v>
      </c>
      <c r="V70" s="23">
        <f t="shared" si="14"/>
        <v>-1600</v>
      </c>
      <c r="W70" s="15" t="s">
        <v>231</v>
      </c>
      <c r="X70" s="16" t="s">
        <v>392</v>
      </c>
      <c r="Y70" s="15"/>
      <c r="Z70" s="15" t="s">
        <v>398</v>
      </c>
      <c r="AA70" s="24" t="s">
        <v>246</v>
      </c>
      <c r="AB70" s="25"/>
    </row>
    <row r="71" spans="1:28" ht="12.75">
      <c r="A71" s="8" t="s">
        <v>228</v>
      </c>
      <c r="B71" s="8">
        <v>368328</v>
      </c>
      <c r="C71" s="19" t="s">
        <v>435</v>
      </c>
      <c r="D71" s="10">
        <f>3*2</f>
        <v>6</v>
      </c>
      <c r="E71" s="11">
        <f t="shared" si="15"/>
        <v>456</v>
      </c>
      <c r="F71" s="10">
        <f>3*2</f>
        <v>6</v>
      </c>
      <c r="G71" s="11">
        <f t="shared" si="16"/>
        <v>456</v>
      </c>
      <c r="H71" s="10">
        <f>3*2</f>
        <v>6</v>
      </c>
      <c r="I71" s="11">
        <f t="shared" si="17"/>
        <v>240</v>
      </c>
      <c r="J71" s="10">
        <f>3*2</f>
        <v>6</v>
      </c>
      <c r="K71" s="11">
        <f t="shared" si="20"/>
        <v>240</v>
      </c>
      <c r="L71" s="26">
        <f>3*2</f>
        <v>6</v>
      </c>
      <c r="M71" s="14">
        <f>L71*M$3</f>
        <v>240</v>
      </c>
      <c r="N71" s="10">
        <v>10</v>
      </c>
      <c r="O71" s="11">
        <f>N71*O$3</f>
        <v>1500</v>
      </c>
      <c r="P71" s="284">
        <f aca="true" t="shared" si="21" ref="P71:P89">O71+M71+K71+I71+G71+E71</f>
        <v>3132</v>
      </c>
      <c r="Q71" s="11">
        <v>3000</v>
      </c>
      <c r="R71" s="11">
        <v>3200</v>
      </c>
      <c r="S71" s="11">
        <v>10</v>
      </c>
      <c r="T71" s="11">
        <f t="shared" si="19"/>
        <v>3445.2</v>
      </c>
      <c r="U71" s="11">
        <f>MROUND(T71,100)</f>
        <v>3400</v>
      </c>
      <c r="V71" s="23">
        <f t="shared" si="14"/>
        <v>-200</v>
      </c>
      <c r="W71" s="15" t="s">
        <v>231</v>
      </c>
      <c r="X71" s="16" t="s">
        <v>232</v>
      </c>
      <c r="Y71" s="15"/>
      <c r="Z71" s="15" t="s">
        <v>436</v>
      </c>
      <c r="AA71" s="24" t="s">
        <v>437</v>
      </c>
      <c r="AB71" s="25">
        <v>0.157</v>
      </c>
    </row>
    <row r="72" spans="1:28" ht="12.75">
      <c r="A72" s="18" t="s">
        <v>228</v>
      </c>
      <c r="B72" s="18">
        <v>368424</v>
      </c>
      <c r="C72" s="56" t="s">
        <v>265</v>
      </c>
      <c r="D72" s="190">
        <f>120/3/72</f>
        <v>0.5555555555555556</v>
      </c>
      <c r="E72" s="11">
        <f>D72*E$3</f>
        <v>42.22222222222222</v>
      </c>
      <c r="F72" s="190">
        <f>120/3/72</f>
        <v>0.5555555555555556</v>
      </c>
      <c r="G72" s="11">
        <f t="shared" si="16"/>
        <v>42.22222222222222</v>
      </c>
      <c r="H72" s="264">
        <f>150/3/72</f>
        <v>0.6944444444444444</v>
      </c>
      <c r="I72" s="11">
        <f t="shared" si="17"/>
        <v>27.77777777777778</v>
      </c>
      <c r="J72" s="264">
        <f>150/3/72</f>
        <v>0.6944444444444444</v>
      </c>
      <c r="K72" s="11">
        <f t="shared" si="20"/>
        <v>27.77777777777778</v>
      </c>
      <c r="L72" s="236">
        <f>150/3/72</f>
        <v>0.6944444444444444</v>
      </c>
      <c r="M72" s="14">
        <f>L72*M$3</f>
        <v>27.77777777777778</v>
      </c>
      <c r="N72" s="237">
        <f>200/3/72</f>
        <v>0.925925925925926</v>
      </c>
      <c r="O72" s="11">
        <f>N72*$O$3</f>
        <v>138.8888888888889</v>
      </c>
      <c r="P72" s="284">
        <f t="shared" si="21"/>
        <v>306.6666666666667</v>
      </c>
      <c r="Q72" s="11">
        <v>307</v>
      </c>
      <c r="R72" s="11">
        <v>307</v>
      </c>
      <c r="S72" s="11">
        <v>10</v>
      </c>
      <c r="T72" s="11">
        <f>P72+P72*S72*0.01</f>
        <v>337.33333333333337</v>
      </c>
      <c r="U72" s="11">
        <f>MROUND(T72,100)</f>
        <v>300</v>
      </c>
      <c r="V72" s="23">
        <f t="shared" si="14"/>
        <v>7</v>
      </c>
      <c r="W72" s="15" t="s">
        <v>231</v>
      </c>
      <c r="X72" s="16"/>
      <c r="Y72" s="15" t="s">
        <v>440</v>
      </c>
      <c r="Z72" s="15"/>
      <c r="AA72" s="15"/>
      <c r="AB72" s="25"/>
    </row>
    <row r="73" spans="1:28" ht="12.75">
      <c r="A73" s="18" t="s">
        <v>228</v>
      </c>
      <c r="B73" s="18">
        <v>368427</v>
      </c>
      <c r="C73" s="19" t="s">
        <v>438</v>
      </c>
      <c r="D73" s="20">
        <v>24</v>
      </c>
      <c r="E73" s="11">
        <f t="shared" si="15"/>
        <v>1824</v>
      </c>
      <c r="F73" s="20">
        <v>12</v>
      </c>
      <c r="G73" s="11">
        <f t="shared" si="16"/>
        <v>912</v>
      </c>
      <c r="H73" s="20">
        <v>42</v>
      </c>
      <c r="I73" s="11">
        <f t="shared" si="17"/>
        <v>1680</v>
      </c>
      <c r="J73" s="20">
        <v>36</v>
      </c>
      <c r="K73" s="11">
        <f t="shared" si="20"/>
        <v>1440</v>
      </c>
      <c r="L73" s="13">
        <v>36</v>
      </c>
      <c r="M73" s="14">
        <f t="shared" si="13"/>
        <v>1440</v>
      </c>
      <c r="N73" s="20">
        <v>0</v>
      </c>
      <c r="O73" s="11">
        <f aca="true" t="shared" si="22" ref="O73:O89">N73*O$3</f>
        <v>0</v>
      </c>
      <c r="P73" s="284">
        <f t="shared" si="21"/>
        <v>7296</v>
      </c>
      <c r="Q73" s="11">
        <v>58000</v>
      </c>
      <c r="R73" s="11" t="s">
        <v>246</v>
      </c>
      <c r="S73" s="11" t="s">
        <v>246</v>
      </c>
      <c r="T73" s="11" t="s">
        <v>246</v>
      </c>
      <c r="U73" s="11" t="s">
        <v>246</v>
      </c>
      <c r="V73" s="23" t="s">
        <v>246</v>
      </c>
      <c r="W73" s="15" t="s">
        <v>231</v>
      </c>
      <c r="X73" s="16" t="s">
        <v>392</v>
      </c>
      <c r="Y73" s="15" t="s">
        <v>400</v>
      </c>
      <c r="Z73" s="15" t="s">
        <v>398</v>
      </c>
      <c r="AA73" s="24" t="s">
        <v>246</v>
      </c>
      <c r="AB73" s="25"/>
    </row>
    <row r="74" spans="1:28" ht="12.75">
      <c r="A74" s="18" t="s">
        <v>228</v>
      </c>
      <c r="B74" s="18">
        <v>368428</v>
      </c>
      <c r="C74" s="19" t="s">
        <v>439</v>
      </c>
      <c r="D74" s="20">
        <v>24</v>
      </c>
      <c r="E74" s="11">
        <f>D74*E$3</f>
        <v>1824</v>
      </c>
      <c r="F74" s="20">
        <v>12</v>
      </c>
      <c r="G74" s="11">
        <f t="shared" si="16"/>
        <v>912</v>
      </c>
      <c r="H74" s="20">
        <v>42</v>
      </c>
      <c r="I74" s="11">
        <f t="shared" si="17"/>
        <v>1680</v>
      </c>
      <c r="J74" s="20">
        <v>36</v>
      </c>
      <c r="K74" s="11">
        <f t="shared" si="20"/>
        <v>1440</v>
      </c>
      <c r="L74" s="13">
        <v>36</v>
      </c>
      <c r="M74" s="14">
        <f aca="true" t="shared" si="23" ref="M74:M85">L74*M$3</f>
        <v>1440</v>
      </c>
      <c r="N74" s="20">
        <v>0</v>
      </c>
      <c r="O74" s="11">
        <f t="shared" si="22"/>
        <v>0</v>
      </c>
      <c r="P74" s="284">
        <f t="shared" si="21"/>
        <v>7296</v>
      </c>
      <c r="Q74" s="11">
        <v>58000</v>
      </c>
      <c r="R74" s="11" t="s">
        <v>246</v>
      </c>
      <c r="S74" s="11" t="s">
        <v>246</v>
      </c>
      <c r="T74" s="11" t="s">
        <v>246</v>
      </c>
      <c r="U74" s="11" t="s">
        <v>246</v>
      </c>
      <c r="V74" s="23" t="s">
        <v>246</v>
      </c>
      <c r="W74" s="15" t="s">
        <v>231</v>
      </c>
      <c r="X74" s="16" t="s">
        <v>392</v>
      </c>
      <c r="Y74" s="15" t="s">
        <v>400</v>
      </c>
      <c r="Z74" s="15" t="s">
        <v>398</v>
      </c>
      <c r="AA74" s="24" t="s">
        <v>246</v>
      </c>
      <c r="AB74" s="25"/>
    </row>
    <row r="75" spans="1:28" ht="12.75">
      <c r="A75" s="18" t="s">
        <v>228</v>
      </c>
      <c r="B75" s="18">
        <v>368461</v>
      </c>
      <c r="C75" s="265" t="s">
        <v>266</v>
      </c>
      <c r="D75" s="264">
        <f>16/260</f>
        <v>0.06153846153846154</v>
      </c>
      <c r="E75" s="11">
        <f>D75*E$3</f>
        <v>4.676923076923077</v>
      </c>
      <c r="F75" s="264">
        <f>16/260</f>
        <v>0.06153846153846154</v>
      </c>
      <c r="G75" s="11">
        <f t="shared" si="16"/>
        <v>4.676923076923077</v>
      </c>
      <c r="H75" s="264">
        <f>16/260</f>
        <v>0.06153846153846154</v>
      </c>
      <c r="I75" s="11">
        <f t="shared" si="17"/>
        <v>2.4615384615384617</v>
      </c>
      <c r="J75" s="264">
        <f>16/260</f>
        <v>0.06153846153846154</v>
      </c>
      <c r="K75" s="11">
        <f t="shared" si="20"/>
        <v>2.4615384615384617</v>
      </c>
      <c r="L75" s="264">
        <f>16/260</f>
        <v>0.06153846153846154</v>
      </c>
      <c r="M75" s="14">
        <f t="shared" si="23"/>
        <v>2.4615384615384617</v>
      </c>
      <c r="N75" s="237">
        <f>16/260</f>
        <v>0.06153846153846154</v>
      </c>
      <c r="O75" s="11">
        <f t="shared" si="22"/>
        <v>9.230769230769232</v>
      </c>
      <c r="P75" s="284">
        <f t="shared" si="21"/>
        <v>25.969230769230773</v>
      </c>
      <c r="Q75" s="11">
        <v>0</v>
      </c>
      <c r="R75" s="21">
        <v>0</v>
      </c>
      <c r="S75" s="21">
        <v>10</v>
      </c>
      <c r="T75" s="21">
        <f>P75+S75*P75*0.01</f>
        <v>28.56615384615385</v>
      </c>
      <c r="U75" s="21" t="s">
        <v>136</v>
      </c>
      <c r="V75" s="46" t="s">
        <v>135</v>
      </c>
      <c r="W75" s="15" t="s">
        <v>231</v>
      </c>
      <c r="X75" s="16"/>
      <c r="Y75" s="15"/>
      <c r="Z75" s="15"/>
      <c r="AA75" s="24"/>
      <c r="AB75" s="25"/>
    </row>
    <row r="76" spans="1:28" s="62" customFormat="1" ht="13.5" customHeight="1">
      <c r="A76" s="100" t="s">
        <v>235</v>
      </c>
      <c r="B76" s="100">
        <v>368523</v>
      </c>
      <c r="C76" s="105" t="s">
        <v>346</v>
      </c>
      <c r="D76" s="114">
        <v>1</v>
      </c>
      <c r="E76" s="104">
        <f aca="true" t="shared" si="24" ref="E76:E85">D76*$E$3</f>
        <v>76</v>
      </c>
      <c r="F76" s="114">
        <v>1</v>
      </c>
      <c r="G76" s="104">
        <f t="shared" si="16"/>
        <v>76</v>
      </c>
      <c r="H76" s="114">
        <v>1</v>
      </c>
      <c r="I76" s="104">
        <f t="shared" si="17"/>
        <v>40</v>
      </c>
      <c r="J76" s="114">
        <v>1</v>
      </c>
      <c r="K76" s="104">
        <f t="shared" si="20"/>
        <v>40</v>
      </c>
      <c r="L76" s="114">
        <v>1</v>
      </c>
      <c r="M76" s="104">
        <f t="shared" si="23"/>
        <v>40</v>
      </c>
      <c r="N76" s="114">
        <v>1</v>
      </c>
      <c r="O76" s="11">
        <f t="shared" si="22"/>
        <v>150</v>
      </c>
      <c r="P76" s="284">
        <f t="shared" si="21"/>
        <v>422</v>
      </c>
      <c r="Q76" s="11">
        <v>0</v>
      </c>
      <c r="R76" s="21">
        <v>0</v>
      </c>
      <c r="S76" s="21">
        <v>10</v>
      </c>
      <c r="T76" s="129">
        <f aca="true" t="shared" si="25" ref="T76:T85">(O76+M76+K76+I76+G76+E76)*1.1</f>
        <v>464.20000000000005</v>
      </c>
      <c r="U76" s="129">
        <v>450</v>
      </c>
      <c r="V76" s="267"/>
      <c r="W76" s="267"/>
      <c r="X76" s="267"/>
      <c r="Y76" s="267"/>
      <c r="Z76" s="267"/>
      <c r="AA76" s="267"/>
      <c r="AB76" s="267"/>
    </row>
    <row r="77" spans="1:28" s="62" customFormat="1" ht="13.5" customHeight="1">
      <c r="A77" s="100" t="s">
        <v>235</v>
      </c>
      <c r="B77" s="100">
        <v>368524</v>
      </c>
      <c r="C77" s="105" t="s">
        <v>347</v>
      </c>
      <c r="D77" s="114">
        <v>1</v>
      </c>
      <c r="E77" s="104">
        <f t="shared" si="24"/>
        <v>76</v>
      </c>
      <c r="F77" s="114">
        <v>1</v>
      </c>
      <c r="G77" s="104">
        <f t="shared" si="16"/>
        <v>76</v>
      </c>
      <c r="H77" s="114">
        <v>1</v>
      </c>
      <c r="I77" s="104">
        <f t="shared" si="17"/>
        <v>40</v>
      </c>
      <c r="J77" s="114">
        <v>1</v>
      </c>
      <c r="K77" s="104">
        <f t="shared" si="20"/>
        <v>40</v>
      </c>
      <c r="L77" s="114">
        <v>1</v>
      </c>
      <c r="M77" s="104">
        <f>L77*M$3</f>
        <v>40</v>
      </c>
      <c r="N77" s="114">
        <v>1</v>
      </c>
      <c r="O77" s="11">
        <f t="shared" si="22"/>
        <v>150</v>
      </c>
      <c r="P77" s="284">
        <f t="shared" si="21"/>
        <v>422</v>
      </c>
      <c r="Q77" s="11">
        <v>0</v>
      </c>
      <c r="R77" s="21">
        <v>0</v>
      </c>
      <c r="S77" s="21">
        <v>10</v>
      </c>
      <c r="T77" s="129">
        <f t="shared" si="25"/>
        <v>464.20000000000005</v>
      </c>
      <c r="U77" s="129">
        <v>450</v>
      </c>
      <c r="V77" s="267"/>
      <c r="W77" s="267"/>
      <c r="X77" s="267"/>
      <c r="Y77" s="267"/>
      <c r="Z77" s="267"/>
      <c r="AA77" s="267"/>
      <c r="AB77" s="267"/>
    </row>
    <row r="78" spans="1:28" s="62" customFormat="1" ht="13.5" customHeight="1">
      <c r="A78" s="100" t="s">
        <v>228</v>
      </c>
      <c r="B78" s="100">
        <v>368525</v>
      </c>
      <c r="C78" s="105" t="s">
        <v>348</v>
      </c>
      <c r="D78" s="114">
        <v>4</v>
      </c>
      <c r="E78" s="104">
        <f t="shared" si="24"/>
        <v>304</v>
      </c>
      <c r="F78" s="114">
        <v>4</v>
      </c>
      <c r="G78" s="104">
        <f t="shared" si="16"/>
        <v>304</v>
      </c>
      <c r="H78" s="114">
        <v>4</v>
      </c>
      <c r="I78" s="104">
        <f t="shared" si="17"/>
        <v>160</v>
      </c>
      <c r="J78" s="114">
        <v>4</v>
      </c>
      <c r="K78" s="104">
        <f aca="true" t="shared" si="26" ref="K78:K85">J78*K$3</f>
        <v>160</v>
      </c>
      <c r="L78" s="114">
        <v>4</v>
      </c>
      <c r="M78" s="104">
        <f t="shared" si="23"/>
        <v>160</v>
      </c>
      <c r="N78" s="114">
        <v>4</v>
      </c>
      <c r="O78" s="11">
        <f t="shared" si="22"/>
        <v>600</v>
      </c>
      <c r="P78" s="284">
        <f t="shared" si="21"/>
        <v>1688</v>
      </c>
      <c r="Q78" s="11">
        <v>0</v>
      </c>
      <c r="R78" s="21">
        <v>0</v>
      </c>
      <c r="S78" s="21">
        <v>10</v>
      </c>
      <c r="T78" s="129">
        <f t="shared" si="25"/>
        <v>1856.8000000000002</v>
      </c>
      <c r="U78" s="129">
        <v>2000</v>
      </c>
      <c r="V78" s="267"/>
      <c r="W78" s="267"/>
      <c r="X78" s="267"/>
      <c r="Y78" s="267"/>
      <c r="Z78" s="267"/>
      <c r="AA78" s="267"/>
      <c r="AB78" s="267"/>
    </row>
    <row r="79" spans="1:28" s="62" customFormat="1" ht="13.5" customHeight="1">
      <c r="A79" s="100" t="s">
        <v>228</v>
      </c>
      <c r="B79" s="100">
        <v>368526</v>
      </c>
      <c r="C79" s="105" t="s">
        <v>103</v>
      </c>
      <c r="D79" s="114">
        <v>1</v>
      </c>
      <c r="E79" s="104">
        <f t="shared" si="24"/>
        <v>76</v>
      </c>
      <c r="F79" s="114">
        <v>1</v>
      </c>
      <c r="G79" s="104">
        <f>F79*G$3</f>
        <v>76</v>
      </c>
      <c r="H79" s="114">
        <v>1</v>
      </c>
      <c r="I79" s="104">
        <f>H79*I$3</f>
        <v>40</v>
      </c>
      <c r="J79" s="114">
        <v>1</v>
      </c>
      <c r="K79" s="104">
        <f t="shared" si="26"/>
        <v>40</v>
      </c>
      <c r="L79" s="114">
        <v>1</v>
      </c>
      <c r="M79" s="104">
        <f t="shared" si="23"/>
        <v>40</v>
      </c>
      <c r="N79" s="114">
        <v>1</v>
      </c>
      <c r="O79" s="11">
        <f t="shared" si="22"/>
        <v>150</v>
      </c>
      <c r="P79" s="284">
        <f t="shared" si="21"/>
        <v>422</v>
      </c>
      <c r="Q79" s="11">
        <v>0</v>
      </c>
      <c r="R79" s="21">
        <v>0</v>
      </c>
      <c r="S79" s="21">
        <v>10</v>
      </c>
      <c r="T79" s="129">
        <f t="shared" si="25"/>
        <v>464.20000000000005</v>
      </c>
      <c r="U79" s="129">
        <v>460</v>
      </c>
      <c r="V79" s="267"/>
      <c r="W79" s="267"/>
      <c r="X79" s="267"/>
      <c r="Y79" s="267"/>
      <c r="Z79" s="267"/>
      <c r="AA79" s="267"/>
      <c r="AB79" s="267"/>
    </row>
    <row r="80" spans="1:28" s="62" customFormat="1" ht="13.5" customHeight="1">
      <c r="A80" s="100" t="s">
        <v>235</v>
      </c>
      <c r="B80" s="100">
        <v>368527</v>
      </c>
      <c r="C80" s="105" t="s">
        <v>104</v>
      </c>
      <c r="D80" s="114">
        <v>1</v>
      </c>
      <c r="E80" s="104">
        <f t="shared" si="24"/>
        <v>76</v>
      </c>
      <c r="F80" s="114">
        <v>1</v>
      </c>
      <c r="G80" s="104">
        <f aca="true" t="shared" si="27" ref="G80:I83">F80*G$3</f>
        <v>76</v>
      </c>
      <c r="H80" s="114">
        <v>1</v>
      </c>
      <c r="I80" s="104">
        <f t="shared" si="27"/>
        <v>40</v>
      </c>
      <c r="J80" s="114">
        <v>1</v>
      </c>
      <c r="K80" s="104">
        <f t="shared" si="26"/>
        <v>40</v>
      </c>
      <c r="L80" s="114">
        <v>1</v>
      </c>
      <c r="M80" s="104">
        <f t="shared" si="23"/>
        <v>40</v>
      </c>
      <c r="N80" s="114">
        <v>1</v>
      </c>
      <c r="O80" s="11">
        <f t="shared" si="22"/>
        <v>150</v>
      </c>
      <c r="P80" s="284">
        <f t="shared" si="21"/>
        <v>422</v>
      </c>
      <c r="Q80" s="11">
        <v>0</v>
      </c>
      <c r="R80" s="21">
        <v>0</v>
      </c>
      <c r="S80" s="21">
        <v>10</v>
      </c>
      <c r="T80" s="129">
        <f t="shared" si="25"/>
        <v>464.20000000000005</v>
      </c>
      <c r="U80" s="129">
        <v>460</v>
      </c>
      <c r="V80" s="267"/>
      <c r="W80" s="267"/>
      <c r="X80" s="267"/>
      <c r="Y80" s="267"/>
      <c r="Z80" s="267"/>
      <c r="AA80" s="267"/>
      <c r="AB80" s="267"/>
    </row>
    <row r="81" spans="1:28" s="62" customFormat="1" ht="13.5" customHeight="1">
      <c r="A81" s="100" t="s">
        <v>235</v>
      </c>
      <c r="B81" s="100">
        <v>368528</v>
      </c>
      <c r="C81" s="105" t="s">
        <v>105</v>
      </c>
      <c r="D81" s="114">
        <v>1</v>
      </c>
      <c r="E81" s="104">
        <f t="shared" si="24"/>
        <v>76</v>
      </c>
      <c r="F81" s="114">
        <v>1</v>
      </c>
      <c r="G81" s="104">
        <f t="shared" si="27"/>
        <v>76</v>
      </c>
      <c r="H81" s="114">
        <v>1</v>
      </c>
      <c r="I81" s="104">
        <f t="shared" si="27"/>
        <v>40</v>
      </c>
      <c r="J81" s="114">
        <v>1</v>
      </c>
      <c r="K81" s="104">
        <f t="shared" si="26"/>
        <v>40</v>
      </c>
      <c r="L81" s="114">
        <v>1</v>
      </c>
      <c r="M81" s="104">
        <f t="shared" si="23"/>
        <v>40</v>
      </c>
      <c r="N81" s="114">
        <v>1</v>
      </c>
      <c r="O81" s="11">
        <f t="shared" si="22"/>
        <v>150</v>
      </c>
      <c r="P81" s="284">
        <f t="shared" si="21"/>
        <v>422</v>
      </c>
      <c r="Q81" s="11">
        <v>0</v>
      </c>
      <c r="R81" s="21">
        <v>0</v>
      </c>
      <c r="S81" s="21">
        <v>10</v>
      </c>
      <c r="T81" s="129">
        <f t="shared" si="25"/>
        <v>464.20000000000005</v>
      </c>
      <c r="U81" s="129">
        <v>460</v>
      </c>
      <c r="V81" s="267"/>
      <c r="W81" s="267"/>
      <c r="X81" s="267"/>
      <c r="Y81" s="267"/>
      <c r="Z81" s="267"/>
      <c r="AA81" s="267"/>
      <c r="AB81" s="267"/>
    </row>
    <row r="82" spans="1:28" s="62" customFormat="1" ht="13.5" customHeight="1">
      <c r="A82" s="100" t="s">
        <v>235</v>
      </c>
      <c r="B82" s="100">
        <v>368529</v>
      </c>
      <c r="C82" s="105" t="s">
        <v>79</v>
      </c>
      <c r="D82" s="114">
        <v>1</v>
      </c>
      <c r="E82" s="104">
        <f t="shared" si="24"/>
        <v>76</v>
      </c>
      <c r="F82" s="114">
        <v>1</v>
      </c>
      <c r="G82" s="104">
        <f t="shared" si="27"/>
        <v>76</v>
      </c>
      <c r="H82" s="114">
        <v>1</v>
      </c>
      <c r="I82" s="104">
        <f t="shared" si="27"/>
        <v>40</v>
      </c>
      <c r="J82" s="114">
        <v>1</v>
      </c>
      <c r="K82" s="104">
        <f t="shared" si="26"/>
        <v>40</v>
      </c>
      <c r="L82" s="114">
        <v>1</v>
      </c>
      <c r="M82" s="104">
        <f t="shared" si="23"/>
        <v>40</v>
      </c>
      <c r="N82" s="114">
        <v>1</v>
      </c>
      <c r="O82" s="11">
        <f t="shared" si="22"/>
        <v>150</v>
      </c>
      <c r="P82" s="284">
        <f t="shared" si="21"/>
        <v>422</v>
      </c>
      <c r="Q82" s="11">
        <v>0</v>
      </c>
      <c r="R82" s="21">
        <v>0</v>
      </c>
      <c r="S82" s="21">
        <v>10</v>
      </c>
      <c r="T82" s="129">
        <f t="shared" si="25"/>
        <v>464.20000000000005</v>
      </c>
      <c r="U82" s="129">
        <v>460</v>
      </c>
      <c r="V82" s="267"/>
      <c r="W82" s="267"/>
      <c r="X82" s="267"/>
      <c r="Y82" s="267"/>
      <c r="Z82" s="267"/>
      <c r="AA82" s="267"/>
      <c r="AB82" s="267"/>
    </row>
    <row r="83" spans="1:28" s="62" customFormat="1" ht="13.5" customHeight="1">
      <c r="A83" s="100" t="s">
        <v>235</v>
      </c>
      <c r="B83" s="100">
        <v>368530</v>
      </c>
      <c r="C83" s="105" t="s">
        <v>68</v>
      </c>
      <c r="D83" s="114">
        <v>1</v>
      </c>
      <c r="E83" s="104">
        <f t="shared" si="24"/>
        <v>76</v>
      </c>
      <c r="F83" s="114">
        <v>1</v>
      </c>
      <c r="G83" s="104">
        <f t="shared" si="27"/>
        <v>76</v>
      </c>
      <c r="H83" s="114">
        <v>1</v>
      </c>
      <c r="I83" s="104">
        <f t="shared" si="27"/>
        <v>40</v>
      </c>
      <c r="J83" s="114">
        <v>1</v>
      </c>
      <c r="K83" s="104">
        <f t="shared" si="26"/>
        <v>40</v>
      </c>
      <c r="L83" s="114">
        <v>1</v>
      </c>
      <c r="M83" s="104">
        <f t="shared" si="23"/>
        <v>40</v>
      </c>
      <c r="N83" s="114">
        <v>1</v>
      </c>
      <c r="O83" s="11">
        <f t="shared" si="22"/>
        <v>150</v>
      </c>
      <c r="P83" s="284">
        <f t="shared" si="21"/>
        <v>422</v>
      </c>
      <c r="Q83" s="11">
        <v>0</v>
      </c>
      <c r="R83" s="21">
        <v>0</v>
      </c>
      <c r="S83" s="21">
        <v>10</v>
      </c>
      <c r="T83" s="129">
        <f t="shared" si="25"/>
        <v>464.20000000000005</v>
      </c>
      <c r="U83" s="129">
        <v>460</v>
      </c>
      <c r="V83" s="267"/>
      <c r="W83" s="267"/>
      <c r="X83" s="267"/>
      <c r="Y83" s="267"/>
      <c r="Z83" s="267"/>
      <c r="AA83" s="267"/>
      <c r="AB83" s="267"/>
    </row>
    <row r="84" spans="1:28" s="52" customFormat="1" ht="13.5" customHeight="1">
      <c r="A84" s="100" t="s">
        <v>228</v>
      </c>
      <c r="B84" s="100">
        <v>368671</v>
      </c>
      <c r="C84" s="289" t="s">
        <v>458</v>
      </c>
      <c r="D84" s="236">
        <v>0.02</v>
      </c>
      <c r="E84" s="195">
        <f t="shared" si="24"/>
        <v>1.52</v>
      </c>
      <c r="F84" s="236">
        <v>0.02</v>
      </c>
      <c r="G84" s="195">
        <f aca="true" t="shared" si="28" ref="G84:G89">F84*G$3</f>
        <v>1.52</v>
      </c>
      <c r="H84" s="236">
        <v>0.025</v>
      </c>
      <c r="I84" s="195">
        <f aca="true" t="shared" si="29" ref="I84:I89">H84*I$3</f>
        <v>1</v>
      </c>
      <c r="J84" s="236">
        <v>0.025</v>
      </c>
      <c r="K84" s="195">
        <f t="shared" si="26"/>
        <v>1</v>
      </c>
      <c r="L84" s="236">
        <v>0.025</v>
      </c>
      <c r="M84" s="195">
        <f t="shared" si="23"/>
        <v>1</v>
      </c>
      <c r="N84" s="268">
        <v>0.05</v>
      </c>
      <c r="O84" s="11">
        <f t="shared" si="22"/>
        <v>7.5</v>
      </c>
      <c r="P84" s="284">
        <f t="shared" si="21"/>
        <v>13.54</v>
      </c>
      <c r="Q84" s="242">
        <f>P84+O84</f>
        <v>21.04</v>
      </c>
      <c r="R84" s="21">
        <v>0</v>
      </c>
      <c r="S84" s="21">
        <v>10</v>
      </c>
      <c r="T84" s="129">
        <f t="shared" si="25"/>
        <v>14.894</v>
      </c>
      <c r="U84" s="248" t="s">
        <v>165</v>
      </c>
      <c r="V84" s="15"/>
      <c r="W84" s="15"/>
      <c r="X84" s="15"/>
      <c r="Y84" s="15"/>
      <c r="Z84" s="15"/>
      <c r="AA84" s="15"/>
      <c r="AB84" s="15"/>
    </row>
    <row r="85" spans="1:28" s="53" customFormat="1" ht="13.5" customHeight="1">
      <c r="A85" s="115" t="s">
        <v>228</v>
      </c>
      <c r="B85" s="115">
        <v>368673</v>
      </c>
      <c r="C85" s="117" t="s">
        <v>142</v>
      </c>
      <c r="D85" s="235">
        <v>0.18</v>
      </c>
      <c r="E85" s="195">
        <f t="shared" si="24"/>
        <v>13.68</v>
      </c>
      <c r="F85" s="194">
        <v>0.18</v>
      </c>
      <c r="G85" s="195">
        <f t="shared" si="28"/>
        <v>13.68</v>
      </c>
      <c r="H85" s="194">
        <v>0.2</v>
      </c>
      <c r="I85" s="195">
        <f t="shared" si="29"/>
        <v>8</v>
      </c>
      <c r="J85" s="194">
        <v>0.2</v>
      </c>
      <c r="K85" s="195">
        <f t="shared" si="26"/>
        <v>8</v>
      </c>
      <c r="L85" s="194">
        <v>0.2</v>
      </c>
      <c r="M85" s="195">
        <f t="shared" si="23"/>
        <v>8</v>
      </c>
      <c r="N85" s="240">
        <v>0.8</v>
      </c>
      <c r="O85" s="11">
        <f t="shared" si="22"/>
        <v>120</v>
      </c>
      <c r="P85" s="284">
        <f t="shared" si="21"/>
        <v>171.36</v>
      </c>
      <c r="Q85" s="243"/>
      <c r="R85" s="33"/>
      <c r="S85" s="249"/>
      <c r="T85" s="129">
        <f t="shared" si="25"/>
        <v>188.49600000000004</v>
      </c>
      <c r="U85" s="33"/>
      <c r="V85" s="32"/>
      <c r="W85" s="32"/>
      <c r="X85" s="32"/>
      <c r="Y85" s="32"/>
      <c r="Z85" s="32"/>
      <c r="AA85" s="32"/>
      <c r="AB85" s="32"/>
    </row>
    <row r="86" spans="1:28" s="52" customFormat="1" ht="13.5" customHeight="1">
      <c r="A86" s="18" t="s">
        <v>228</v>
      </c>
      <c r="B86" s="18">
        <v>368674</v>
      </c>
      <c r="C86" s="289" t="s">
        <v>459</v>
      </c>
      <c r="D86" s="239">
        <v>0.0135</v>
      </c>
      <c r="E86" s="241">
        <f>D86*$E$3</f>
        <v>1.026</v>
      </c>
      <c r="F86" s="239">
        <v>0.0135</v>
      </c>
      <c r="G86" s="241">
        <f t="shared" si="28"/>
        <v>1.026</v>
      </c>
      <c r="H86" s="239">
        <v>0.017</v>
      </c>
      <c r="I86" s="241">
        <f t="shared" si="29"/>
        <v>0.68</v>
      </c>
      <c r="J86" s="239">
        <v>0.017</v>
      </c>
      <c r="K86" s="241">
        <f>J86*K$3</f>
        <v>0.68</v>
      </c>
      <c r="L86" s="239">
        <v>0.017</v>
      </c>
      <c r="M86" s="241">
        <f>L86*M$3</f>
        <v>0.68</v>
      </c>
      <c r="N86" s="239">
        <v>0.04</v>
      </c>
      <c r="O86" s="11">
        <f t="shared" si="22"/>
        <v>6</v>
      </c>
      <c r="P86" s="284">
        <f t="shared" si="21"/>
        <v>10.091999999999999</v>
      </c>
      <c r="Q86" s="249">
        <v>0</v>
      </c>
      <c r="R86" s="16">
        <v>0</v>
      </c>
      <c r="S86" s="16">
        <v>10</v>
      </c>
      <c r="T86" s="129"/>
      <c r="U86" s="16"/>
      <c r="V86" s="15"/>
      <c r="W86" s="15"/>
      <c r="X86" s="15"/>
      <c r="Y86" s="15"/>
      <c r="Z86" s="15"/>
      <c r="AA86" s="15"/>
      <c r="AB86" s="15"/>
    </row>
    <row r="87" spans="1:28" s="52" customFormat="1" ht="13.5" customHeight="1">
      <c r="A87" s="18" t="s">
        <v>228</v>
      </c>
      <c r="B87" s="18">
        <v>368675</v>
      </c>
      <c r="C87" s="290" t="s">
        <v>460</v>
      </c>
      <c r="D87" s="239">
        <f>3*10/300/12</f>
        <v>0.008333333333333333</v>
      </c>
      <c r="E87" s="241">
        <f>D87*$E$3</f>
        <v>0.6333333333333333</v>
      </c>
      <c r="F87" s="239">
        <v>0.017</v>
      </c>
      <c r="G87" s="241">
        <f t="shared" si="28"/>
        <v>1.292</v>
      </c>
      <c r="H87" s="239">
        <f>3*10/300/12</f>
        <v>0.008333333333333333</v>
      </c>
      <c r="I87" s="241">
        <f t="shared" si="29"/>
        <v>0.3333333333333333</v>
      </c>
      <c r="J87" s="239">
        <f>30/300/12</f>
        <v>0.008333333333333333</v>
      </c>
      <c r="K87" s="241">
        <f>J87*K$3</f>
        <v>0.3333333333333333</v>
      </c>
      <c r="L87" s="239">
        <f>30/300/12</f>
        <v>0.008333333333333333</v>
      </c>
      <c r="M87" s="241">
        <f>L87*M$3</f>
        <v>0.3333333333333333</v>
      </c>
      <c r="N87" s="239">
        <f>50/300/12</f>
        <v>0.013888888888888888</v>
      </c>
      <c r="O87" s="11">
        <f t="shared" si="22"/>
        <v>2.083333333333333</v>
      </c>
      <c r="P87" s="284">
        <f t="shared" si="21"/>
        <v>5.008666666666667</v>
      </c>
      <c r="Q87" s="249">
        <v>0</v>
      </c>
      <c r="R87" s="16">
        <v>0</v>
      </c>
      <c r="S87" s="16">
        <v>10</v>
      </c>
      <c r="T87" s="269">
        <f>(O87+M87+K87+I87+G87+E87)*1.1</f>
        <v>5.509533333333334</v>
      </c>
      <c r="U87" s="16"/>
      <c r="V87" s="15"/>
      <c r="W87" s="15"/>
      <c r="X87" s="15"/>
      <c r="Y87" s="15"/>
      <c r="Z87" s="15"/>
      <c r="AA87" s="15"/>
      <c r="AB87" s="15"/>
    </row>
    <row r="88" spans="1:21" s="52" customFormat="1" ht="13.5" customHeight="1">
      <c r="A88" s="18" t="s">
        <v>228</v>
      </c>
      <c r="B88" s="18">
        <v>368676</v>
      </c>
      <c r="C88" s="202" t="s">
        <v>506</v>
      </c>
      <c r="D88" s="239">
        <f>1/40</f>
        <v>0.025</v>
      </c>
      <c r="E88" s="241">
        <f>D88*$E$3</f>
        <v>1.9000000000000001</v>
      </c>
      <c r="F88" s="239">
        <f>1/40</f>
        <v>0.025</v>
      </c>
      <c r="G88" s="241">
        <f t="shared" si="28"/>
        <v>1.9000000000000001</v>
      </c>
      <c r="H88" s="239">
        <f>1/40</f>
        <v>0.025</v>
      </c>
      <c r="I88" s="241">
        <f t="shared" si="29"/>
        <v>1</v>
      </c>
      <c r="J88" s="239">
        <f>1/40</f>
        <v>0.025</v>
      </c>
      <c r="K88" s="241">
        <f>J88*K$3</f>
        <v>1</v>
      </c>
      <c r="L88" s="239">
        <f>1/40</f>
        <v>0.025</v>
      </c>
      <c r="M88" s="241">
        <f>L88*M$3</f>
        <v>1</v>
      </c>
      <c r="N88" s="239">
        <f>1/40</f>
        <v>0.025</v>
      </c>
      <c r="O88" s="270">
        <f t="shared" si="22"/>
        <v>3.75</v>
      </c>
      <c r="P88" s="291">
        <f>O88+M88+K88+I88+G88+E88</f>
        <v>10.55</v>
      </c>
      <c r="Q88" s="249">
        <v>0</v>
      </c>
      <c r="R88" s="16">
        <v>0</v>
      </c>
      <c r="S88" s="16">
        <v>10</v>
      </c>
      <c r="T88" s="269">
        <f>(O88+M88+K88+I88+G88+E88)*1.1</f>
        <v>11.605000000000002</v>
      </c>
      <c r="U88" s="225"/>
    </row>
    <row r="89" spans="1:21" s="52" customFormat="1" ht="13.5" customHeight="1">
      <c r="A89" s="18" t="s">
        <v>228</v>
      </c>
      <c r="B89" s="18">
        <v>368677</v>
      </c>
      <c r="C89" s="245" t="s">
        <v>507</v>
      </c>
      <c r="D89" s="239">
        <f>1/40</f>
        <v>0.025</v>
      </c>
      <c r="E89" s="241">
        <f>D89*$E$3</f>
        <v>1.9000000000000001</v>
      </c>
      <c r="F89" s="239">
        <v>0.025</v>
      </c>
      <c r="G89" s="241">
        <f t="shared" si="28"/>
        <v>1.9000000000000001</v>
      </c>
      <c r="H89" s="239">
        <v>0.025</v>
      </c>
      <c r="I89" s="241">
        <f t="shared" si="29"/>
        <v>1</v>
      </c>
      <c r="J89" s="239">
        <v>0.025</v>
      </c>
      <c r="K89" s="241">
        <f>J89*K$3</f>
        <v>1</v>
      </c>
      <c r="L89" s="239">
        <v>0.025</v>
      </c>
      <c r="M89" s="241">
        <f>L89*M$3</f>
        <v>1</v>
      </c>
      <c r="N89" s="239">
        <v>0.025</v>
      </c>
      <c r="O89" s="270">
        <f t="shared" si="22"/>
        <v>3.75</v>
      </c>
      <c r="P89" s="291">
        <f t="shared" si="21"/>
        <v>10.55</v>
      </c>
      <c r="Q89" s="242">
        <v>0</v>
      </c>
      <c r="R89" s="238">
        <v>0</v>
      </c>
      <c r="S89" s="16">
        <v>10</v>
      </c>
      <c r="T89" s="129">
        <f>(O89+M89+K89+I89+G89+E89)*1.1</f>
        <v>11.605000000000002</v>
      </c>
      <c r="U89" s="225">
        <v>12</v>
      </c>
    </row>
  </sheetData>
  <printOptions/>
  <pageMargins left="0.75" right="0.75" top="1" bottom="1" header="0.5" footer="0.5"/>
  <pageSetup horizontalDpi="600" verticalDpi="600" orientation="portrait" paperSize="17" r:id="rId1"/>
  <headerFooter alignWithMargins="0">
    <oddFooter>&amp;LFile: Chamber Common Pts&amp;CPage &amp;P of &amp;N&amp;RUpdated: 9/11/01
Printed: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8"/>
  <sheetViews>
    <sheetView workbookViewId="0" topLeftCell="A23">
      <selection activeCell="A48" sqref="A48:IV49"/>
    </sheetView>
  </sheetViews>
  <sheetFormatPr defaultColWidth="9.140625" defaultRowHeight="13.5" customHeight="1"/>
  <cols>
    <col min="1" max="1" width="5.140625" style="18" customWidth="1"/>
    <col min="2" max="2" width="8.8515625" style="18" customWidth="1"/>
    <col min="3" max="3" width="45.421875" style="52" customWidth="1"/>
    <col min="4" max="4" width="11.140625" style="58" hidden="1" customWidth="1"/>
    <col min="5" max="5" width="7.7109375" style="20" customWidth="1" collapsed="1"/>
    <col min="6" max="6" width="6.421875" style="11" customWidth="1"/>
    <col min="7" max="7" width="6.421875" style="20" customWidth="1"/>
    <col min="8" max="8" width="6.421875" style="11" customWidth="1"/>
    <col min="9" max="9" width="6.421875" style="20" customWidth="1"/>
    <col min="10" max="10" width="6.421875" style="11" customWidth="1"/>
    <col min="11" max="11" width="6.421875" style="20" customWidth="1"/>
    <col min="12" max="12" width="6.421875" style="85" customWidth="1"/>
    <col min="13" max="13" width="6.421875" style="13" customWidth="1"/>
    <col min="14" max="14" width="6.421875" style="85" customWidth="1"/>
    <col min="15" max="15" width="6.421875" style="20" customWidth="1"/>
    <col min="16" max="16" width="6.421875" style="19" customWidth="1"/>
    <col min="17" max="17" width="8.7109375" style="52" customWidth="1"/>
    <col min="18" max="18" width="4.8515625" style="52" customWidth="1"/>
    <col min="19" max="19" width="5.7109375" style="52" customWidth="1"/>
    <col min="20" max="20" width="7.421875" style="52" customWidth="1"/>
    <col min="21" max="22" width="6.140625" style="52" customWidth="1"/>
    <col min="23" max="23" width="8.140625" style="52" customWidth="1"/>
    <col min="24" max="24" width="7.8515625" style="19" customWidth="1"/>
    <col min="25" max="25" width="9.140625" style="19" customWidth="1"/>
    <col min="26" max="26" width="36.28125" style="19" customWidth="1"/>
    <col min="27" max="16384" width="9.140625" style="52" customWidth="1"/>
  </cols>
  <sheetData>
    <row r="1" spans="1:26" s="50" customFormat="1" ht="13.5" customHeight="1">
      <c r="A1" s="47"/>
      <c r="B1" s="47"/>
      <c r="C1" s="51" t="s">
        <v>452</v>
      </c>
      <c r="D1" s="55" t="s">
        <v>444</v>
      </c>
      <c r="E1" s="49" t="s">
        <v>196</v>
      </c>
      <c r="F1" s="2"/>
      <c r="G1" s="49" t="s">
        <v>196</v>
      </c>
      <c r="H1" s="2"/>
      <c r="I1" s="49" t="s">
        <v>196</v>
      </c>
      <c r="J1" s="2"/>
      <c r="K1" s="49" t="s">
        <v>196</v>
      </c>
      <c r="L1" s="84"/>
      <c r="M1" s="4" t="s">
        <v>196</v>
      </c>
      <c r="N1" s="84"/>
      <c r="O1" s="49" t="s">
        <v>196</v>
      </c>
      <c r="P1" s="84"/>
      <c r="Q1" s="80" t="s">
        <v>94</v>
      </c>
      <c r="R1" s="80" t="s">
        <v>132</v>
      </c>
      <c r="S1" s="80"/>
      <c r="T1" s="80" t="s">
        <v>197</v>
      </c>
      <c r="U1" s="80" t="s">
        <v>119</v>
      </c>
      <c r="V1" s="80" t="s">
        <v>349</v>
      </c>
      <c r="W1" s="80" t="s">
        <v>351</v>
      </c>
      <c r="X1" s="84" t="s">
        <v>351</v>
      </c>
      <c r="Y1" s="84" t="s">
        <v>449</v>
      </c>
      <c r="Z1" s="9"/>
    </row>
    <row r="2" spans="1:26" s="50" customFormat="1" ht="18" customHeight="1">
      <c r="A2" s="47" t="s">
        <v>193</v>
      </c>
      <c r="B2" s="47" t="s">
        <v>263</v>
      </c>
      <c r="C2" s="47" t="s">
        <v>195</v>
      </c>
      <c r="D2" s="47" t="s">
        <v>446</v>
      </c>
      <c r="E2" s="49" t="s">
        <v>207</v>
      </c>
      <c r="F2" s="2"/>
      <c r="G2" s="49" t="s">
        <v>208</v>
      </c>
      <c r="H2" s="2"/>
      <c r="I2" s="49" t="s">
        <v>209</v>
      </c>
      <c r="J2" s="2"/>
      <c r="K2" s="49" t="s">
        <v>210</v>
      </c>
      <c r="L2" s="84"/>
      <c r="M2" s="4" t="s">
        <v>211</v>
      </c>
      <c r="N2" s="84"/>
      <c r="O2" s="49" t="s">
        <v>212</v>
      </c>
      <c r="P2" s="84"/>
      <c r="Q2" s="80" t="s">
        <v>92</v>
      </c>
      <c r="R2" s="88" t="s">
        <v>133</v>
      </c>
      <c r="S2" s="88"/>
      <c r="T2" s="88" t="s">
        <v>134</v>
      </c>
      <c r="U2" s="80" t="s">
        <v>93</v>
      </c>
      <c r="V2" s="80">
        <v>4</v>
      </c>
      <c r="W2" s="80" t="s">
        <v>95</v>
      </c>
      <c r="X2" s="84" t="s">
        <v>353</v>
      </c>
      <c r="Y2" s="84" t="s">
        <v>450</v>
      </c>
      <c r="Z2" s="1" t="s">
        <v>219</v>
      </c>
    </row>
    <row r="3" spans="1:26" s="50" customFormat="1" ht="13.5" customHeight="1">
      <c r="A3" s="47"/>
      <c r="B3" s="47"/>
      <c r="C3" s="57" t="s">
        <v>474</v>
      </c>
      <c r="D3" s="47"/>
      <c r="E3" s="95">
        <v>36906</v>
      </c>
      <c r="F3" s="96"/>
      <c r="G3" s="90"/>
      <c r="H3" s="91"/>
      <c r="I3" s="95">
        <v>36906</v>
      </c>
      <c r="J3" s="96"/>
      <c r="K3" s="90"/>
      <c r="L3" s="92"/>
      <c r="M3" s="93"/>
      <c r="N3" s="92"/>
      <c r="O3" s="95">
        <v>36892</v>
      </c>
      <c r="P3" s="96"/>
      <c r="Q3" s="94"/>
      <c r="R3" s="88"/>
      <c r="S3" s="88"/>
      <c r="T3" s="88" t="s">
        <v>132</v>
      </c>
      <c r="U3" s="47" t="s">
        <v>95</v>
      </c>
      <c r="V3" s="47" t="s">
        <v>350</v>
      </c>
      <c r="W3" s="47" t="s">
        <v>352</v>
      </c>
      <c r="X3" s="1" t="s">
        <v>354</v>
      </c>
      <c r="Y3" s="1" t="s">
        <v>202</v>
      </c>
      <c r="Z3" s="9"/>
    </row>
    <row r="4" spans="1:26" s="50" customFormat="1" ht="11.25" customHeight="1">
      <c r="A4" s="47"/>
      <c r="B4" s="47"/>
      <c r="C4" s="57" t="s">
        <v>139</v>
      </c>
      <c r="D4" s="47"/>
      <c r="E4" s="81">
        <v>-1</v>
      </c>
      <c r="F4" s="82">
        <v>72</v>
      </c>
      <c r="G4" s="81">
        <v>-1</v>
      </c>
      <c r="H4" s="82">
        <v>72</v>
      </c>
      <c r="I4" s="81">
        <v>-1</v>
      </c>
      <c r="J4" s="82">
        <v>36</v>
      </c>
      <c r="K4" s="81">
        <v>-1</v>
      </c>
      <c r="L4" s="82">
        <v>36</v>
      </c>
      <c r="M4" s="81">
        <v>-1</v>
      </c>
      <c r="N4" s="82">
        <v>36</v>
      </c>
      <c r="O4" s="81">
        <v>-1</v>
      </c>
      <c r="P4" s="82">
        <v>144</v>
      </c>
      <c r="Q4" s="86">
        <f>H4+J4+L4+N4+P4</f>
        <v>324</v>
      </c>
      <c r="R4" s="86"/>
      <c r="S4" s="86"/>
      <c r="T4" s="86"/>
      <c r="U4" s="47"/>
      <c r="V4" s="47"/>
      <c r="W4" s="57"/>
      <c r="X4" s="9"/>
      <c r="Y4" s="9"/>
      <c r="Z4" s="9"/>
    </row>
    <row r="5" spans="1:26" s="50" customFormat="1" ht="11.25" customHeight="1">
      <c r="A5" s="47"/>
      <c r="B5" s="47"/>
      <c r="C5" s="57" t="s">
        <v>140</v>
      </c>
      <c r="D5" s="47"/>
      <c r="E5" s="81"/>
      <c r="F5" s="82">
        <v>4</v>
      </c>
      <c r="G5" s="81"/>
      <c r="H5" s="82">
        <v>4</v>
      </c>
      <c r="I5" s="81"/>
      <c r="J5" s="82">
        <v>4</v>
      </c>
      <c r="K5" s="81"/>
      <c r="L5" s="82">
        <v>4</v>
      </c>
      <c r="M5" s="81"/>
      <c r="N5" s="82">
        <v>4</v>
      </c>
      <c r="O5" s="81"/>
      <c r="P5" s="82">
        <v>6</v>
      </c>
      <c r="Q5" s="86">
        <f>H5+J5+L5+N5+P5</f>
        <v>22</v>
      </c>
      <c r="R5" s="86"/>
      <c r="S5" s="86"/>
      <c r="T5" s="86"/>
      <c r="U5" s="47"/>
      <c r="V5" s="47"/>
      <c r="W5" s="57"/>
      <c r="X5" s="9"/>
      <c r="Y5" s="9"/>
      <c r="Z5" s="9"/>
    </row>
    <row r="6" spans="1:26" s="50" customFormat="1" ht="11.25" customHeight="1">
      <c r="A6" s="47"/>
      <c r="B6" s="47"/>
      <c r="C6" s="57" t="s">
        <v>141</v>
      </c>
      <c r="D6" s="47"/>
      <c r="E6" s="81"/>
      <c r="F6" s="82">
        <f>SUM(F4:F5)</f>
        <v>76</v>
      </c>
      <c r="G6" s="81"/>
      <c r="H6" s="82">
        <f>SUM(H4:H5)</f>
        <v>76</v>
      </c>
      <c r="I6" s="81"/>
      <c r="J6" s="82">
        <f>SUM(J4:J5)</f>
        <v>40</v>
      </c>
      <c r="K6" s="81"/>
      <c r="L6" s="82">
        <f>SUM(L4:L5)</f>
        <v>40</v>
      </c>
      <c r="M6" s="81"/>
      <c r="N6" s="82">
        <f>SUM(N4:N5)</f>
        <v>40</v>
      </c>
      <c r="O6" s="81"/>
      <c r="P6" s="82">
        <f>SUM(P4:P5)</f>
        <v>150</v>
      </c>
      <c r="Q6" s="86">
        <f>H6+J6+L6+N6+P6</f>
        <v>346</v>
      </c>
      <c r="R6" s="86"/>
      <c r="S6" s="86"/>
      <c r="T6" s="86"/>
      <c r="U6" s="47"/>
      <c r="V6" s="47"/>
      <c r="W6" s="57"/>
      <c r="X6" s="9"/>
      <c r="Y6" s="9"/>
      <c r="Z6" s="9"/>
    </row>
    <row r="7" spans="1:26" s="50" customFormat="1" ht="13.5" customHeight="1">
      <c r="A7" s="47"/>
      <c r="B7" s="47"/>
      <c r="C7" s="57"/>
      <c r="D7" s="47"/>
      <c r="E7" s="81"/>
      <c r="F7" s="82"/>
      <c r="G7" s="81"/>
      <c r="H7" s="82"/>
      <c r="I7" s="81"/>
      <c r="J7" s="82"/>
      <c r="K7" s="81"/>
      <c r="L7" s="82"/>
      <c r="M7" s="81"/>
      <c r="N7" s="82"/>
      <c r="O7" s="81"/>
      <c r="P7" s="82"/>
      <c r="Q7" s="86"/>
      <c r="R7" s="86"/>
      <c r="S7" s="86"/>
      <c r="T7" s="86"/>
      <c r="U7" s="47"/>
      <c r="V7" s="47"/>
      <c r="W7" s="57"/>
      <c r="X7" s="9"/>
      <c r="Y7" s="9"/>
      <c r="Z7" s="9"/>
    </row>
    <row r="8" spans="1:26" ht="13.5" customHeight="1">
      <c r="A8" s="18" t="s">
        <v>228</v>
      </c>
      <c r="B8" s="18">
        <v>368010</v>
      </c>
      <c r="C8" s="52" t="s">
        <v>448</v>
      </c>
      <c r="D8" s="76"/>
      <c r="E8" s="65">
        <v>8</v>
      </c>
      <c r="F8" s="83">
        <f aca="true" t="shared" si="0" ref="F8:F49">E8*$F$6</f>
        <v>608</v>
      </c>
      <c r="G8" s="65">
        <v>8</v>
      </c>
      <c r="H8" s="83">
        <f aca="true" t="shared" si="1" ref="H8:H49">G8*H$6</f>
        <v>608</v>
      </c>
      <c r="I8" s="65">
        <v>6</v>
      </c>
      <c r="J8" s="83">
        <f aca="true" t="shared" si="2" ref="J8:J49">I8*J$6</f>
        <v>240</v>
      </c>
      <c r="K8" s="68">
        <v>6</v>
      </c>
      <c r="L8" s="83">
        <f aca="true" t="shared" si="3" ref="L8:L49">K8*L$6</f>
        <v>240</v>
      </c>
      <c r="M8" s="68">
        <v>6</v>
      </c>
      <c r="N8" s="83">
        <f aca="true" t="shared" si="4" ref="N8:N47">M8*N$6</f>
        <v>240</v>
      </c>
      <c r="O8" s="69">
        <v>6</v>
      </c>
      <c r="P8" s="83">
        <f aca="true" t="shared" si="5" ref="P8:P45">O8*P$6</f>
        <v>900</v>
      </c>
      <c r="Q8" s="149">
        <f>F8+H8+J8+L8+N8+P8</f>
        <v>2836</v>
      </c>
      <c r="R8" s="70">
        <v>10</v>
      </c>
      <c r="S8" s="149">
        <f>R8*Q8/100</f>
        <v>283.6</v>
      </c>
      <c r="T8" s="149">
        <f>S8+Q8</f>
        <v>3119.6</v>
      </c>
      <c r="U8" s="65">
        <f>97+178</f>
        <v>275</v>
      </c>
      <c r="V8" s="65">
        <f>O8*4</f>
        <v>24</v>
      </c>
      <c r="W8" s="65">
        <f>U8-V8</f>
        <v>251</v>
      </c>
      <c r="X8" s="154">
        <f>T8-W8</f>
        <v>2868.6</v>
      </c>
      <c r="Y8" s="154">
        <v>3000</v>
      </c>
      <c r="Z8" s="150"/>
    </row>
    <row r="9" spans="1:26" ht="13.5" customHeight="1">
      <c r="A9" s="18" t="s">
        <v>228</v>
      </c>
      <c r="B9" s="18">
        <v>368011</v>
      </c>
      <c r="C9" s="52" t="s">
        <v>24</v>
      </c>
      <c r="D9" s="77" t="s">
        <v>566</v>
      </c>
      <c r="E9" s="65">
        <v>2</v>
      </c>
      <c r="F9" s="83">
        <f t="shared" si="0"/>
        <v>152</v>
      </c>
      <c r="G9" s="67" t="s">
        <v>230</v>
      </c>
      <c r="H9" s="83">
        <f t="shared" si="1"/>
        <v>152</v>
      </c>
      <c r="I9" s="65">
        <v>2</v>
      </c>
      <c r="J9" s="83">
        <f t="shared" si="2"/>
        <v>80</v>
      </c>
      <c r="K9" s="68">
        <v>2</v>
      </c>
      <c r="L9" s="83">
        <f t="shared" si="3"/>
        <v>80</v>
      </c>
      <c r="M9" s="68">
        <v>2</v>
      </c>
      <c r="N9" s="83">
        <f t="shared" si="4"/>
        <v>80</v>
      </c>
      <c r="O9" s="69">
        <v>2</v>
      </c>
      <c r="P9" s="83">
        <f t="shared" si="5"/>
        <v>300</v>
      </c>
      <c r="Q9" s="149">
        <f aca="true" t="shared" si="6" ref="Q9:Q49">F9+H9+J9+L9+N9+P9</f>
        <v>844</v>
      </c>
      <c r="R9" s="70">
        <v>5</v>
      </c>
      <c r="S9" s="149">
        <f aca="true" t="shared" si="7" ref="S9:S50">R9*Q9/100</f>
        <v>42.2</v>
      </c>
      <c r="T9" s="149">
        <f aca="true" t="shared" si="8" ref="T9:T49">S9+Q9</f>
        <v>886.2</v>
      </c>
      <c r="U9" s="65">
        <f>98+20</f>
        <v>118</v>
      </c>
      <c r="V9" s="65">
        <f>O9*4</f>
        <v>8</v>
      </c>
      <c r="W9" s="65">
        <f aca="true" t="shared" si="9" ref="W9:W47">U9-V9</f>
        <v>110</v>
      </c>
      <c r="X9" s="154">
        <f aca="true" t="shared" si="10" ref="X9:X47">T9-W9</f>
        <v>776.2</v>
      </c>
      <c r="Y9" s="154">
        <v>760</v>
      </c>
      <c r="Z9" s="150"/>
    </row>
    <row r="10" spans="1:26" ht="13.5" customHeight="1">
      <c r="A10" s="18" t="s">
        <v>228</v>
      </c>
      <c r="B10" s="18">
        <v>368018</v>
      </c>
      <c r="C10" s="52" t="s">
        <v>453</v>
      </c>
      <c r="D10" s="76"/>
      <c r="E10" s="65">
        <v>2</v>
      </c>
      <c r="F10" s="83">
        <f t="shared" si="0"/>
        <v>152</v>
      </c>
      <c r="G10" s="65">
        <v>2</v>
      </c>
      <c r="H10" s="83">
        <f t="shared" si="1"/>
        <v>152</v>
      </c>
      <c r="I10" s="65">
        <v>2</v>
      </c>
      <c r="J10" s="83">
        <f t="shared" si="2"/>
        <v>80</v>
      </c>
      <c r="K10" s="68">
        <v>2</v>
      </c>
      <c r="L10" s="83">
        <f t="shared" si="3"/>
        <v>80</v>
      </c>
      <c r="M10" s="68">
        <v>2</v>
      </c>
      <c r="N10" s="83">
        <f t="shared" si="4"/>
        <v>80</v>
      </c>
      <c r="O10" s="69">
        <v>2</v>
      </c>
      <c r="P10" s="83">
        <f t="shared" si="5"/>
        <v>300</v>
      </c>
      <c r="Q10" s="149">
        <f t="shared" si="6"/>
        <v>844</v>
      </c>
      <c r="R10" s="70">
        <v>10</v>
      </c>
      <c r="S10" s="149">
        <f t="shared" si="7"/>
        <v>84.4</v>
      </c>
      <c r="T10" s="149">
        <f t="shared" si="8"/>
        <v>928.4</v>
      </c>
      <c r="U10" s="65">
        <f>120+62</f>
        <v>182</v>
      </c>
      <c r="V10" s="65">
        <f aca="true" t="shared" si="11" ref="V10:V46">O10*4</f>
        <v>8</v>
      </c>
      <c r="W10" s="65">
        <f t="shared" si="9"/>
        <v>174</v>
      </c>
      <c r="X10" s="154">
        <f t="shared" si="10"/>
        <v>754.4</v>
      </c>
      <c r="Y10" s="154">
        <v>800</v>
      </c>
      <c r="Z10" s="150"/>
    </row>
    <row r="11" spans="1:26" ht="13.5" customHeight="1">
      <c r="A11" s="18" t="s">
        <v>228</v>
      </c>
      <c r="B11" s="18">
        <v>368039</v>
      </c>
      <c r="C11" s="52" t="s">
        <v>283</v>
      </c>
      <c r="D11" s="76"/>
      <c r="E11" s="65">
        <v>68</v>
      </c>
      <c r="F11" s="83">
        <f>E11*F$6</f>
        <v>5168</v>
      </c>
      <c r="G11" s="65">
        <v>64</v>
      </c>
      <c r="H11" s="83">
        <f>G11*H$6</f>
        <v>4864</v>
      </c>
      <c r="I11" s="68">
        <v>72</v>
      </c>
      <c r="J11" s="83">
        <f>I11*J$6</f>
        <v>2880</v>
      </c>
      <c r="K11" s="68">
        <v>66</v>
      </c>
      <c r="L11" s="83">
        <f>K11*L$6</f>
        <v>2640</v>
      </c>
      <c r="M11" s="69">
        <v>62</v>
      </c>
      <c r="N11" s="83">
        <f>M11*N$6</f>
        <v>2480</v>
      </c>
      <c r="O11" s="68">
        <v>94</v>
      </c>
      <c r="P11" s="83">
        <f>O11*P$6</f>
        <v>14100</v>
      </c>
      <c r="Q11" s="149">
        <f t="shared" si="6"/>
        <v>32132</v>
      </c>
      <c r="R11" s="70">
        <v>10</v>
      </c>
      <c r="S11" s="149">
        <f t="shared" si="7"/>
        <v>3213.2</v>
      </c>
      <c r="T11" s="149">
        <f t="shared" si="8"/>
        <v>35345.2</v>
      </c>
      <c r="U11" s="65">
        <f>224+2648</f>
        <v>2872</v>
      </c>
      <c r="V11" s="65">
        <f t="shared" si="11"/>
        <v>376</v>
      </c>
      <c r="W11" s="65">
        <f t="shared" si="9"/>
        <v>2496</v>
      </c>
      <c r="X11" s="154">
        <f t="shared" si="10"/>
        <v>32849.2</v>
      </c>
      <c r="Y11" s="154">
        <v>34000</v>
      </c>
      <c r="Z11" s="150"/>
    </row>
    <row r="12" spans="1:26" s="163" customFormat="1" ht="13.5" customHeight="1">
      <c r="A12" s="20" t="s">
        <v>391</v>
      </c>
      <c r="B12" s="20">
        <v>368043</v>
      </c>
      <c r="C12" s="163" t="s">
        <v>128</v>
      </c>
      <c r="D12" s="164" t="s">
        <v>15</v>
      </c>
      <c r="E12" s="68">
        <v>1</v>
      </c>
      <c r="F12" s="165">
        <f>E12*F$6</f>
        <v>76</v>
      </c>
      <c r="G12" s="68" t="s">
        <v>447</v>
      </c>
      <c r="H12" s="165">
        <f t="shared" si="1"/>
        <v>0</v>
      </c>
      <c r="I12" s="68">
        <v>1</v>
      </c>
      <c r="J12" s="165">
        <f>I12*J$6</f>
        <v>40</v>
      </c>
      <c r="K12" s="68">
        <v>1</v>
      </c>
      <c r="L12" s="165">
        <f t="shared" si="3"/>
        <v>40</v>
      </c>
      <c r="M12" s="68">
        <v>1</v>
      </c>
      <c r="N12" s="165">
        <f>M12*N$6</f>
        <v>40</v>
      </c>
      <c r="O12" s="69">
        <v>1</v>
      </c>
      <c r="P12" s="165">
        <f t="shared" si="5"/>
        <v>150</v>
      </c>
      <c r="Q12" s="68">
        <f t="shared" si="6"/>
        <v>346</v>
      </c>
      <c r="R12" s="68">
        <v>2</v>
      </c>
      <c r="S12" s="68">
        <f t="shared" si="7"/>
        <v>6.92</v>
      </c>
      <c r="T12" s="68">
        <f t="shared" si="8"/>
        <v>352.92</v>
      </c>
      <c r="U12" s="68">
        <v>25</v>
      </c>
      <c r="V12" s="68">
        <f t="shared" si="11"/>
        <v>4</v>
      </c>
      <c r="W12" s="68">
        <f t="shared" si="9"/>
        <v>21</v>
      </c>
      <c r="X12" s="165">
        <f t="shared" si="10"/>
        <v>331.92</v>
      </c>
      <c r="Y12" s="165">
        <v>335</v>
      </c>
      <c r="Z12" s="166"/>
    </row>
    <row r="13" spans="1:26" s="167" customFormat="1" ht="13.5" customHeight="1">
      <c r="A13" s="10" t="s">
        <v>391</v>
      </c>
      <c r="B13" s="10">
        <v>368044</v>
      </c>
      <c r="C13" s="167" t="s">
        <v>129</v>
      </c>
      <c r="D13" s="168" t="s">
        <v>17</v>
      </c>
      <c r="E13" s="162">
        <v>1</v>
      </c>
      <c r="F13" s="165">
        <f t="shared" si="0"/>
        <v>76</v>
      </c>
      <c r="G13" s="162">
        <v>0</v>
      </c>
      <c r="H13" s="165">
        <f t="shared" si="1"/>
        <v>0</v>
      </c>
      <c r="I13" s="162">
        <v>1</v>
      </c>
      <c r="J13" s="165">
        <f t="shared" si="2"/>
        <v>40</v>
      </c>
      <c r="K13" s="162">
        <v>1</v>
      </c>
      <c r="L13" s="165">
        <f t="shared" si="3"/>
        <v>40</v>
      </c>
      <c r="M13" s="162">
        <v>1</v>
      </c>
      <c r="N13" s="165">
        <f t="shared" si="4"/>
        <v>40</v>
      </c>
      <c r="O13" s="162">
        <v>1</v>
      </c>
      <c r="P13" s="165">
        <f t="shared" si="5"/>
        <v>150</v>
      </c>
      <c r="Q13" s="68">
        <f t="shared" si="6"/>
        <v>346</v>
      </c>
      <c r="R13" s="68">
        <v>2</v>
      </c>
      <c r="S13" s="68">
        <f t="shared" si="7"/>
        <v>6.92</v>
      </c>
      <c r="T13" s="68">
        <f t="shared" si="8"/>
        <v>352.92</v>
      </c>
      <c r="U13" s="162">
        <v>25</v>
      </c>
      <c r="V13" s="68">
        <f t="shared" si="11"/>
        <v>4</v>
      </c>
      <c r="W13" s="68">
        <f t="shared" si="9"/>
        <v>21</v>
      </c>
      <c r="X13" s="165">
        <f t="shared" si="10"/>
        <v>331.92</v>
      </c>
      <c r="Y13" s="165">
        <v>335</v>
      </c>
      <c r="Z13" s="166"/>
    </row>
    <row r="14" spans="1:26" s="167" customFormat="1" ht="13.5" customHeight="1">
      <c r="A14" s="10" t="s">
        <v>391</v>
      </c>
      <c r="B14" s="10">
        <v>368045</v>
      </c>
      <c r="C14" s="167" t="s">
        <v>463</v>
      </c>
      <c r="D14" s="168" t="s">
        <v>567</v>
      </c>
      <c r="E14" s="162">
        <v>0</v>
      </c>
      <c r="F14" s="165">
        <f t="shared" si="0"/>
        <v>0</v>
      </c>
      <c r="G14" s="162">
        <v>0</v>
      </c>
      <c r="H14" s="165">
        <f t="shared" si="1"/>
        <v>0</v>
      </c>
      <c r="I14" s="162">
        <v>1</v>
      </c>
      <c r="J14" s="165">
        <f t="shared" si="2"/>
        <v>40</v>
      </c>
      <c r="K14" s="162">
        <v>1</v>
      </c>
      <c r="L14" s="165">
        <f t="shared" si="3"/>
        <v>40</v>
      </c>
      <c r="M14" s="162">
        <v>1</v>
      </c>
      <c r="N14" s="165">
        <f t="shared" si="4"/>
        <v>40</v>
      </c>
      <c r="O14" s="162">
        <v>1</v>
      </c>
      <c r="P14" s="165">
        <f t="shared" si="5"/>
        <v>150</v>
      </c>
      <c r="Q14" s="68">
        <f t="shared" si="6"/>
        <v>270</v>
      </c>
      <c r="R14" s="68">
        <v>2</v>
      </c>
      <c r="S14" s="68">
        <f t="shared" si="7"/>
        <v>5.4</v>
      </c>
      <c r="T14" s="68">
        <f t="shared" si="8"/>
        <v>275.4</v>
      </c>
      <c r="U14" s="162">
        <v>25</v>
      </c>
      <c r="V14" s="68">
        <f t="shared" si="11"/>
        <v>4</v>
      </c>
      <c r="W14" s="68">
        <f t="shared" si="9"/>
        <v>21</v>
      </c>
      <c r="X14" s="165">
        <f t="shared" si="10"/>
        <v>254.39999999999998</v>
      </c>
      <c r="Y14" s="165">
        <v>260</v>
      </c>
      <c r="Z14" s="166"/>
    </row>
    <row r="15" spans="1:26" ht="13.5" customHeight="1">
      <c r="A15" s="18" t="s">
        <v>228</v>
      </c>
      <c r="B15" s="18">
        <v>368046</v>
      </c>
      <c r="C15" s="52" t="s">
        <v>3</v>
      </c>
      <c r="D15" s="76"/>
      <c r="E15" s="65">
        <v>24</v>
      </c>
      <c r="F15" s="83">
        <f t="shared" si="0"/>
        <v>1824</v>
      </c>
      <c r="G15" s="65">
        <v>24</v>
      </c>
      <c r="H15" s="83">
        <f t="shared" si="1"/>
        <v>1824</v>
      </c>
      <c r="I15" s="68">
        <v>24</v>
      </c>
      <c r="J15" s="83">
        <f t="shared" si="2"/>
        <v>960</v>
      </c>
      <c r="K15" s="68">
        <v>24</v>
      </c>
      <c r="L15" s="83">
        <f t="shared" si="3"/>
        <v>960</v>
      </c>
      <c r="M15" s="69">
        <v>24</v>
      </c>
      <c r="N15" s="83">
        <f t="shared" si="4"/>
        <v>960</v>
      </c>
      <c r="O15" s="68">
        <v>24</v>
      </c>
      <c r="P15" s="83">
        <f t="shared" si="5"/>
        <v>3600</v>
      </c>
      <c r="Q15" s="149">
        <f t="shared" si="6"/>
        <v>10128</v>
      </c>
      <c r="R15" s="70">
        <v>10</v>
      </c>
      <c r="S15" s="156">
        <f t="shared" si="7"/>
        <v>1012.8</v>
      </c>
      <c r="T15" s="156">
        <f t="shared" si="8"/>
        <v>11140.8</v>
      </c>
      <c r="U15" s="65">
        <f>515+712</f>
        <v>1227</v>
      </c>
      <c r="V15" s="65">
        <f t="shared" si="11"/>
        <v>96</v>
      </c>
      <c r="W15" s="65">
        <f t="shared" si="9"/>
        <v>1131</v>
      </c>
      <c r="X15" s="154">
        <f t="shared" si="10"/>
        <v>10009.8</v>
      </c>
      <c r="Y15" s="154">
        <v>10200</v>
      </c>
      <c r="Z15" s="150"/>
    </row>
    <row r="16" spans="1:26" ht="13.5" customHeight="1">
      <c r="A16" s="18" t="s">
        <v>235</v>
      </c>
      <c r="B16" s="18">
        <v>368051</v>
      </c>
      <c r="C16" s="52" t="s">
        <v>442</v>
      </c>
      <c r="D16" s="77" t="s">
        <v>12</v>
      </c>
      <c r="E16" s="65">
        <v>8</v>
      </c>
      <c r="F16" s="83">
        <f t="shared" si="0"/>
        <v>608</v>
      </c>
      <c r="G16" s="67" t="s">
        <v>464</v>
      </c>
      <c r="H16" s="83">
        <f t="shared" si="1"/>
        <v>608</v>
      </c>
      <c r="I16" s="65">
        <v>6</v>
      </c>
      <c r="J16" s="83">
        <f t="shared" si="2"/>
        <v>240</v>
      </c>
      <c r="K16" s="68">
        <v>6</v>
      </c>
      <c r="L16" s="83">
        <f t="shared" si="3"/>
        <v>240</v>
      </c>
      <c r="M16" s="68">
        <v>6</v>
      </c>
      <c r="N16" s="83">
        <f t="shared" si="4"/>
        <v>240</v>
      </c>
      <c r="O16" s="69">
        <v>6</v>
      </c>
      <c r="P16" s="83">
        <f t="shared" si="5"/>
        <v>900</v>
      </c>
      <c r="Q16" s="149">
        <f t="shared" si="6"/>
        <v>2836</v>
      </c>
      <c r="R16" s="70">
        <v>1</v>
      </c>
      <c r="S16" s="149">
        <f t="shared" si="7"/>
        <v>28.36</v>
      </c>
      <c r="T16" s="149">
        <f t="shared" si="8"/>
        <v>2864.36</v>
      </c>
      <c r="U16" s="65">
        <f>195+178</f>
        <v>373</v>
      </c>
      <c r="V16" s="65">
        <f t="shared" si="11"/>
        <v>24</v>
      </c>
      <c r="W16" s="65">
        <f t="shared" si="9"/>
        <v>349</v>
      </c>
      <c r="X16" s="154">
        <f t="shared" si="10"/>
        <v>2515.36</v>
      </c>
      <c r="Y16" s="154">
        <v>2550</v>
      </c>
      <c r="Z16" s="150"/>
    </row>
    <row r="17" spans="1:26" ht="13.5" customHeight="1">
      <c r="A17" s="18" t="s">
        <v>235</v>
      </c>
      <c r="B17" s="18">
        <v>368052</v>
      </c>
      <c r="C17" s="52" t="s">
        <v>299</v>
      </c>
      <c r="D17" s="77" t="s">
        <v>11</v>
      </c>
      <c r="E17" s="65">
        <v>0</v>
      </c>
      <c r="F17" s="83">
        <f t="shared" si="0"/>
        <v>0</v>
      </c>
      <c r="G17" s="67" t="s">
        <v>447</v>
      </c>
      <c r="H17" s="83">
        <f t="shared" si="1"/>
        <v>0</v>
      </c>
      <c r="I17" s="65">
        <v>6</v>
      </c>
      <c r="J17" s="83">
        <f t="shared" si="2"/>
        <v>240</v>
      </c>
      <c r="K17" s="68">
        <v>6</v>
      </c>
      <c r="L17" s="83">
        <f t="shared" si="3"/>
        <v>240</v>
      </c>
      <c r="M17" s="68">
        <v>6</v>
      </c>
      <c r="N17" s="83">
        <f t="shared" si="4"/>
        <v>240</v>
      </c>
      <c r="O17" s="69">
        <v>6</v>
      </c>
      <c r="P17" s="83">
        <f t="shared" si="5"/>
        <v>900</v>
      </c>
      <c r="Q17" s="149">
        <f t="shared" si="6"/>
        <v>1620</v>
      </c>
      <c r="R17" s="70">
        <v>1.5</v>
      </c>
      <c r="S17" s="149">
        <f t="shared" si="7"/>
        <v>24.3</v>
      </c>
      <c r="T17" s="149">
        <f t="shared" si="8"/>
        <v>1644.3</v>
      </c>
      <c r="U17" s="65">
        <f>23+179</f>
        <v>202</v>
      </c>
      <c r="V17" s="65">
        <f t="shared" si="11"/>
        <v>24</v>
      </c>
      <c r="W17" s="65">
        <f t="shared" si="9"/>
        <v>178</v>
      </c>
      <c r="X17" s="154">
        <f t="shared" si="10"/>
        <v>1466.3</v>
      </c>
      <c r="Y17" s="154">
        <v>1480</v>
      </c>
      <c r="Z17" s="150"/>
    </row>
    <row r="18" spans="1:26" ht="13.5" customHeight="1">
      <c r="A18" s="18" t="s">
        <v>235</v>
      </c>
      <c r="B18" s="18">
        <v>368053</v>
      </c>
      <c r="C18" s="52" t="s">
        <v>300</v>
      </c>
      <c r="D18" s="77" t="s">
        <v>10</v>
      </c>
      <c r="E18" s="65">
        <v>22</v>
      </c>
      <c r="F18" s="83">
        <f t="shared" si="0"/>
        <v>1672</v>
      </c>
      <c r="G18" s="65">
        <v>20</v>
      </c>
      <c r="H18" s="83">
        <f t="shared" si="1"/>
        <v>1520</v>
      </c>
      <c r="I18" s="68">
        <v>20</v>
      </c>
      <c r="J18" s="83">
        <f t="shared" si="2"/>
        <v>800</v>
      </c>
      <c r="K18" s="68">
        <v>18</v>
      </c>
      <c r="L18" s="83">
        <f t="shared" si="3"/>
        <v>720</v>
      </c>
      <c r="M18" s="69">
        <v>16</v>
      </c>
      <c r="N18" s="83">
        <f t="shared" si="4"/>
        <v>640</v>
      </c>
      <c r="O18" s="68">
        <v>32</v>
      </c>
      <c r="P18" s="83">
        <f t="shared" si="5"/>
        <v>4800</v>
      </c>
      <c r="Q18" s="149">
        <f t="shared" si="6"/>
        <v>10152</v>
      </c>
      <c r="R18" s="70">
        <v>1</v>
      </c>
      <c r="S18" s="149">
        <f t="shared" si="7"/>
        <v>101.52</v>
      </c>
      <c r="T18" s="149">
        <f t="shared" si="8"/>
        <v>10253.52</v>
      </c>
      <c r="U18" s="65">
        <f>64+883</f>
        <v>947</v>
      </c>
      <c r="V18" s="65">
        <f t="shared" si="11"/>
        <v>128</v>
      </c>
      <c r="W18" s="65">
        <f t="shared" si="9"/>
        <v>819</v>
      </c>
      <c r="X18" s="154">
        <f t="shared" si="10"/>
        <v>9434.52</v>
      </c>
      <c r="Y18" s="170">
        <v>9530</v>
      </c>
      <c r="Z18" s="169" t="s">
        <v>78</v>
      </c>
    </row>
    <row r="19" spans="1:26" ht="13.5" customHeight="1">
      <c r="A19" s="18" t="s">
        <v>228</v>
      </c>
      <c r="B19" s="18">
        <v>368054</v>
      </c>
      <c r="C19" s="56" t="s">
        <v>486</v>
      </c>
      <c r="D19" s="77"/>
      <c r="E19" s="68">
        <f>E16+E17+E18</f>
        <v>30</v>
      </c>
      <c r="F19" s="83">
        <f>E19*$F$6</f>
        <v>2280</v>
      </c>
      <c r="G19" s="68">
        <f>G16+G17+G18</f>
        <v>28</v>
      </c>
      <c r="H19" s="83">
        <f t="shared" si="1"/>
        <v>2128</v>
      </c>
      <c r="I19" s="68">
        <f>I16+I17+I18</f>
        <v>32</v>
      </c>
      <c r="J19" s="83">
        <f t="shared" si="2"/>
        <v>1280</v>
      </c>
      <c r="K19" s="68">
        <f>K16+K17+K18</f>
        <v>30</v>
      </c>
      <c r="L19" s="83">
        <f t="shared" si="3"/>
        <v>1200</v>
      </c>
      <c r="M19" s="68">
        <f>M16+M17+M18</f>
        <v>28</v>
      </c>
      <c r="N19" s="83">
        <f t="shared" si="4"/>
        <v>1120</v>
      </c>
      <c r="O19" s="68">
        <f>O16+O17+O18</f>
        <v>44</v>
      </c>
      <c r="P19" s="83">
        <f t="shared" si="5"/>
        <v>6600</v>
      </c>
      <c r="Q19" s="149">
        <f>F19+H19+J19+L19+N19+P19</f>
        <v>14608</v>
      </c>
      <c r="R19" s="70">
        <v>10</v>
      </c>
      <c r="S19" s="149">
        <f t="shared" si="7"/>
        <v>1460.8</v>
      </c>
      <c r="T19" s="149">
        <f>S19+Q19</f>
        <v>16068.8</v>
      </c>
      <c r="U19" s="65"/>
      <c r="V19" s="65"/>
      <c r="W19" s="65"/>
      <c r="X19" s="154"/>
      <c r="Y19" s="170"/>
      <c r="Z19" s="169"/>
    </row>
    <row r="20" spans="1:26" ht="13.5" customHeight="1">
      <c r="A20" s="18" t="s">
        <v>228</v>
      </c>
      <c r="B20" s="18">
        <v>368055</v>
      </c>
      <c r="C20" s="52" t="s">
        <v>301</v>
      </c>
      <c r="D20" s="76"/>
      <c r="E20" s="65">
        <v>2</v>
      </c>
      <c r="F20" s="83">
        <f t="shared" si="0"/>
        <v>152</v>
      </c>
      <c r="G20" s="65">
        <v>2</v>
      </c>
      <c r="H20" s="83">
        <f t="shared" si="1"/>
        <v>152</v>
      </c>
      <c r="I20" s="68">
        <v>2</v>
      </c>
      <c r="J20" s="83">
        <f t="shared" si="2"/>
        <v>80</v>
      </c>
      <c r="K20" s="68">
        <v>2</v>
      </c>
      <c r="L20" s="83">
        <f t="shared" si="3"/>
        <v>80</v>
      </c>
      <c r="M20" s="69">
        <v>2</v>
      </c>
      <c r="N20" s="83">
        <f t="shared" si="4"/>
        <v>80</v>
      </c>
      <c r="O20" s="68">
        <v>2</v>
      </c>
      <c r="P20" s="83">
        <f t="shared" si="5"/>
        <v>300</v>
      </c>
      <c r="Q20" s="149">
        <f t="shared" si="6"/>
        <v>844</v>
      </c>
      <c r="R20" s="70">
        <v>10</v>
      </c>
      <c r="S20" s="149">
        <f t="shared" si="7"/>
        <v>84.4</v>
      </c>
      <c r="T20" s="149">
        <f t="shared" si="8"/>
        <v>928.4</v>
      </c>
      <c r="U20" s="65">
        <f>34+62</f>
        <v>96</v>
      </c>
      <c r="V20" s="65">
        <f t="shared" si="11"/>
        <v>8</v>
      </c>
      <c r="W20" s="65">
        <f t="shared" si="9"/>
        <v>88</v>
      </c>
      <c r="X20" s="154">
        <f t="shared" si="10"/>
        <v>840.4</v>
      </c>
      <c r="Y20" s="154">
        <v>900</v>
      </c>
      <c r="Z20" s="150"/>
    </row>
    <row r="21" spans="1:26" ht="13.5" customHeight="1">
      <c r="A21" s="18" t="s">
        <v>228</v>
      </c>
      <c r="B21" s="18">
        <v>368056</v>
      </c>
      <c r="C21" s="52" t="s">
        <v>302</v>
      </c>
      <c r="D21" s="76"/>
      <c r="E21" s="65">
        <v>24</v>
      </c>
      <c r="F21" s="83">
        <f t="shared" si="0"/>
        <v>1824</v>
      </c>
      <c r="G21" s="65">
        <v>24</v>
      </c>
      <c r="H21" s="83">
        <f t="shared" si="1"/>
        <v>1824</v>
      </c>
      <c r="I21" s="68">
        <v>18</v>
      </c>
      <c r="J21" s="83">
        <f t="shared" si="2"/>
        <v>720</v>
      </c>
      <c r="K21" s="68">
        <v>18</v>
      </c>
      <c r="L21" s="83">
        <f t="shared" si="3"/>
        <v>720</v>
      </c>
      <c r="M21" s="69">
        <v>18</v>
      </c>
      <c r="N21" s="83">
        <f t="shared" si="4"/>
        <v>720</v>
      </c>
      <c r="O21" s="68">
        <v>18</v>
      </c>
      <c r="P21" s="83">
        <f t="shared" si="5"/>
        <v>2700</v>
      </c>
      <c r="Q21" s="149">
        <f t="shared" si="6"/>
        <v>8508</v>
      </c>
      <c r="R21" s="70">
        <v>10</v>
      </c>
      <c r="S21" s="149">
        <f t="shared" si="7"/>
        <v>850.8</v>
      </c>
      <c r="T21" s="149">
        <f t="shared" si="8"/>
        <v>9358.8</v>
      </c>
      <c r="U21" s="65">
        <f>499+531</f>
        <v>1030</v>
      </c>
      <c r="V21" s="65">
        <f t="shared" si="11"/>
        <v>72</v>
      </c>
      <c r="W21" s="65">
        <f t="shared" si="9"/>
        <v>958</v>
      </c>
      <c r="X21" s="154">
        <f t="shared" si="10"/>
        <v>8400.8</v>
      </c>
      <c r="Y21" s="154">
        <v>8600</v>
      </c>
      <c r="Z21" s="150"/>
    </row>
    <row r="22" spans="1:26" ht="13.5" customHeight="1">
      <c r="A22" s="18" t="s">
        <v>391</v>
      </c>
      <c r="B22" s="18">
        <v>368058</v>
      </c>
      <c r="C22" s="52" t="s">
        <v>130</v>
      </c>
      <c r="D22" s="76" t="s">
        <v>16</v>
      </c>
      <c r="E22" s="65">
        <v>1</v>
      </c>
      <c r="F22" s="83">
        <f t="shared" si="0"/>
        <v>76</v>
      </c>
      <c r="G22" s="65">
        <v>0</v>
      </c>
      <c r="H22" s="83">
        <f t="shared" si="1"/>
        <v>0</v>
      </c>
      <c r="I22" s="68">
        <v>1</v>
      </c>
      <c r="J22" s="83">
        <f t="shared" si="2"/>
        <v>40</v>
      </c>
      <c r="K22" s="68">
        <v>1</v>
      </c>
      <c r="L22" s="83">
        <f t="shared" si="3"/>
        <v>40</v>
      </c>
      <c r="M22" s="69">
        <v>1</v>
      </c>
      <c r="N22" s="83">
        <f t="shared" si="4"/>
        <v>40</v>
      </c>
      <c r="O22" s="68">
        <v>1</v>
      </c>
      <c r="P22" s="83">
        <f t="shared" si="5"/>
        <v>150</v>
      </c>
      <c r="Q22" s="149">
        <f t="shared" si="6"/>
        <v>346</v>
      </c>
      <c r="R22" s="70">
        <v>2</v>
      </c>
      <c r="S22" s="149">
        <f t="shared" si="7"/>
        <v>6.92</v>
      </c>
      <c r="T22" s="149">
        <f t="shared" si="8"/>
        <v>352.92</v>
      </c>
      <c r="U22" s="65">
        <v>25</v>
      </c>
      <c r="V22" s="65">
        <f>O22*4</f>
        <v>4</v>
      </c>
      <c r="W22" s="65">
        <f t="shared" si="9"/>
        <v>21</v>
      </c>
      <c r="X22" s="154">
        <f t="shared" si="10"/>
        <v>331.92</v>
      </c>
      <c r="Y22" s="154">
        <v>335</v>
      </c>
      <c r="Z22" s="150"/>
    </row>
    <row r="23" spans="1:26" ht="13.5" customHeight="1">
      <c r="A23" s="18" t="s">
        <v>391</v>
      </c>
      <c r="B23" s="18">
        <v>368059</v>
      </c>
      <c r="C23" s="52" t="s">
        <v>131</v>
      </c>
      <c r="D23" s="76" t="s">
        <v>18</v>
      </c>
      <c r="E23" s="65">
        <v>1</v>
      </c>
      <c r="F23" s="83">
        <f t="shared" si="0"/>
        <v>76</v>
      </c>
      <c r="G23" s="65">
        <v>0</v>
      </c>
      <c r="H23" s="83">
        <f t="shared" si="1"/>
        <v>0</v>
      </c>
      <c r="I23" s="68">
        <v>1</v>
      </c>
      <c r="J23" s="83">
        <f t="shared" si="2"/>
        <v>40</v>
      </c>
      <c r="K23" s="68">
        <v>1</v>
      </c>
      <c r="L23" s="83">
        <f t="shared" si="3"/>
        <v>40</v>
      </c>
      <c r="M23" s="69">
        <v>1</v>
      </c>
      <c r="N23" s="83">
        <f t="shared" si="4"/>
        <v>40</v>
      </c>
      <c r="O23" s="68">
        <v>1</v>
      </c>
      <c r="P23" s="83">
        <f t="shared" si="5"/>
        <v>150</v>
      </c>
      <c r="Q23" s="149">
        <f t="shared" si="6"/>
        <v>346</v>
      </c>
      <c r="R23" s="70">
        <v>2</v>
      </c>
      <c r="S23" s="149">
        <f t="shared" si="7"/>
        <v>6.92</v>
      </c>
      <c r="T23" s="149">
        <f t="shared" si="8"/>
        <v>352.92</v>
      </c>
      <c r="U23" s="65">
        <v>25</v>
      </c>
      <c r="V23" s="65">
        <f t="shared" si="11"/>
        <v>4</v>
      </c>
      <c r="W23" s="65">
        <f t="shared" si="9"/>
        <v>21</v>
      </c>
      <c r="X23" s="154">
        <f t="shared" si="10"/>
        <v>331.92</v>
      </c>
      <c r="Y23" s="154">
        <v>335</v>
      </c>
      <c r="Z23" s="150"/>
    </row>
    <row r="24" spans="1:26" ht="13.5" customHeight="1">
      <c r="A24" s="18" t="s">
        <v>391</v>
      </c>
      <c r="B24" s="18">
        <v>368060</v>
      </c>
      <c r="C24" s="52" t="s">
        <v>443</v>
      </c>
      <c r="D24" s="77" t="s">
        <v>568</v>
      </c>
      <c r="E24" s="65">
        <v>0</v>
      </c>
      <c r="F24" s="83">
        <f t="shared" si="0"/>
        <v>0</v>
      </c>
      <c r="G24" s="67" t="s">
        <v>447</v>
      </c>
      <c r="H24" s="83">
        <f t="shared" si="1"/>
        <v>0</v>
      </c>
      <c r="I24" s="65">
        <v>1</v>
      </c>
      <c r="J24" s="83">
        <f t="shared" si="2"/>
        <v>40</v>
      </c>
      <c r="K24" s="68">
        <v>1</v>
      </c>
      <c r="L24" s="83">
        <f t="shared" si="3"/>
        <v>40</v>
      </c>
      <c r="M24" s="68">
        <v>1</v>
      </c>
      <c r="N24" s="83">
        <f t="shared" si="4"/>
        <v>40</v>
      </c>
      <c r="O24" s="69">
        <v>1</v>
      </c>
      <c r="P24" s="83">
        <f t="shared" si="5"/>
        <v>150</v>
      </c>
      <c r="Q24" s="149">
        <f t="shared" si="6"/>
        <v>270</v>
      </c>
      <c r="R24" s="70">
        <v>2</v>
      </c>
      <c r="S24" s="149">
        <f t="shared" si="7"/>
        <v>5.4</v>
      </c>
      <c r="T24" s="149">
        <f t="shared" si="8"/>
        <v>275.4</v>
      </c>
      <c r="U24" s="65">
        <v>25</v>
      </c>
      <c r="V24" s="65">
        <f t="shared" si="11"/>
        <v>4</v>
      </c>
      <c r="W24" s="65">
        <f t="shared" si="9"/>
        <v>21</v>
      </c>
      <c r="X24" s="154">
        <f t="shared" si="10"/>
        <v>254.39999999999998</v>
      </c>
      <c r="Y24" s="154">
        <v>260</v>
      </c>
      <c r="Z24" s="150"/>
    </row>
    <row r="25" spans="1:26" ht="13.5" customHeight="1">
      <c r="A25" s="18" t="s">
        <v>228</v>
      </c>
      <c r="B25" s="18">
        <v>368069</v>
      </c>
      <c r="C25" s="52" t="s">
        <v>4</v>
      </c>
      <c r="D25" s="76"/>
      <c r="E25" s="65">
        <v>50</v>
      </c>
      <c r="F25" s="83">
        <f t="shared" si="0"/>
        <v>3800</v>
      </c>
      <c r="G25" s="65">
        <v>46</v>
      </c>
      <c r="H25" s="83">
        <f t="shared" si="1"/>
        <v>3496</v>
      </c>
      <c r="I25" s="68">
        <v>56</v>
      </c>
      <c r="J25" s="83">
        <f t="shared" si="2"/>
        <v>2240</v>
      </c>
      <c r="K25" s="68">
        <v>56</v>
      </c>
      <c r="L25" s="83">
        <f t="shared" si="3"/>
        <v>2240</v>
      </c>
      <c r="M25" s="69">
        <v>54</v>
      </c>
      <c r="N25" s="83">
        <f t="shared" si="4"/>
        <v>2160</v>
      </c>
      <c r="O25" s="68">
        <v>96</v>
      </c>
      <c r="P25" s="83">
        <f t="shared" si="5"/>
        <v>14400</v>
      </c>
      <c r="Q25" s="149">
        <f t="shared" si="6"/>
        <v>28336</v>
      </c>
      <c r="R25" s="70">
        <v>10</v>
      </c>
      <c r="S25" s="149">
        <f t="shared" si="7"/>
        <v>2833.6</v>
      </c>
      <c r="T25" s="149">
        <f t="shared" si="8"/>
        <v>31169.6</v>
      </c>
      <c r="U25" s="65">
        <f>1339+2646</f>
        <v>3985</v>
      </c>
      <c r="V25" s="65">
        <f t="shared" si="11"/>
        <v>384</v>
      </c>
      <c r="W25" s="65">
        <f t="shared" si="9"/>
        <v>3601</v>
      </c>
      <c r="X25" s="154">
        <f t="shared" si="10"/>
        <v>27568.6</v>
      </c>
      <c r="Y25" s="154">
        <v>28000</v>
      </c>
      <c r="Z25" s="150"/>
    </row>
    <row r="26" spans="1:26" ht="15.75" customHeight="1">
      <c r="A26" s="18" t="s">
        <v>228</v>
      </c>
      <c r="B26" s="18">
        <v>368070</v>
      </c>
      <c r="C26" s="52" t="s">
        <v>303</v>
      </c>
      <c r="D26" s="76"/>
      <c r="E26" s="65">
        <v>50</v>
      </c>
      <c r="F26" s="83">
        <f t="shared" si="0"/>
        <v>3800</v>
      </c>
      <c r="G26" s="65">
        <v>46</v>
      </c>
      <c r="H26" s="83">
        <f t="shared" si="1"/>
        <v>3496</v>
      </c>
      <c r="I26" s="68">
        <v>56</v>
      </c>
      <c r="J26" s="83">
        <f t="shared" si="2"/>
        <v>2240</v>
      </c>
      <c r="K26" s="68">
        <v>56</v>
      </c>
      <c r="L26" s="83">
        <f t="shared" si="3"/>
        <v>2240</v>
      </c>
      <c r="M26" s="69">
        <v>54</v>
      </c>
      <c r="N26" s="83">
        <f t="shared" si="4"/>
        <v>2160</v>
      </c>
      <c r="O26" s="68">
        <v>96</v>
      </c>
      <c r="P26" s="83">
        <f t="shared" si="5"/>
        <v>14400</v>
      </c>
      <c r="Q26" s="149">
        <f t="shared" si="6"/>
        <v>28336</v>
      </c>
      <c r="R26" s="70">
        <v>10</v>
      </c>
      <c r="S26" s="149">
        <f t="shared" si="7"/>
        <v>2833.6</v>
      </c>
      <c r="T26" s="149">
        <f t="shared" si="8"/>
        <v>31169.6</v>
      </c>
      <c r="U26" s="65">
        <f>2646+384</f>
        <v>3030</v>
      </c>
      <c r="V26" s="65">
        <f t="shared" si="11"/>
        <v>384</v>
      </c>
      <c r="W26" s="65">
        <f t="shared" si="9"/>
        <v>2646</v>
      </c>
      <c r="X26" s="154">
        <f t="shared" si="10"/>
        <v>28523.6</v>
      </c>
      <c r="Y26" s="154">
        <v>29000</v>
      </c>
      <c r="Z26" s="150"/>
    </row>
    <row r="27" spans="1:26" s="53" customFormat="1" ht="13.5" customHeight="1">
      <c r="A27" s="42" t="s">
        <v>235</v>
      </c>
      <c r="B27" s="42">
        <v>368074</v>
      </c>
      <c r="C27" s="53" t="s">
        <v>1</v>
      </c>
      <c r="D27" s="157" t="s">
        <v>14</v>
      </c>
      <c r="E27" s="74">
        <v>4</v>
      </c>
      <c r="F27" s="158">
        <f t="shared" si="0"/>
        <v>304</v>
      </c>
      <c r="G27" s="74">
        <v>4</v>
      </c>
      <c r="H27" s="158">
        <f t="shared" si="1"/>
        <v>304</v>
      </c>
      <c r="I27" s="69">
        <v>2</v>
      </c>
      <c r="J27" s="158">
        <f t="shared" si="2"/>
        <v>80</v>
      </c>
      <c r="K27" s="69">
        <v>2</v>
      </c>
      <c r="L27" s="158">
        <f t="shared" si="3"/>
        <v>80</v>
      </c>
      <c r="M27" s="69">
        <v>2</v>
      </c>
      <c r="N27" s="158">
        <f t="shared" si="4"/>
        <v>80</v>
      </c>
      <c r="O27" s="69">
        <v>2</v>
      </c>
      <c r="P27" s="158">
        <f t="shared" si="5"/>
        <v>300</v>
      </c>
      <c r="Q27" s="156">
        <f t="shared" si="6"/>
        <v>1148</v>
      </c>
      <c r="R27" s="71">
        <v>2</v>
      </c>
      <c r="S27" s="156">
        <f t="shared" si="7"/>
        <v>22.96</v>
      </c>
      <c r="T27" s="156">
        <f t="shared" si="8"/>
        <v>1170.96</v>
      </c>
      <c r="U27" s="74">
        <f>94+16</f>
        <v>110</v>
      </c>
      <c r="V27" s="74">
        <f t="shared" si="11"/>
        <v>8</v>
      </c>
      <c r="W27" s="74">
        <f t="shared" si="9"/>
        <v>102</v>
      </c>
      <c r="X27" s="159">
        <f t="shared" si="10"/>
        <v>1068.96</v>
      </c>
      <c r="Y27" s="159">
        <v>1100</v>
      </c>
      <c r="Z27" s="160"/>
    </row>
    <row r="28" spans="1:26" s="53" customFormat="1" ht="13.5" customHeight="1">
      <c r="A28" s="42" t="s">
        <v>235</v>
      </c>
      <c r="B28" s="42">
        <v>368075</v>
      </c>
      <c r="C28" s="53" t="s">
        <v>0</v>
      </c>
      <c r="D28" s="161" t="s">
        <v>13</v>
      </c>
      <c r="E28" s="74">
        <v>0</v>
      </c>
      <c r="F28" s="158">
        <f t="shared" si="0"/>
        <v>0</v>
      </c>
      <c r="G28" s="73" t="s">
        <v>447</v>
      </c>
      <c r="H28" s="158">
        <f t="shared" si="1"/>
        <v>0</v>
      </c>
      <c r="I28" s="74">
        <v>2</v>
      </c>
      <c r="J28" s="158">
        <f t="shared" si="2"/>
        <v>80</v>
      </c>
      <c r="K28" s="69">
        <v>2</v>
      </c>
      <c r="L28" s="158">
        <f t="shared" si="3"/>
        <v>80</v>
      </c>
      <c r="M28" s="69">
        <v>2</v>
      </c>
      <c r="N28" s="158">
        <f t="shared" si="4"/>
        <v>80</v>
      </c>
      <c r="O28" s="69">
        <v>2</v>
      </c>
      <c r="P28" s="158">
        <f t="shared" si="5"/>
        <v>300</v>
      </c>
      <c r="Q28" s="156">
        <f t="shared" si="6"/>
        <v>540</v>
      </c>
      <c r="R28" s="71">
        <v>2</v>
      </c>
      <c r="S28" s="156">
        <f t="shared" si="7"/>
        <v>10.8</v>
      </c>
      <c r="T28" s="156">
        <f t="shared" si="8"/>
        <v>550.8</v>
      </c>
      <c r="U28" s="74">
        <f>84+16</f>
        <v>100</v>
      </c>
      <c r="V28" s="74">
        <f t="shared" si="11"/>
        <v>8</v>
      </c>
      <c r="W28" s="74">
        <f t="shared" si="9"/>
        <v>92</v>
      </c>
      <c r="X28" s="159">
        <f t="shared" si="10"/>
        <v>458.79999999999995</v>
      </c>
      <c r="Y28" s="159">
        <v>470</v>
      </c>
      <c r="Z28" s="160"/>
    </row>
    <row r="29" spans="1:26" ht="13.5" customHeight="1">
      <c r="A29" s="18" t="s">
        <v>228</v>
      </c>
      <c r="B29" s="18">
        <v>368076</v>
      </c>
      <c r="C29" s="52" t="s">
        <v>304</v>
      </c>
      <c r="D29" s="76"/>
      <c r="E29" s="65">
        <v>26</v>
      </c>
      <c r="F29" s="83">
        <f t="shared" si="0"/>
        <v>1976</v>
      </c>
      <c r="G29" s="65">
        <v>26</v>
      </c>
      <c r="H29" s="83">
        <f t="shared" si="1"/>
        <v>1976</v>
      </c>
      <c r="I29" s="68">
        <v>26</v>
      </c>
      <c r="J29" s="83">
        <f t="shared" si="2"/>
        <v>1040</v>
      </c>
      <c r="K29" s="68">
        <v>26</v>
      </c>
      <c r="L29" s="83">
        <f t="shared" si="3"/>
        <v>1040</v>
      </c>
      <c r="M29" s="69">
        <v>26</v>
      </c>
      <c r="N29" s="83">
        <f t="shared" si="4"/>
        <v>1040</v>
      </c>
      <c r="O29" s="68">
        <v>26</v>
      </c>
      <c r="P29" s="83">
        <f t="shared" si="5"/>
        <v>3900</v>
      </c>
      <c r="Q29" s="149">
        <f t="shared" si="6"/>
        <v>10972</v>
      </c>
      <c r="R29" s="70">
        <v>8</v>
      </c>
      <c r="S29" s="149">
        <f t="shared" si="7"/>
        <v>877.76</v>
      </c>
      <c r="T29" s="149">
        <f t="shared" si="8"/>
        <v>11849.76</v>
      </c>
      <c r="U29" s="65">
        <f>305+820</f>
        <v>1125</v>
      </c>
      <c r="V29" s="65">
        <f t="shared" si="11"/>
        <v>104</v>
      </c>
      <c r="W29" s="65">
        <f t="shared" si="9"/>
        <v>1021</v>
      </c>
      <c r="X29" s="154">
        <f t="shared" si="10"/>
        <v>10828.76</v>
      </c>
      <c r="Y29" s="154">
        <v>11000</v>
      </c>
      <c r="Z29" s="150"/>
    </row>
    <row r="30" spans="1:26" ht="13.5" customHeight="1">
      <c r="A30" s="18" t="s">
        <v>228</v>
      </c>
      <c r="B30" s="18">
        <v>368077</v>
      </c>
      <c r="C30" s="52" t="s">
        <v>305</v>
      </c>
      <c r="D30" s="76"/>
      <c r="E30" s="65">
        <v>8</v>
      </c>
      <c r="F30" s="83">
        <f t="shared" si="0"/>
        <v>608</v>
      </c>
      <c r="G30" s="65">
        <v>8</v>
      </c>
      <c r="H30" s="83">
        <f t="shared" si="1"/>
        <v>608</v>
      </c>
      <c r="I30" s="68">
        <v>6</v>
      </c>
      <c r="J30" s="83">
        <f t="shared" si="2"/>
        <v>240</v>
      </c>
      <c r="K30" s="68">
        <v>6</v>
      </c>
      <c r="L30" s="83">
        <f t="shared" si="3"/>
        <v>240</v>
      </c>
      <c r="M30" s="69">
        <v>6</v>
      </c>
      <c r="N30" s="83">
        <f t="shared" si="4"/>
        <v>240</v>
      </c>
      <c r="O30" s="68">
        <v>6</v>
      </c>
      <c r="P30" s="83">
        <f t="shared" si="5"/>
        <v>900</v>
      </c>
      <c r="Q30" s="149">
        <f t="shared" si="6"/>
        <v>2836</v>
      </c>
      <c r="R30" s="70">
        <v>10</v>
      </c>
      <c r="S30" s="149">
        <f t="shared" si="7"/>
        <v>283.6</v>
      </c>
      <c r="T30" s="149">
        <f t="shared" si="8"/>
        <v>3119.6</v>
      </c>
      <c r="U30" s="65">
        <f>96+180</f>
        <v>276</v>
      </c>
      <c r="V30" s="65">
        <f t="shared" si="11"/>
        <v>24</v>
      </c>
      <c r="W30" s="65">
        <f t="shared" si="9"/>
        <v>252</v>
      </c>
      <c r="X30" s="154">
        <f t="shared" si="10"/>
        <v>2867.6</v>
      </c>
      <c r="Y30" s="154">
        <v>3000</v>
      </c>
      <c r="Z30" s="150"/>
    </row>
    <row r="31" spans="1:26" ht="13.5" customHeight="1">
      <c r="A31" s="18" t="s">
        <v>228</v>
      </c>
      <c r="B31" s="18">
        <v>368078</v>
      </c>
      <c r="C31" s="52" t="s">
        <v>306</v>
      </c>
      <c r="D31" s="76"/>
      <c r="E31" s="70">
        <f>2/6</f>
        <v>0.3333333333333333</v>
      </c>
      <c r="F31" s="89">
        <f t="shared" si="0"/>
        <v>25.333333333333332</v>
      </c>
      <c r="G31" s="70">
        <f>2/6</f>
        <v>0.3333333333333333</v>
      </c>
      <c r="H31" s="89">
        <f t="shared" si="1"/>
        <v>25.333333333333332</v>
      </c>
      <c r="I31" s="70">
        <f>2/6</f>
        <v>0.3333333333333333</v>
      </c>
      <c r="J31" s="89">
        <f t="shared" si="2"/>
        <v>13.333333333333332</v>
      </c>
      <c r="K31" s="70">
        <f>2/6</f>
        <v>0.3333333333333333</v>
      </c>
      <c r="L31" s="89">
        <f t="shared" si="3"/>
        <v>13.333333333333332</v>
      </c>
      <c r="M31" s="71">
        <f>2/6</f>
        <v>0.3333333333333333</v>
      </c>
      <c r="N31" s="89">
        <f t="shared" si="4"/>
        <v>13.333333333333332</v>
      </c>
      <c r="O31" s="70">
        <f>2/6</f>
        <v>0.3333333333333333</v>
      </c>
      <c r="P31" s="89">
        <f t="shared" si="5"/>
        <v>50</v>
      </c>
      <c r="Q31" s="149">
        <f t="shared" si="6"/>
        <v>140.66666666666666</v>
      </c>
      <c r="R31" s="70">
        <v>10</v>
      </c>
      <c r="S31" s="149">
        <f t="shared" si="7"/>
        <v>14.066666666666665</v>
      </c>
      <c r="T31" s="149">
        <f t="shared" si="8"/>
        <v>154.73333333333332</v>
      </c>
      <c r="U31" s="65">
        <v>0</v>
      </c>
      <c r="V31" s="155">
        <f t="shared" si="11"/>
        <v>1.3333333333333333</v>
      </c>
      <c r="W31" s="155">
        <f t="shared" si="9"/>
        <v>-1.3333333333333333</v>
      </c>
      <c r="X31" s="154">
        <f t="shared" si="10"/>
        <v>156.06666666666666</v>
      </c>
      <c r="Y31" s="154">
        <v>160</v>
      </c>
      <c r="Z31" s="150"/>
    </row>
    <row r="32" spans="1:26" ht="13.5" customHeight="1">
      <c r="A32" s="18" t="s">
        <v>235</v>
      </c>
      <c r="B32" s="18">
        <v>368080</v>
      </c>
      <c r="C32" s="52" t="s">
        <v>308</v>
      </c>
      <c r="D32" s="76" t="s">
        <v>8</v>
      </c>
      <c r="E32" s="65">
        <v>4</v>
      </c>
      <c r="F32" s="83">
        <f t="shared" si="0"/>
        <v>304</v>
      </c>
      <c r="G32" s="65">
        <v>4</v>
      </c>
      <c r="H32" s="83">
        <f t="shared" si="1"/>
        <v>304</v>
      </c>
      <c r="I32" s="68">
        <v>2</v>
      </c>
      <c r="J32" s="83">
        <f t="shared" si="2"/>
        <v>80</v>
      </c>
      <c r="K32" s="68">
        <v>2</v>
      </c>
      <c r="L32" s="83">
        <f t="shared" si="3"/>
        <v>80</v>
      </c>
      <c r="M32" s="69">
        <v>2</v>
      </c>
      <c r="N32" s="83">
        <f t="shared" si="4"/>
        <v>80</v>
      </c>
      <c r="O32" s="68">
        <v>2</v>
      </c>
      <c r="P32" s="83">
        <f t="shared" si="5"/>
        <v>300</v>
      </c>
      <c r="Q32" s="149">
        <f t="shared" si="6"/>
        <v>1148</v>
      </c>
      <c r="R32" s="70">
        <v>2</v>
      </c>
      <c r="S32" s="149">
        <f t="shared" si="7"/>
        <v>22.96</v>
      </c>
      <c r="T32" s="149">
        <f t="shared" si="8"/>
        <v>1170.96</v>
      </c>
      <c r="U32" s="65">
        <f>1144+58</f>
        <v>1202</v>
      </c>
      <c r="V32" s="65">
        <f t="shared" si="11"/>
        <v>8</v>
      </c>
      <c r="W32" s="65">
        <f t="shared" si="9"/>
        <v>1194</v>
      </c>
      <c r="X32" s="154">
        <f>T32-W32</f>
        <v>-23.039999999999964</v>
      </c>
      <c r="Y32" s="154">
        <v>0</v>
      </c>
      <c r="Z32" s="150" t="s">
        <v>100</v>
      </c>
    </row>
    <row r="33" spans="1:26" ht="13.5" customHeight="1">
      <c r="A33" s="18" t="s">
        <v>235</v>
      </c>
      <c r="B33" s="18">
        <v>368081</v>
      </c>
      <c r="C33" s="52" t="s">
        <v>309</v>
      </c>
      <c r="D33" s="76" t="s">
        <v>8</v>
      </c>
      <c r="E33" s="65">
        <v>4</v>
      </c>
      <c r="F33" s="83">
        <f t="shared" si="0"/>
        <v>304</v>
      </c>
      <c r="G33" s="65">
        <v>4</v>
      </c>
      <c r="H33" s="83">
        <f t="shared" si="1"/>
        <v>304</v>
      </c>
      <c r="I33" s="68">
        <v>2</v>
      </c>
      <c r="J33" s="83">
        <f t="shared" si="2"/>
        <v>80</v>
      </c>
      <c r="K33" s="68">
        <v>2</v>
      </c>
      <c r="L33" s="83">
        <f t="shared" si="3"/>
        <v>80</v>
      </c>
      <c r="M33" s="69">
        <v>2</v>
      </c>
      <c r="N33" s="83">
        <f t="shared" si="4"/>
        <v>80</v>
      </c>
      <c r="O33" s="68">
        <v>2</v>
      </c>
      <c r="P33" s="83">
        <f t="shared" si="5"/>
        <v>300</v>
      </c>
      <c r="Q33" s="149">
        <f t="shared" si="6"/>
        <v>1148</v>
      </c>
      <c r="R33" s="70">
        <v>2</v>
      </c>
      <c r="S33" s="149">
        <f t="shared" si="7"/>
        <v>22.96</v>
      </c>
      <c r="T33" s="149">
        <f t="shared" si="8"/>
        <v>1170.96</v>
      </c>
      <c r="U33" s="65">
        <f>1145+58</f>
        <v>1203</v>
      </c>
      <c r="V33" s="65">
        <f t="shared" si="11"/>
        <v>8</v>
      </c>
      <c r="W33" s="65">
        <f t="shared" si="9"/>
        <v>1195</v>
      </c>
      <c r="X33" s="154">
        <f t="shared" si="10"/>
        <v>-24.039999999999964</v>
      </c>
      <c r="Y33" s="154">
        <v>0</v>
      </c>
      <c r="Z33" s="150" t="s">
        <v>100</v>
      </c>
    </row>
    <row r="34" spans="1:26" ht="13.5" customHeight="1">
      <c r="A34" s="18" t="s">
        <v>235</v>
      </c>
      <c r="B34" s="18">
        <v>368082</v>
      </c>
      <c r="C34" s="52" t="s">
        <v>310</v>
      </c>
      <c r="D34" s="76" t="s">
        <v>8</v>
      </c>
      <c r="E34" s="65">
        <v>8</v>
      </c>
      <c r="F34" s="83">
        <f t="shared" si="0"/>
        <v>608</v>
      </c>
      <c r="G34" s="65">
        <v>8</v>
      </c>
      <c r="H34" s="83">
        <f t="shared" si="1"/>
        <v>608</v>
      </c>
      <c r="I34" s="68">
        <v>4</v>
      </c>
      <c r="J34" s="83">
        <f t="shared" si="2"/>
        <v>160</v>
      </c>
      <c r="K34" s="68">
        <v>4</v>
      </c>
      <c r="L34" s="83">
        <f t="shared" si="3"/>
        <v>160</v>
      </c>
      <c r="M34" s="69">
        <v>4</v>
      </c>
      <c r="N34" s="83">
        <f t="shared" si="4"/>
        <v>160</v>
      </c>
      <c r="O34" s="68">
        <v>4</v>
      </c>
      <c r="P34" s="83">
        <f t="shared" si="5"/>
        <v>600</v>
      </c>
      <c r="Q34" s="149">
        <f t="shared" si="6"/>
        <v>2296</v>
      </c>
      <c r="R34" s="70">
        <v>2</v>
      </c>
      <c r="S34" s="149">
        <f t="shared" si="7"/>
        <v>45.92</v>
      </c>
      <c r="T34" s="149">
        <f t="shared" si="8"/>
        <v>2341.92</v>
      </c>
      <c r="U34" s="65">
        <f>2290+116</f>
        <v>2406</v>
      </c>
      <c r="V34" s="65">
        <f t="shared" si="11"/>
        <v>16</v>
      </c>
      <c r="W34" s="65">
        <f t="shared" si="9"/>
        <v>2390</v>
      </c>
      <c r="X34" s="154">
        <f t="shared" si="10"/>
        <v>-48.07999999999993</v>
      </c>
      <c r="Y34" s="154">
        <v>0</v>
      </c>
      <c r="Z34" s="150" t="s">
        <v>100</v>
      </c>
    </row>
    <row r="35" spans="1:26" ht="13.5" customHeight="1">
      <c r="A35" s="18" t="s">
        <v>235</v>
      </c>
      <c r="B35" s="18">
        <v>368083</v>
      </c>
      <c r="C35" s="52" t="s">
        <v>311</v>
      </c>
      <c r="D35" s="77" t="s">
        <v>9</v>
      </c>
      <c r="E35" s="65">
        <v>0</v>
      </c>
      <c r="F35" s="83">
        <f t="shared" si="0"/>
        <v>0</v>
      </c>
      <c r="G35" s="67" t="s">
        <v>447</v>
      </c>
      <c r="H35" s="83">
        <f t="shared" si="1"/>
        <v>0</v>
      </c>
      <c r="I35" s="65">
        <v>1</v>
      </c>
      <c r="J35" s="83">
        <f t="shared" si="2"/>
        <v>40</v>
      </c>
      <c r="K35" s="68">
        <v>1</v>
      </c>
      <c r="L35" s="83">
        <f t="shared" si="3"/>
        <v>40</v>
      </c>
      <c r="M35" s="68">
        <v>1</v>
      </c>
      <c r="N35" s="83">
        <f t="shared" si="4"/>
        <v>40</v>
      </c>
      <c r="O35" s="69">
        <v>1</v>
      </c>
      <c r="P35" s="83">
        <f t="shared" si="5"/>
        <v>150</v>
      </c>
      <c r="Q35" s="149">
        <f t="shared" si="6"/>
        <v>270</v>
      </c>
      <c r="R35" s="70">
        <v>2</v>
      </c>
      <c r="S35" s="149">
        <f t="shared" si="7"/>
        <v>5.4</v>
      </c>
      <c r="T35" s="149">
        <f t="shared" si="8"/>
        <v>275.4</v>
      </c>
      <c r="U35" s="65">
        <f>240+29</f>
        <v>269</v>
      </c>
      <c r="V35" s="65">
        <f t="shared" si="11"/>
        <v>4</v>
      </c>
      <c r="W35" s="65">
        <f t="shared" si="9"/>
        <v>265</v>
      </c>
      <c r="X35" s="154">
        <f t="shared" si="10"/>
        <v>10.399999999999977</v>
      </c>
      <c r="Y35" s="154">
        <v>21</v>
      </c>
      <c r="Z35" s="150" t="s">
        <v>100</v>
      </c>
    </row>
    <row r="36" spans="1:26" ht="13.5" customHeight="1">
      <c r="A36" s="18" t="s">
        <v>235</v>
      </c>
      <c r="B36" s="18">
        <v>368084</v>
      </c>
      <c r="C36" s="52" t="s">
        <v>312</v>
      </c>
      <c r="D36" s="77" t="s">
        <v>9</v>
      </c>
      <c r="E36" s="65">
        <v>0</v>
      </c>
      <c r="F36" s="83">
        <f t="shared" si="0"/>
        <v>0</v>
      </c>
      <c r="G36" s="67" t="s">
        <v>447</v>
      </c>
      <c r="H36" s="83">
        <f t="shared" si="1"/>
        <v>0</v>
      </c>
      <c r="I36" s="65">
        <v>1</v>
      </c>
      <c r="J36" s="83">
        <f t="shared" si="2"/>
        <v>40</v>
      </c>
      <c r="K36" s="68">
        <v>1</v>
      </c>
      <c r="L36" s="83">
        <f t="shared" si="3"/>
        <v>40</v>
      </c>
      <c r="M36" s="68">
        <v>1</v>
      </c>
      <c r="N36" s="83">
        <f t="shared" si="4"/>
        <v>40</v>
      </c>
      <c r="O36" s="69">
        <v>1</v>
      </c>
      <c r="P36" s="83">
        <f t="shared" si="5"/>
        <v>150</v>
      </c>
      <c r="Q36" s="149">
        <f t="shared" si="6"/>
        <v>270</v>
      </c>
      <c r="R36" s="70">
        <v>2</v>
      </c>
      <c r="S36" s="149">
        <f t="shared" si="7"/>
        <v>5.4</v>
      </c>
      <c r="T36" s="149">
        <f t="shared" si="8"/>
        <v>275.4</v>
      </c>
      <c r="U36" s="65">
        <f>240+29</f>
        <v>269</v>
      </c>
      <c r="V36" s="65">
        <f t="shared" si="11"/>
        <v>4</v>
      </c>
      <c r="W36" s="65">
        <f t="shared" si="9"/>
        <v>265</v>
      </c>
      <c r="X36" s="154">
        <f t="shared" si="10"/>
        <v>10.399999999999977</v>
      </c>
      <c r="Y36" s="154">
        <v>21</v>
      </c>
      <c r="Z36" s="150" t="s">
        <v>100</v>
      </c>
    </row>
    <row r="37" spans="1:26" ht="13.5" customHeight="1">
      <c r="A37" s="18" t="s">
        <v>235</v>
      </c>
      <c r="B37" s="18">
        <v>368085</v>
      </c>
      <c r="C37" s="52" t="s">
        <v>313</v>
      </c>
      <c r="D37" s="77" t="s">
        <v>9</v>
      </c>
      <c r="E37" s="65">
        <v>0</v>
      </c>
      <c r="F37" s="83">
        <f t="shared" si="0"/>
        <v>0</v>
      </c>
      <c r="G37" s="67" t="s">
        <v>447</v>
      </c>
      <c r="H37" s="83">
        <f t="shared" si="1"/>
        <v>0</v>
      </c>
      <c r="I37" s="65">
        <v>2</v>
      </c>
      <c r="J37" s="83">
        <f t="shared" si="2"/>
        <v>80</v>
      </c>
      <c r="K37" s="68">
        <v>2</v>
      </c>
      <c r="L37" s="83">
        <f t="shared" si="3"/>
        <v>80</v>
      </c>
      <c r="M37" s="68">
        <v>2</v>
      </c>
      <c r="N37" s="83">
        <f t="shared" si="4"/>
        <v>80</v>
      </c>
      <c r="O37" s="69">
        <v>2</v>
      </c>
      <c r="P37" s="83">
        <f t="shared" si="5"/>
        <v>300</v>
      </c>
      <c r="Q37" s="149">
        <f t="shared" si="6"/>
        <v>540</v>
      </c>
      <c r="R37" s="70">
        <v>2</v>
      </c>
      <c r="S37" s="149">
        <f t="shared" si="7"/>
        <v>10.8</v>
      </c>
      <c r="T37" s="149">
        <f t="shared" si="8"/>
        <v>550.8</v>
      </c>
      <c r="U37" s="65">
        <f>478+58</f>
        <v>536</v>
      </c>
      <c r="V37" s="65">
        <f t="shared" si="11"/>
        <v>8</v>
      </c>
      <c r="W37" s="65">
        <f t="shared" si="9"/>
        <v>528</v>
      </c>
      <c r="X37" s="154">
        <f t="shared" si="10"/>
        <v>22.799999999999955</v>
      </c>
      <c r="Y37" s="154">
        <v>30</v>
      </c>
      <c r="Z37" s="150" t="s">
        <v>100</v>
      </c>
    </row>
    <row r="38" spans="1:26" ht="13.5" customHeight="1">
      <c r="A38" s="18" t="s">
        <v>228</v>
      </c>
      <c r="B38" s="18">
        <v>368106</v>
      </c>
      <c r="C38" s="64" t="s">
        <v>466</v>
      </c>
      <c r="D38" s="78"/>
      <c r="E38" s="72">
        <v>8</v>
      </c>
      <c r="F38" s="83">
        <f t="shared" si="0"/>
        <v>608</v>
      </c>
      <c r="G38" s="65">
        <v>8</v>
      </c>
      <c r="H38" s="83">
        <f t="shared" si="1"/>
        <v>608</v>
      </c>
      <c r="I38" s="65">
        <v>6</v>
      </c>
      <c r="J38" s="83">
        <f t="shared" si="2"/>
        <v>240</v>
      </c>
      <c r="K38" s="68">
        <v>6</v>
      </c>
      <c r="L38" s="83">
        <f t="shared" si="3"/>
        <v>240</v>
      </c>
      <c r="M38" s="68">
        <v>6</v>
      </c>
      <c r="N38" s="83">
        <f t="shared" si="4"/>
        <v>240</v>
      </c>
      <c r="O38" s="69">
        <v>6</v>
      </c>
      <c r="P38" s="83">
        <f t="shared" si="5"/>
        <v>900</v>
      </c>
      <c r="Q38" s="149">
        <f t="shared" si="6"/>
        <v>2836</v>
      </c>
      <c r="R38" s="70">
        <v>10</v>
      </c>
      <c r="S38" s="149">
        <f t="shared" si="7"/>
        <v>283.6</v>
      </c>
      <c r="T38" s="149">
        <f t="shared" si="8"/>
        <v>3119.6</v>
      </c>
      <c r="U38" s="65">
        <f>681+183</f>
        <v>864</v>
      </c>
      <c r="V38" s="65">
        <f t="shared" si="11"/>
        <v>24</v>
      </c>
      <c r="W38" s="65">
        <f t="shared" si="9"/>
        <v>840</v>
      </c>
      <c r="X38" s="154">
        <f t="shared" si="10"/>
        <v>2279.6</v>
      </c>
      <c r="Y38" s="154">
        <v>2400</v>
      </c>
      <c r="Z38" s="150"/>
    </row>
    <row r="39" spans="1:26" ht="13.5" customHeight="1">
      <c r="A39" s="18" t="s">
        <v>235</v>
      </c>
      <c r="B39" s="18">
        <v>368191</v>
      </c>
      <c r="C39" s="52" t="s">
        <v>2</v>
      </c>
      <c r="D39" s="77" t="s">
        <v>19</v>
      </c>
      <c r="E39" s="74">
        <v>0</v>
      </c>
      <c r="F39" s="83">
        <f t="shared" si="0"/>
        <v>0</v>
      </c>
      <c r="G39" s="73" t="s">
        <v>447</v>
      </c>
      <c r="H39" s="83">
        <f t="shared" si="1"/>
        <v>0</v>
      </c>
      <c r="I39" s="65">
        <v>4</v>
      </c>
      <c r="J39" s="83">
        <f t="shared" si="2"/>
        <v>160</v>
      </c>
      <c r="K39" s="68">
        <v>4</v>
      </c>
      <c r="L39" s="83">
        <f t="shared" si="3"/>
        <v>160</v>
      </c>
      <c r="M39" s="68">
        <v>4</v>
      </c>
      <c r="N39" s="83">
        <f t="shared" si="4"/>
        <v>160</v>
      </c>
      <c r="O39" s="69">
        <v>0</v>
      </c>
      <c r="P39" s="83">
        <f>O39*P$6</f>
        <v>0</v>
      </c>
      <c r="Q39" s="149">
        <f>F39+H39+J39+L39+N39+P39</f>
        <v>480</v>
      </c>
      <c r="R39" s="70">
        <v>2</v>
      </c>
      <c r="S39" s="149">
        <f t="shared" si="7"/>
        <v>9.6</v>
      </c>
      <c r="T39" s="149">
        <f t="shared" si="8"/>
        <v>489.6</v>
      </c>
      <c r="U39" s="65">
        <f>98+16</f>
        <v>114</v>
      </c>
      <c r="V39" s="65">
        <f t="shared" si="11"/>
        <v>0</v>
      </c>
      <c r="W39" s="65">
        <f t="shared" si="9"/>
        <v>114</v>
      </c>
      <c r="X39" s="154">
        <f t="shared" si="10"/>
        <v>375.6</v>
      </c>
      <c r="Y39" s="154">
        <v>400</v>
      </c>
      <c r="Z39" s="150"/>
    </row>
    <row r="40" spans="1:26" s="179" customFormat="1" ht="13.5" customHeight="1">
      <c r="A40" s="178" t="s">
        <v>391</v>
      </c>
      <c r="B40" s="178">
        <v>368271</v>
      </c>
      <c r="C40" s="179" t="s">
        <v>496</v>
      </c>
      <c r="D40" s="180" t="s">
        <v>5</v>
      </c>
      <c r="E40" s="181">
        <v>4.2</v>
      </c>
      <c r="F40" s="182">
        <f t="shared" si="0"/>
        <v>319.2</v>
      </c>
      <c r="G40" s="181">
        <v>4.2</v>
      </c>
      <c r="H40" s="182">
        <f t="shared" si="1"/>
        <v>319.2</v>
      </c>
      <c r="I40" s="181">
        <v>4</v>
      </c>
      <c r="J40" s="182">
        <f>I40*J$6</f>
        <v>160</v>
      </c>
      <c r="K40" s="181">
        <v>4</v>
      </c>
      <c r="L40" s="182">
        <f t="shared" si="3"/>
        <v>160</v>
      </c>
      <c r="M40" s="181">
        <v>4</v>
      </c>
      <c r="N40" s="182">
        <f t="shared" si="4"/>
        <v>160</v>
      </c>
      <c r="O40" s="181">
        <v>4</v>
      </c>
      <c r="P40" s="182">
        <f>O40*125</f>
        <v>500</v>
      </c>
      <c r="Q40" s="174">
        <f>F40+H40+J40+L40+N40+P40</f>
        <v>1618.4</v>
      </c>
      <c r="R40" s="183">
        <v>5</v>
      </c>
      <c r="S40" s="174">
        <f t="shared" si="7"/>
        <v>80.92</v>
      </c>
      <c r="T40" s="174">
        <f>S40+Q40</f>
        <v>1699.3200000000002</v>
      </c>
      <c r="U40" s="175">
        <v>0</v>
      </c>
      <c r="V40" s="175">
        <v>0</v>
      </c>
      <c r="W40" s="175">
        <f>U40-V40</f>
        <v>0</v>
      </c>
      <c r="X40" s="176">
        <f>T40-W40</f>
        <v>1699.3200000000002</v>
      </c>
      <c r="Y40" s="176" t="s">
        <v>451</v>
      </c>
      <c r="Z40" s="184"/>
    </row>
    <row r="41" spans="1:26" s="179" customFormat="1" ht="13.5" customHeight="1">
      <c r="A41" s="178" t="s">
        <v>235</v>
      </c>
      <c r="B41" s="178">
        <v>368284</v>
      </c>
      <c r="C41" s="179" t="s">
        <v>492</v>
      </c>
      <c r="D41" s="185" t="s">
        <v>6</v>
      </c>
      <c r="E41" s="181">
        <v>0</v>
      </c>
      <c r="F41" s="182">
        <f t="shared" si="0"/>
        <v>0</v>
      </c>
      <c r="G41" s="181">
        <v>0</v>
      </c>
      <c r="H41" s="182">
        <f t="shared" si="1"/>
        <v>0</v>
      </c>
      <c r="I41" s="181">
        <v>0</v>
      </c>
      <c r="J41" s="182">
        <f t="shared" si="2"/>
        <v>0</v>
      </c>
      <c r="K41" s="181">
        <v>0</v>
      </c>
      <c r="L41" s="182">
        <f t="shared" si="3"/>
        <v>0</v>
      </c>
      <c r="M41" s="181">
        <v>0</v>
      </c>
      <c r="N41" s="182">
        <f t="shared" si="4"/>
        <v>0</v>
      </c>
      <c r="O41" s="181">
        <v>4</v>
      </c>
      <c r="P41" s="182">
        <f>O41*125</f>
        <v>500</v>
      </c>
      <c r="Q41" s="174">
        <f t="shared" si="6"/>
        <v>500</v>
      </c>
      <c r="R41" s="183">
        <v>2</v>
      </c>
      <c r="S41" s="174">
        <f t="shared" si="7"/>
        <v>10</v>
      </c>
      <c r="T41" s="174">
        <f t="shared" si="8"/>
        <v>510</v>
      </c>
      <c r="U41" s="175">
        <v>508</v>
      </c>
      <c r="V41" s="175">
        <v>0</v>
      </c>
      <c r="W41" s="175">
        <f t="shared" si="9"/>
        <v>508</v>
      </c>
      <c r="X41" s="176">
        <f t="shared" si="10"/>
        <v>2</v>
      </c>
      <c r="Y41" s="176">
        <v>0</v>
      </c>
      <c r="Z41" s="184" t="s">
        <v>96</v>
      </c>
    </row>
    <row r="42" spans="1:26" s="179" customFormat="1" ht="13.5" customHeight="1">
      <c r="A42" s="178" t="s">
        <v>235</v>
      </c>
      <c r="B42" s="178">
        <v>368286</v>
      </c>
      <c r="C42" s="179" t="s">
        <v>495</v>
      </c>
      <c r="D42" s="180" t="s">
        <v>7</v>
      </c>
      <c r="E42" s="186">
        <v>0.4</v>
      </c>
      <c r="F42" s="187">
        <f t="shared" si="0"/>
        <v>30.400000000000002</v>
      </c>
      <c r="G42" s="186">
        <v>0.5</v>
      </c>
      <c r="H42" s="187">
        <f t="shared" si="1"/>
        <v>38</v>
      </c>
      <c r="I42" s="186">
        <v>0.666666</v>
      </c>
      <c r="J42" s="187">
        <f t="shared" si="2"/>
        <v>26.66664</v>
      </c>
      <c r="K42" s="186">
        <v>0.66666</v>
      </c>
      <c r="L42" s="187">
        <f t="shared" si="3"/>
        <v>26.666400000000003</v>
      </c>
      <c r="M42" s="186">
        <v>0.6666666</v>
      </c>
      <c r="N42" s="187">
        <f t="shared" si="4"/>
        <v>26.666664</v>
      </c>
      <c r="O42" s="186">
        <v>0.66666</v>
      </c>
      <c r="P42" s="188">
        <f>O42*125</f>
        <v>83.33250000000001</v>
      </c>
      <c r="Q42" s="174">
        <f t="shared" si="6"/>
        <v>231.73220400000002</v>
      </c>
      <c r="R42" s="183">
        <v>2</v>
      </c>
      <c r="S42" s="174">
        <f t="shared" si="7"/>
        <v>4.63464408</v>
      </c>
      <c r="T42" s="174">
        <f t="shared" si="8"/>
        <v>236.36684808</v>
      </c>
      <c r="U42" s="175">
        <v>524</v>
      </c>
      <c r="V42" s="177">
        <v>0</v>
      </c>
      <c r="W42" s="177">
        <f t="shared" si="9"/>
        <v>524</v>
      </c>
      <c r="X42" s="176">
        <f t="shared" si="10"/>
        <v>-287.63315192</v>
      </c>
      <c r="Y42" s="176">
        <v>0</v>
      </c>
      <c r="Z42" s="184" t="s">
        <v>99</v>
      </c>
    </row>
    <row r="43" spans="1:26" ht="13.5" customHeight="1">
      <c r="A43" s="18" t="s">
        <v>228</v>
      </c>
      <c r="B43" s="18">
        <v>368303</v>
      </c>
      <c r="C43" s="52" t="s">
        <v>434</v>
      </c>
      <c r="D43" s="77" t="s">
        <v>20</v>
      </c>
      <c r="E43" s="65">
        <v>0</v>
      </c>
      <c r="F43" s="83">
        <f t="shared" si="0"/>
        <v>0</v>
      </c>
      <c r="G43" s="65">
        <v>0</v>
      </c>
      <c r="H43" s="83">
        <f t="shared" si="1"/>
        <v>0</v>
      </c>
      <c r="I43" s="65">
        <v>2</v>
      </c>
      <c r="J43" s="83">
        <f t="shared" si="2"/>
        <v>80</v>
      </c>
      <c r="K43" s="65">
        <v>2</v>
      </c>
      <c r="L43" s="83">
        <f t="shared" si="3"/>
        <v>80</v>
      </c>
      <c r="M43" s="65">
        <v>2</v>
      </c>
      <c r="N43" s="83">
        <f t="shared" si="4"/>
        <v>80</v>
      </c>
      <c r="O43" s="65">
        <v>2</v>
      </c>
      <c r="P43" s="83">
        <f t="shared" si="5"/>
        <v>300</v>
      </c>
      <c r="Q43" s="149">
        <f t="shared" si="6"/>
        <v>540</v>
      </c>
      <c r="R43" s="70">
        <v>2</v>
      </c>
      <c r="S43" s="149">
        <f t="shared" si="7"/>
        <v>10.8</v>
      </c>
      <c r="T43" s="149">
        <f t="shared" si="8"/>
        <v>550.8</v>
      </c>
      <c r="U43" s="65">
        <f>471+59</f>
        <v>530</v>
      </c>
      <c r="V43" s="65">
        <f t="shared" si="11"/>
        <v>8</v>
      </c>
      <c r="W43" s="65">
        <f t="shared" si="9"/>
        <v>522</v>
      </c>
      <c r="X43" s="154">
        <f t="shared" si="10"/>
        <v>28.799999999999955</v>
      </c>
      <c r="Y43" s="170">
        <v>0</v>
      </c>
      <c r="Z43" s="169" t="s">
        <v>78</v>
      </c>
    </row>
    <row r="44" spans="1:26" ht="13.5" customHeight="1">
      <c r="A44" s="18" t="s">
        <v>228</v>
      </c>
      <c r="B44" s="18">
        <v>368306</v>
      </c>
      <c r="C44" s="52" t="s">
        <v>431</v>
      </c>
      <c r="D44" s="77" t="s">
        <v>20</v>
      </c>
      <c r="E44" s="65">
        <v>0</v>
      </c>
      <c r="F44" s="83">
        <f t="shared" si="0"/>
        <v>0</v>
      </c>
      <c r="G44" s="67" t="s">
        <v>447</v>
      </c>
      <c r="H44" s="83">
        <f t="shared" si="1"/>
        <v>0</v>
      </c>
      <c r="I44" s="65">
        <v>2</v>
      </c>
      <c r="J44" s="83">
        <f t="shared" si="2"/>
        <v>80</v>
      </c>
      <c r="K44" s="68">
        <v>2</v>
      </c>
      <c r="L44" s="83">
        <f t="shared" si="3"/>
        <v>80</v>
      </c>
      <c r="M44" s="68">
        <v>2</v>
      </c>
      <c r="N44" s="83">
        <f t="shared" si="4"/>
        <v>80</v>
      </c>
      <c r="O44" s="69">
        <v>2</v>
      </c>
      <c r="P44" s="83">
        <f t="shared" si="5"/>
        <v>300</v>
      </c>
      <c r="Q44" s="149">
        <f t="shared" si="6"/>
        <v>540</v>
      </c>
      <c r="R44" s="70">
        <v>2</v>
      </c>
      <c r="S44" s="149">
        <f>R44*Q44/100</f>
        <v>10.8</v>
      </c>
      <c r="T44" s="149">
        <f t="shared" si="8"/>
        <v>550.8</v>
      </c>
      <c r="U44" s="65">
        <f>477+58</f>
        <v>535</v>
      </c>
      <c r="V44" s="65">
        <f t="shared" si="11"/>
        <v>8</v>
      </c>
      <c r="W44" s="65">
        <f t="shared" si="9"/>
        <v>527</v>
      </c>
      <c r="X44" s="154">
        <f t="shared" si="10"/>
        <v>23.799999999999955</v>
      </c>
      <c r="Y44" s="170">
        <v>0</v>
      </c>
      <c r="Z44" s="169" t="s">
        <v>78</v>
      </c>
    </row>
    <row r="45" spans="1:26" ht="13.5" customHeight="1">
      <c r="A45" s="18" t="s">
        <v>228</v>
      </c>
      <c r="B45" s="18">
        <v>368309</v>
      </c>
      <c r="C45" s="52" t="s">
        <v>427</v>
      </c>
      <c r="D45" s="77" t="s">
        <v>20</v>
      </c>
      <c r="E45" s="65">
        <v>0</v>
      </c>
      <c r="F45" s="83">
        <f t="shared" si="0"/>
        <v>0</v>
      </c>
      <c r="G45" s="65">
        <v>0</v>
      </c>
      <c r="H45" s="83">
        <f t="shared" si="1"/>
        <v>0</v>
      </c>
      <c r="I45" s="65">
        <v>6</v>
      </c>
      <c r="J45" s="83">
        <f t="shared" si="2"/>
        <v>240</v>
      </c>
      <c r="K45" s="65">
        <v>6</v>
      </c>
      <c r="L45" s="83">
        <f t="shared" si="3"/>
        <v>240</v>
      </c>
      <c r="M45" s="65">
        <v>6</v>
      </c>
      <c r="N45" s="83">
        <f t="shared" si="4"/>
        <v>240</v>
      </c>
      <c r="O45" s="65">
        <v>6</v>
      </c>
      <c r="P45" s="83">
        <f t="shared" si="5"/>
        <v>900</v>
      </c>
      <c r="Q45" s="149">
        <f t="shared" si="6"/>
        <v>1620</v>
      </c>
      <c r="R45" s="70">
        <v>2</v>
      </c>
      <c r="S45" s="149">
        <f t="shared" si="7"/>
        <v>32.4</v>
      </c>
      <c r="T45" s="149">
        <f t="shared" si="8"/>
        <v>1652.4</v>
      </c>
      <c r="U45" s="65">
        <f>1428+174</f>
        <v>1602</v>
      </c>
      <c r="V45" s="65">
        <f t="shared" si="11"/>
        <v>24</v>
      </c>
      <c r="W45" s="65">
        <f t="shared" si="9"/>
        <v>1578</v>
      </c>
      <c r="X45" s="154">
        <f t="shared" si="10"/>
        <v>74.40000000000009</v>
      </c>
      <c r="Y45" s="170">
        <v>0</v>
      </c>
      <c r="Z45" s="169" t="s">
        <v>78</v>
      </c>
    </row>
    <row r="46" spans="1:26" s="179" customFormat="1" ht="13.5" customHeight="1">
      <c r="A46" s="178" t="s">
        <v>235</v>
      </c>
      <c r="B46" s="178">
        <v>368341</v>
      </c>
      <c r="C46" s="179" t="s">
        <v>493</v>
      </c>
      <c r="D46" s="185" t="s">
        <v>6</v>
      </c>
      <c r="E46" s="181">
        <v>5</v>
      </c>
      <c r="F46" s="182">
        <f t="shared" si="0"/>
        <v>380</v>
      </c>
      <c r="G46" s="181">
        <v>5</v>
      </c>
      <c r="H46" s="182">
        <f t="shared" si="1"/>
        <v>380</v>
      </c>
      <c r="I46" s="181">
        <v>4</v>
      </c>
      <c r="J46" s="182">
        <f t="shared" si="2"/>
        <v>160</v>
      </c>
      <c r="K46" s="181">
        <v>4</v>
      </c>
      <c r="L46" s="182">
        <f t="shared" si="3"/>
        <v>160</v>
      </c>
      <c r="M46" s="181">
        <v>4</v>
      </c>
      <c r="N46" s="182">
        <f t="shared" si="4"/>
        <v>160</v>
      </c>
      <c r="O46" s="181">
        <v>0</v>
      </c>
      <c r="P46" s="182">
        <f>O46*P$6</f>
        <v>0</v>
      </c>
      <c r="Q46" s="174">
        <f t="shared" si="6"/>
        <v>1240</v>
      </c>
      <c r="R46" s="183">
        <v>2</v>
      </c>
      <c r="S46" s="174">
        <f t="shared" si="7"/>
        <v>24.8</v>
      </c>
      <c r="T46" s="174">
        <f t="shared" si="8"/>
        <v>1264.8</v>
      </c>
      <c r="U46" s="175">
        <v>1367</v>
      </c>
      <c r="V46" s="175">
        <f t="shared" si="11"/>
        <v>0</v>
      </c>
      <c r="W46" s="175">
        <f>U46-V46</f>
        <v>1367</v>
      </c>
      <c r="X46" s="176">
        <f t="shared" si="10"/>
        <v>-102.20000000000005</v>
      </c>
      <c r="Y46" s="176">
        <v>0</v>
      </c>
      <c r="Z46" s="184" t="s">
        <v>97</v>
      </c>
    </row>
    <row r="47" spans="1:26" s="179" customFormat="1" ht="13.5" customHeight="1">
      <c r="A47" s="178" t="s">
        <v>235</v>
      </c>
      <c r="B47" s="178">
        <v>368423</v>
      </c>
      <c r="C47" s="179" t="s">
        <v>494</v>
      </c>
      <c r="D47" s="185" t="s">
        <v>6</v>
      </c>
      <c r="E47" s="181">
        <v>0</v>
      </c>
      <c r="F47" s="182">
        <f t="shared" si="0"/>
        <v>0</v>
      </c>
      <c r="G47" s="181">
        <v>0</v>
      </c>
      <c r="H47" s="182">
        <f t="shared" si="1"/>
        <v>0</v>
      </c>
      <c r="I47" s="181">
        <v>2</v>
      </c>
      <c r="J47" s="182">
        <f t="shared" si="2"/>
        <v>80</v>
      </c>
      <c r="K47" s="181">
        <v>2</v>
      </c>
      <c r="L47" s="182">
        <f t="shared" si="3"/>
        <v>80</v>
      </c>
      <c r="M47" s="181">
        <v>2</v>
      </c>
      <c r="N47" s="182">
        <f t="shared" si="4"/>
        <v>80</v>
      </c>
      <c r="O47" s="181">
        <v>2</v>
      </c>
      <c r="P47" s="182">
        <f>O47*125</f>
        <v>250</v>
      </c>
      <c r="Q47" s="174">
        <f t="shared" si="6"/>
        <v>490</v>
      </c>
      <c r="R47" s="183">
        <v>2</v>
      </c>
      <c r="S47" s="174">
        <f t="shared" si="7"/>
        <v>9.8</v>
      </c>
      <c r="T47" s="174">
        <f t="shared" si="8"/>
        <v>499.8</v>
      </c>
      <c r="U47" s="175">
        <v>524</v>
      </c>
      <c r="V47" s="175">
        <v>0</v>
      </c>
      <c r="W47" s="175">
        <f t="shared" si="9"/>
        <v>524</v>
      </c>
      <c r="X47" s="176">
        <f t="shared" si="10"/>
        <v>-24.19999999999999</v>
      </c>
      <c r="Y47" s="176">
        <v>0</v>
      </c>
      <c r="Z47" s="184" t="s">
        <v>98</v>
      </c>
    </row>
    <row r="48" spans="1:26" s="199" customFormat="1" ht="13.5" customHeight="1">
      <c r="A48" s="197" t="s">
        <v>228</v>
      </c>
      <c r="B48" s="20">
        <v>368673</v>
      </c>
      <c r="C48" s="198" t="s">
        <v>143</v>
      </c>
      <c r="D48" s="200" t="s">
        <v>284</v>
      </c>
      <c r="E48" s="70">
        <v>0.8</v>
      </c>
      <c r="F48" s="182">
        <f t="shared" si="0"/>
        <v>60.800000000000004</v>
      </c>
      <c r="G48" s="70">
        <v>0.8</v>
      </c>
      <c r="H48" s="182">
        <f t="shared" si="1"/>
        <v>60.800000000000004</v>
      </c>
      <c r="I48" s="70">
        <v>0.8</v>
      </c>
      <c r="J48" s="182">
        <f t="shared" si="2"/>
        <v>32</v>
      </c>
      <c r="K48" s="70">
        <v>0.8</v>
      </c>
      <c r="L48" s="182">
        <f t="shared" si="3"/>
        <v>32</v>
      </c>
      <c r="M48" s="71">
        <v>0.8</v>
      </c>
      <c r="N48" s="182">
        <f>M48*N$6</f>
        <v>32</v>
      </c>
      <c r="O48" s="70">
        <v>0.8</v>
      </c>
      <c r="P48" s="182">
        <f>O48*P$6</f>
        <v>120</v>
      </c>
      <c r="Q48" s="174">
        <f t="shared" si="6"/>
        <v>337.6</v>
      </c>
      <c r="R48" s="199">
        <v>15</v>
      </c>
      <c r="S48" s="174">
        <f t="shared" si="7"/>
        <v>50.64</v>
      </c>
      <c r="T48" s="174">
        <f t="shared" si="8"/>
        <v>388.24</v>
      </c>
      <c r="U48" s="70">
        <v>0</v>
      </c>
      <c r="V48" s="70"/>
      <c r="W48" s="70">
        <v>0</v>
      </c>
      <c r="X48" s="89"/>
      <c r="Y48" s="89">
        <v>400</v>
      </c>
      <c r="Z48" s="201"/>
    </row>
    <row r="49" spans="1:30" ht="13.5" customHeight="1">
      <c r="A49" s="18" t="s">
        <v>228</v>
      </c>
      <c r="B49" s="18">
        <v>368676</v>
      </c>
      <c r="C49" s="244" t="s">
        <v>69</v>
      </c>
      <c r="D49" s="52"/>
      <c r="E49" s="250">
        <f>1/40</f>
        <v>0.025</v>
      </c>
      <c r="F49" s="182">
        <f t="shared" si="0"/>
        <v>1.9000000000000001</v>
      </c>
      <c r="G49" s="250">
        <f>1/40</f>
        <v>0.025</v>
      </c>
      <c r="H49" s="182">
        <f t="shared" si="1"/>
        <v>1.9000000000000001</v>
      </c>
      <c r="I49" s="250">
        <f>1/40</f>
        <v>0.025</v>
      </c>
      <c r="J49" s="182">
        <f t="shared" si="2"/>
        <v>1</v>
      </c>
      <c r="K49" s="250">
        <f>1/40</f>
        <v>0.025</v>
      </c>
      <c r="L49" s="182">
        <f t="shared" si="3"/>
        <v>1</v>
      </c>
      <c r="M49" s="250">
        <f>1/40</f>
        <v>0.025</v>
      </c>
      <c r="N49" s="182">
        <f>M49*N$6</f>
        <v>1</v>
      </c>
      <c r="O49" s="250">
        <f>1/40</f>
        <v>0.025</v>
      </c>
      <c r="P49" s="182">
        <f>O49*P$6</f>
        <v>3.75</v>
      </c>
      <c r="Q49" s="174">
        <f t="shared" si="6"/>
        <v>10.55</v>
      </c>
      <c r="R49" s="251">
        <f>E85+G85+I85+K85+P85</f>
        <v>0</v>
      </c>
      <c r="S49" s="174">
        <f t="shared" si="7"/>
        <v>0</v>
      </c>
      <c r="T49" s="174">
        <f t="shared" si="8"/>
        <v>10.55</v>
      </c>
      <c r="U49" s="252">
        <v>0</v>
      </c>
      <c r="V49" s="252">
        <v>0</v>
      </c>
      <c r="W49" s="253">
        <v>0</v>
      </c>
      <c r="X49" s="252">
        <v>12</v>
      </c>
      <c r="Y49" s="16" t="s">
        <v>160</v>
      </c>
      <c r="Z49" s="15"/>
      <c r="AA49" s="15"/>
      <c r="AB49" s="15"/>
      <c r="AC49" s="15"/>
      <c r="AD49" s="15"/>
    </row>
    <row r="50" spans="1:24" ht="13.5" customHeight="1">
      <c r="A50" s="18" t="s">
        <v>228</v>
      </c>
      <c r="B50" s="18">
        <v>368677</v>
      </c>
      <c r="C50" s="245" t="s">
        <v>507</v>
      </c>
      <c r="D50" s="58" t="s">
        <v>284</v>
      </c>
      <c r="E50" s="68">
        <v>0.025</v>
      </c>
      <c r="F50" s="165">
        <v>2</v>
      </c>
      <c r="G50" s="68">
        <v>0.025</v>
      </c>
      <c r="H50" s="165">
        <v>2</v>
      </c>
      <c r="I50" s="68">
        <v>0.025</v>
      </c>
      <c r="J50" s="165">
        <v>1</v>
      </c>
      <c r="K50" s="68">
        <v>0.025</v>
      </c>
      <c r="L50" s="83">
        <v>1</v>
      </c>
      <c r="M50" s="69">
        <v>0.025</v>
      </c>
      <c r="N50" s="83">
        <v>1</v>
      </c>
      <c r="O50" s="68">
        <v>0.05</v>
      </c>
      <c r="P50" s="83">
        <v>6</v>
      </c>
      <c r="Q50" s="65">
        <v>11</v>
      </c>
      <c r="R50" s="65">
        <v>10</v>
      </c>
      <c r="S50" s="174">
        <f t="shared" si="7"/>
        <v>1.1</v>
      </c>
      <c r="T50" s="65">
        <v>12</v>
      </c>
      <c r="U50" s="18"/>
      <c r="V50" s="18"/>
      <c r="W50" s="18"/>
      <c r="X50" s="225"/>
    </row>
    <row r="51" spans="12:14" ht="13.5" customHeight="1">
      <c r="L51" s="19"/>
      <c r="N51" s="19"/>
    </row>
    <row r="52" spans="12:14" ht="13.5" customHeight="1">
      <c r="L52" s="19"/>
      <c r="N52" s="19"/>
    </row>
    <row r="53" spans="12:14" ht="13.5" customHeight="1">
      <c r="L53" s="19"/>
      <c r="N53" s="19"/>
    </row>
    <row r="54" spans="12:14" ht="13.5" customHeight="1">
      <c r="L54" s="19"/>
      <c r="N54" s="19"/>
    </row>
    <row r="55" spans="12:14" ht="13.5" customHeight="1">
      <c r="L55" s="19"/>
      <c r="N55" s="19"/>
    </row>
    <row r="56" spans="12:14" ht="13.5" customHeight="1">
      <c r="L56" s="19"/>
      <c r="N56" s="19"/>
    </row>
    <row r="57" spans="12:14" ht="13.5" customHeight="1">
      <c r="L57" s="19"/>
      <c r="N57" s="19"/>
    </row>
    <row r="58" spans="12:14" ht="13.5" customHeight="1">
      <c r="L58" s="19"/>
      <c r="N58" s="19"/>
    </row>
  </sheetData>
  <printOptions gridLines="1"/>
  <pageMargins left="0.4" right="0.25" top="1.01" bottom="1" header="0.6" footer="0.5"/>
  <pageSetup horizontalDpi="600" verticalDpi="600" orientation="landscape" paperSize="17" scale="83" r:id="rId1"/>
  <headerFooter alignWithMargins="0">
    <oddFooter>&amp;LFile:  Chamber Common Frame Pts&amp;CPage &amp;P of &amp;N&amp;RUpdated: 11/26/01/01
Printed: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38">
      <selection activeCell="C46" sqref="C46"/>
    </sheetView>
  </sheetViews>
  <sheetFormatPr defaultColWidth="9.140625" defaultRowHeight="13.5" customHeight="1"/>
  <cols>
    <col min="1" max="1" width="5.57421875" style="18" customWidth="1"/>
    <col min="2" max="2" width="8.140625" style="18" customWidth="1"/>
    <col min="3" max="3" width="44.8515625" style="52" customWidth="1"/>
    <col min="4" max="4" width="8.57421875" style="20" customWidth="1" collapsed="1"/>
    <col min="5" max="5" width="8.57421875" style="20" customWidth="1"/>
    <col min="6" max="6" width="11.57421875" style="52" customWidth="1"/>
    <col min="7" max="16384" width="9.140625" style="52" customWidth="1"/>
  </cols>
  <sheetData>
    <row r="1" spans="1:6" s="50" customFormat="1" ht="13.5" customHeight="1">
      <c r="A1" s="47"/>
      <c r="B1" s="47"/>
      <c r="C1" s="51" t="s">
        <v>504</v>
      </c>
      <c r="D1" s="49" t="s">
        <v>549</v>
      </c>
      <c r="E1" s="49" t="s">
        <v>119</v>
      </c>
      <c r="F1" s="47" t="s">
        <v>561</v>
      </c>
    </row>
    <row r="2" spans="1:6" s="50" customFormat="1" ht="18" customHeight="1">
      <c r="A2" s="47" t="s">
        <v>193</v>
      </c>
      <c r="B2" s="47" t="s">
        <v>263</v>
      </c>
      <c r="C2" s="47"/>
      <c r="D2" s="49" t="s">
        <v>550</v>
      </c>
      <c r="E2" s="49" t="s">
        <v>441</v>
      </c>
      <c r="F2" s="47" t="s">
        <v>562</v>
      </c>
    </row>
    <row r="3" spans="1:6" s="210" customFormat="1" ht="13.5" customHeight="1">
      <c r="A3" s="208" t="s">
        <v>235</v>
      </c>
      <c r="B3" s="209">
        <v>368286</v>
      </c>
      <c r="C3" s="210" t="s">
        <v>495</v>
      </c>
      <c r="D3" s="208" t="s">
        <v>30</v>
      </c>
      <c r="E3" s="208" t="s">
        <v>30</v>
      </c>
      <c r="F3" s="205" t="s">
        <v>565</v>
      </c>
    </row>
    <row r="4" spans="1:6" s="210" customFormat="1" ht="13.5" customHeight="1">
      <c r="A4" s="208" t="s">
        <v>235</v>
      </c>
      <c r="B4" s="208">
        <v>368341</v>
      </c>
      <c r="C4" s="210" t="s">
        <v>493</v>
      </c>
      <c r="D4" s="208" t="s">
        <v>30</v>
      </c>
      <c r="E4" s="208" t="s">
        <v>30</v>
      </c>
      <c r="F4" s="205" t="s">
        <v>565</v>
      </c>
    </row>
    <row r="5" spans="1:6" s="210" customFormat="1" ht="13.5" customHeight="1">
      <c r="A5" s="208" t="s">
        <v>235</v>
      </c>
      <c r="B5" s="208">
        <v>368423</v>
      </c>
      <c r="C5" s="210" t="s">
        <v>494</v>
      </c>
      <c r="D5" s="208" t="s">
        <v>30</v>
      </c>
      <c r="E5" s="208" t="s">
        <v>30</v>
      </c>
      <c r="F5" s="205" t="s">
        <v>565</v>
      </c>
    </row>
    <row r="6" spans="1:6" s="210" customFormat="1" ht="13.5" customHeight="1">
      <c r="A6" s="208" t="s">
        <v>391</v>
      </c>
      <c r="B6" s="209">
        <v>368271</v>
      </c>
      <c r="C6" s="210" t="s">
        <v>496</v>
      </c>
      <c r="D6" s="208" t="s">
        <v>30</v>
      </c>
      <c r="E6" s="208" t="s">
        <v>30</v>
      </c>
      <c r="F6" s="205" t="s">
        <v>565</v>
      </c>
    </row>
    <row r="7" spans="1:6" s="173" customFormat="1" ht="13.5" customHeight="1">
      <c r="A7" s="171"/>
      <c r="B7" s="172"/>
      <c r="C7" s="171" t="s">
        <v>508</v>
      </c>
      <c r="D7" s="171"/>
      <c r="E7" s="141"/>
      <c r="F7" s="205"/>
    </row>
    <row r="8" spans="1:6" s="203" customFormat="1" ht="13.5" customHeight="1">
      <c r="A8" s="63" t="s">
        <v>391</v>
      </c>
      <c r="B8" s="196">
        <v>368190</v>
      </c>
      <c r="C8" s="203" t="s">
        <v>502</v>
      </c>
      <c r="D8" s="196">
        <v>1</v>
      </c>
      <c r="E8" s="100">
        <v>75</v>
      </c>
      <c r="F8" s="205" t="s">
        <v>565</v>
      </c>
    </row>
    <row r="9" spans="1:6" s="62" customFormat="1" ht="13.5" customHeight="1">
      <c r="A9" s="100" t="s">
        <v>391</v>
      </c>
      <c r="B9" s="100">
        <v>368332</v>
      </c>
      <c r="C9" s="62" t="s">
        <v>498</v>
      </c>
      <c r="D9" s="100">
        <v>1</v>
      </c>
      <c r="E9" s="100">
        <v>75</v>
      </c>
      <c r="F9" s="205" t="s">
        <v>565</v>
      </c>
    </row>
    <row r="10" spans="1:6" s="62" customFormat="1" ht="13.5" customHeight="1">
      <c r="A10" s="100" t="s">
        <v>391</v>
      </c>
      <c r="B10" s="100">
        <v>368333</v>
      </c>
      <c r="C10" s="62" t="s">
        <v>497</v>
      </c>
      <c r="D10" s="100">
        <v>1</v>
      </c>
      <c r="E10" s="100">
        <v>75</v>
      </c>
      <c r="F10" s="205" t="s">
        <v>565</v>
      </c>
    </row>
    <row r="11" spans="1:6" s="62" customFormat="1" ht="13.5" customHeight="1">
      <c r="A11" s="100" t="s">
        <v>235</v>
      </c>
      <c r="B11" s="100">
        <v>368358</v>
      </c>
      <c r="C11" s="62" t="s">
        <v>28</v>
      </c>
      <c r="D11" s="100">
        <v>1</v>
      </c>
      <c r="E11" s="100">
        <v>75</v>
      </c>
      <c r="F11" s="207" t="s">
        <v>563</v>
      </c>
    </row>
    <row r="12" spans="1:6" s="62" customFormat="1" ht="13.5" customHeight="1">
      <c r="A12" s="100" t="s">
        <v>235</v>
      </c>
      <c r="B12" s="100">
        <v>368359</v>
      </c>
      <c r="C12" s="62" t="s">
        <v>27</v>
      </c>
      <c r="D12" s="100">
        <v>1</v>
      </c>
      <c r="E12" s="100">
        <v>75</v>
      </c>
      <c r="F12" s="207" t="s">
        <v>563</v>
      </c>
    </row>
    <row r="13" spans="1:6" s="62" customFormat="1" ht="13.5" customHeight="1">
      <c r="A13" s="100" t="s">
        <v>235</v>
      </c>
      <c r="B13" s="100">
        <v>368360</v>
      </c>
      <c r="C13" s="62" t="s">
        <v>26</v>
      </c>
      <c r="D13" s="100">
        <v>1</v>
      </c>
      <c r="E13" s="100">
        <v>75</v>
      </c>
      <c r="F13" s="207" t="s">
        <v>563</v>
      </c>
    </row>
    <row r="14" spans="1:6" s="62" customFormat="1" ht="13.5" customHeight="1">
      <c r="A14" s="100" t="s">
        <v>396</v>
      </c>
      <c r="B14" s="100">
        <v>368378</v>
      </c>
      <c r="C14" s="62" t="s">
        <v>558</v>
      </c>
      <c r="D14" s="100">
        <v>1</v>
      </c>
      <c r="E14" s="100">
        <v>75</v>
      </c>
      <c r="F14" s="205" t="s">
        <v>565</v>
      </c>
    </row>
    <row r="15" spans="1:6" s="62" customFormat="1" ht="13.5" customHeight="1">
      <c r="A15" s="100" t="s">
        <v>396</v>
      </c>
      <c r="B15" s="100">
        <v>368379</v>
      </c>
      <c r="C15" s="62" t="s">
        <v>554</v>
      </c>
      <c r="D15" s="100">
        <v>1</v>
      </c>
      <c r="E15" s="100">
        <v>75</v>
      </c>
      <c r="F15" s="205" t="s">
        <v>565</v>
      </c>
    </row>
    <row r="16" spans="1:6" s="62" customFormat="1" ht="13.5" customHeight="1">
      <c r="A16" s="100" t="s">
        <v>396</v>
      </c>
      <c r="B16" s="100">
        <v>368380</v>
      </c>
      <c r="C16" s="62" t="s">
        <v>555</v>
      </c>
      <c r="D16" s="100">
        <v>1</v>
      </c>
      <c r="E16" s="100">
        <v>75</v>
      </c>
      <c r="F16" s="205" t="s">
        <v>565</v>
      </c>
    </row>
    <row r="17" spans="1:6" s="62" customFormat="1" ht="13.5" customHeight="1">
      <c r="A17" s="100" t="s">
        <v>396</v>
      </c>
      <c r="B17" s="100">
        <v>368381</v>
      </c>
      <c r="C17" s="62" t="s">
        <v>551</v>
      </c>
      <c r="D17" s="100">
        <v>1</v>
      </c>
      <c r="E17" s="100">
        <v>75</v>
      </c>
      <c r="F17" s="205" t="s">
        <v>565</v>
      </c>
    </row>
    <row r="18" spans="1:6" s="62" customFormat="1" ht="13.5" customHeight="1">
      <c r="A18" s="100" t="s">
        <v>465</v>
      </c>
      <c r="B18" s="100">
        <v>368382</v>
      </c>
      <c r="C18" s="62" t="s">
        <v>557</v>
      </c>
      <c r="D18" s="100">
        <v>1</v>
      </c>
      <c r="E18" s="100">
        <v>75</v>
      </c>
      <c r="F18" s="205" t="s">
        <v>565</v>
      </c>
    </row>
    <row r="19" spans="1:6" s="62" customFormat="1" ht="13.5" customHeight="1">
      <c r="A19" s="100" t="s">
        <v>396</v>
      </c>
      <c r="B19" s="100">
        <v>368383</v>
      </c>
      <c r="C19" s="62" t="s">
        <v>553</v>
      </c>
      <c r="D19" s="100">
        <v>1</v>
      </c>
      <c r="E19" s="100">
        <v>75</v>
      </c>
      <c r="F19" s="205" t="s">
        <v>565</v>
      </c>
    </row>
    <row r="20" spans="1:6" s="62" customFormat="1" ht="13.5" customHeight="1">
      <c r="A20" s="100" t="s">
        <v>465</v>
      </c>
      <c r="B20" s="100">
        <v>368384</v>
      </c>
      <c r="C20" s="62" t="s">
        <v>556</v>
      </c>
      <c r="D20" s="100">
        <v>1</v>
      </c>
      <c r="E20" s="100">
        <v>75</v>
      </c>
      <c r="F20" s="205" t="s">
        <v>565</v>
      </c>
    </row>
    <row r="21" spans="1:6" s="62" customFormat="1" ht="13.5" customHeight="1">
      <c r="A21" s="100" t="s">
        <v>396</v>
      </c>
      <c r="B21" s="100">
        <v>368385</v>
      </c>
      <c r="C21" s="62" t="s">
        <v>552</v>
      </c>
      <c r="D21" s="100">
        <v>1</v>
      </c>
      <c r="E21" s="100">
        <v>75</v>
      </c>
      <c r="F21" s="205" t="s">
        <v>565</v>
      </c>
    </row>
    <row r="22" spans="1:6" s="62" customFormat="1" ht="13.5" customHeight="1">
      <c r="A22" s="100" t="s">
        <v>391</v>
      </c>
      <c r="B22" s="100">
        <v>368467</v>
      </c>
      <c r="C22" s="62" t="s">
        <v>25</v>
      </c>
      <c r="D22" s="100">
        <v>1</v>
      </c>
      <c r="E22" s="100">
        <v>75</v>
      </c>
      <c r="F22" s="207" t="s">
        <v>563</v>
      </c>
    </row>
    <row r="23" spans="1:6" s="62" customFormat="1" ht="13.5" customHeight="1">
      <c r="A23" s="100" t="s">
        <v>391</v>
      </c>
      <c r="B23" s="100">
        <v>368483</v>
      </c>
      <c r="C23" s="62" t="s">
        <v>499</v>
      </c>
      <c r="D23" s="100">
        <v>1</v>
      </c>
      <c r="E23" s="100">
        <v>75</v>
      </c>
      <c r="F23" s="205" t="s">
        <v>565</v>
      </c>
    </row>
    <row r="24" spans="1:5" s="62" customFormat="1" ht="13.5" customHeight="1">
      <c r="A24" s="100"/>
      <c r="B24" s="100"/>
      <c r="C24" s="141" t="s">
        <v>509</v>
      </c>
      <c r="D24" s="100"/>
      <c r="E24" s="100"/>
    </row>
    <row r="25" spans="1:6" s="62" customFormat="1" ht="15.75" customHeight="1">
      <c r="A25" s="100" t="s">
        <v>391</v>
      </c>
      <c r="B25" s="100">
        <v>368651</v>
      </c>
      <c r="C25" s="62" t="s">
        <v>545</v>
      </c>
      <c r="D25" s="191" t="s">
        <v>279</v>
      </c>
      <c r="E25" s="204" t="s">
        <v>55</v>
      </c>
      <c r="F25" s="205" t="s">
        <v>565</v>
      </c>
    </row>
    <row r="26" spans="1:6" s="62" customFormat="1" ht="15.75" customHeight="1">
      <c r="A26" s="100" t="s">
        <v>391</v>
      </c>
      <c r="B26" s="100">
        <v>368652</v>
      </c>
      <c r="C26" s="62" t="s">
        <v>541</v>
      </c>
      <c r="D26" s="191" t="s">
        <v>279</v>
      </c>
      <c r="E26" s="204" t="s">
        <v>55</v>
      </c>
      <c r="F26" s="205" t="s">
        <v>565</v>
      </c>
    </row>
    <row r="27" spans="1:6" s="62" customFormat="1" ht="13.5" customHeight="1">
      <c r="A27" s="100" t="s">
        <v>391</v>
      </c>
      <c r="B27" s="100">
        <v>368653</v>
      </c>
      <c r="C27" s="62" t="s">
        <v>547</v>
      </c>
      <c r="D27" s="191" t="s">
        <v>279</v>
      </c>
      <c r="E27" s="204" t="s">
        <v>55</v>
      </c>
      <c r="F27" s="205" t="s">
        <v>565</v>
      </c>
    </row>
    <row r="28" spans="1:6" s="62" customFormat="1" ht="15.75" customHeight="1">
      <c r="A28" s="100" t="s">
        <v>391</v>
      </c>
      <c r="B28" s="100">
        <v>368654</v>
      </c>
      <c r="C28" s="62" t="s">
        <v>542</v>
      </c>
      <c r="D28" s="191" t="s">
        <v>279</v>
      </c>
      <c r="E28" s="204" t="s">
        <v>55</v>
      </c>
      <c r="F28" s="205" t="s">
        <v>565</v>
      </c>
    </row>
    <row r="29" spans="1:6" s="62" customFormat="1" ht="15.75" customHeight="1">
      <c r="A29" s="100" t="s">
        <v>391</v>
      </c>
      <c r="B29" s="100">
        <v>368655</v>
      </c>
      <c r="C29" s="62" t="s">
        <v>546</v>
      </c>
      <c r="D29" s="191" t="s">
        <v>279</v>
      </c>
      <c r="E29" s="204" t="s">
        <v>55</v>
      </c>
      <c r="F29" s="205" t="s">
        <v>565</v>
      </c>
    </row>
    <row r="30" spans="1:6" s="62" customFormat="1" ht="15.75" customHeight="1">
      <c r="A30" s="100" t="s">
        <v>391</v>
      </c>
      <c r="B30" s="100">
        <v>368656</v>
      </c>
      <c r="C30" s="62" t="s">
        <v>543</v>
      </c>
      <c r="D30" s="191" t="s">
        <v>279</v>
      </c>
      <c r="E30" s="204" t="s">
        <v>55</v>
      </c>
      <c r="F30" s="205" t="s">
        <v>565</v>
      </c>
    </row>
    <row r="31" spans="1:6" s="62" customFormat="1" ht="15.75" customHeight="1">
      <c r="A31" s="100" t="s">
        <v>391</v>
      </c>
      <c r="B31" s="100">
        <v>368657</v>
      </c>
      <c r="C31" s="62" t="s">
        <v>544</v>
      </c>
      <c r="D31" s="191" t="s">
        <v>279</v>
      </c>
      <c r="E31" s="204" t="s">
        <v>55</v>
      </c>
      <c r="F31" s="205" t="s">
        <v>565</v>
      </c>
    </row>
    <row r="32" spans="1:6" s="62" customFormat="1" ht="15.75" customHeight="1">
      <c r="A32" s="100" t="s">
        <v>391</v>
      </c>
      <c r="B32" s="100">
        <v>368658</v>
      </c>
      <c r="C32" s="62" t="s">
        <v>548</v>
      </c>
      <c r="D32" s="191" t="s">
        <v>279</v>
      </c>
      <c r="E32" s="204" t="s">
        <v>55</v>
      </c>
      <c r="F32" s="205" t="s">
        <v>565</v>
      </c>
    </row>
    <row r="33" spans="1:6" s="62" customFormat="1" ht="13.5" customHeight="1">
      <c r="A33" s="100" t="s">
        <v>396</v>
      </c>
      <c r="B33" s="100">
        <v>368659</v>
      </c>
      <c r="C33" s="62" t="s">
        <v>538</v>
      </c>
      <c r="D33" s="191" t="s">
        <v>279</v>
      </c>
      <c r="E33" s="204" t="s">
        <v>55</v>
      </c>
      <c r="F33" s="205" t="s">
        <v>565</v>
      </c>
    </row>
    <row r="34" spans="1:6" s="62" customFormat="1" ht="13.5" customHeight="1">
      <c r="A34" s="100" t="s">
        <v>396</v>
      </c>
      <c r="B34" s="100">
        <v>368660</v>
      </c>
      <c r="C34" s="62" t="s">
        <v>534</v>
      </c>
      <c r="D34" s="191" t="s">
        <v>279</v>
      </c>
      <c r="E34" s="204" t="s">
        <v>55</v>
      </c>
      <c r="F34" s="205" t="s">
        <v>565</v>
      </c>
    </row>
    <row r="35" spans="1:6" s="62" customFormat="1" ht="13.5" customHeight="1">
      <c r="A35" s="100" t="s">
        <v>396</v>
      </c>
      <c r="B35" s="100">
        <v>368661</v>
      </c>
      <c r="C35" s="62" t="s">
        <v>535</v>
      </c>
      <c r="D35" s="191" t="s">
        <v>279</v>
      </c>
      <c r="E35" s="204" t="s">
        <v>55</v>
      </c>
      <c r="F35" s="205" t="s">
        <v>565</v>
      </c>
    </row>
    <row r="36" spans="1:6" s="56" customFormat="1" ht="13.5" customHeight="1">
      <c r="A36" s="190" t="s">
        <v>396</v>
      </c>
      <c r="B36" s="190">
        <v>368662</v>
      </c>
      <c r="C36" s="56" t="s">
        <v>539</v>
      </c>
      <c r="D36" s="204" t="s">
        <v>279</v>
      </c>
      <c r="E36" s="204" t="s">
        <v>55</v>
      </c>
      <c r="F36" s="205" t="s">
        <v>565</v>
      </c>
    </row>
    <row r="37" spans="1:6" s="62" customFormat="1" ht="13.5" customHeight="1">
      <c r="A37" s="100" t="s">
        <v>396</v>
      </c>
      <c r="B37" s="100">
        <v>368663</v>
      </c>
      <c r="C37" s="62" t="s">
        <v>537</v>
      </c>
      <c r="D37" s="191" t="s">
        <v>279</v>
      </c>
      <c r="E37" s="204" t="s">
        <v>55</v>
      </c>
      <c r="F37" s="205" t="s">
        <v>565</v>
      </c>
    </row>
    <row r="38" spans="1:6" s="62" customFormat="1" ht="13.5" customHeight="1">
      <c r="A38" s="100" t="s">
        <v>396</v>
      </c>
      <c r="B38" s="100">
        <v>368664</v>
      </c>
      <c r="C38" s="62" t="s">
        <v>533</v>
      </c>
      <c r="D38" s="191" t="s">
        <v>279</v>
      </c>
      <c r="E38" s="204" t="s">
        <v>55</v>
      </c>
      <c r="F38" s="205" t="s">
        <v>565</v>
      </c>
    </row>
    <row r="39" spans="1:6" s="62" customFormat="1" ht="13.5" customHeight="1">
      <c r="A39" s="100" t="s">
        <v>396</v>
      </c>
      <c r="B39" s="100">
        <v>368665</v>
      </c>
      <c r="C39" s="62" t="s">
        <v>536</v>
      </c>
      <c r="D39" s="191" t="s">
        <v>279</v>
      </c>
      <c r="E39" s="204" t="s">
        <v>55</v>
      </c>
      <c r="F39" s="205" t="s">
        <v>565</v>
      </c>
    </row>
    <row r="40" spans="1:6" s="62" customFormat="1" ht="13.5" customHeight="1">
      <c r="A40" s="100" t="s">
        <v>396</v>
      </c>
      <c r="B40" s="100">
        <v>368666</v>
      </c>
      <c r="C40" s="62" t="s">
        <v>540</v>
      </c>
      <c r="D40" s="191" t="s">
        <v>279</v>
      </c>
      <c r="E40" s="204" t="s">
        <v>55</v>
      </c>
      <c r="F40" s="205" t="s">
        <v>565</v>
      </c>
    </row>
    <row r="41" spans="1:6" s="62" customFormat="1" ht="13.5" customHeight="1">
      <c r="A41" s="100" t="s">
        <v>235</v>
      </c>
      <c r="B41" s="100">
        <v>368667</v>
      </c>
      <c r="C41" s="62" t="s">
        <v>501</v>
      </c>
      <c r="D41" s="191" t="s">
        <v>279</v>
      </c>
      <c r="E41" s="204" t="s">
        <v>55</v>
      </c>
      <c r="F41" s="206" t="s">
        <v>563</v>
      </c>
    </row>
    <row r="42" spans="1:6" s="62" customFormat="1" ht="13.5" customHeight="1">
      <c r="A42" s="100" t="s">
        <v>235</v>
      </c>
      <c r="B42" s="100">
        <v>368668</v>
      </c>
      <c r="C42" s="62" t="s">
        <v>510</v>
      </c>
      <c r="D42" s="191" t="s">
        <v>279</v>
      </c>
      <c r="E42" s="204" t="s">
        <v>55</v>
      </c>
      <c r="F42" s="206" t="s">
        <v>563</v>
      </c>
    </row>
    <row r="43" spans="1:6" s="62" customFormat="1" ht="13.5" customHeight="1">
      <c r="A43" s="100" t="s">
        <v>235</v>
      </c>
      <c r="B43" s="100">
        <v>368669</v>
      </c>
      <c r="C43" s="62" t="s">
        <v>500</v>
      </c>
      <c r="D43" s="191" t="s">
        <v>279</v>
      </c>
      <c r="E43" s="204" t="s">
        <v>55</v>
      </c>
      <c r="F43" s="206" t="s">
        <v>563</v>
      </c>
    </row>
    <row r="44" spans="1:6" s="62" customFormat="1" ht="13.5" customHeight="1">
      <c r="A44" s="100" t="s">
        <v>235</v>
      </c>
      <c r="B44" s="100">
        <v>368669</v>
      </c>
      <c r="C44" s="62" t="s">
        <v>511</v>
      </c>
      <c r="D44" s="191" t="s">
        <v>279</v>
      </c>
      <c r="E44" s="204" t="s">
        <v>55</v>
      </c>
      <c r="F44" s="206" t="s">
        <v>563</v>
      </c>
    </row>
    <row r="45" spans="1:5" s="62" customFormat="1" ht="13.5" customHeight="1">
      <c r="A45" s="100"/>
      <c r="B45" s="100"/>
      <c r="C45" s="141" t="s">
        <v>512</v>
      </c>
      <c r="D45" s="100"/>
      <c r="E45" s="100"/>
    </row>
    <row r="46" spans="1:6" s="62" customFormat="1" ht="13.5" customHeight="1">
      <c r="A46" s="213" t="s">
        <v>396</v>
      </c>
      <c r="B46" s="213">
        <v>368172</v>
      </c>
      <c r="C46" s="214" t="s">
        <v>525</v>
      </c>
      <c r="D46" s="213">
        <v>1</v>
      </c>
      <c r="E46" s="213">
        <v>40</v>
      </c>
      <c r="F46" s="217" t="s">
        <v>54</v>
      </c>
    </row>
    <row r="47" spans="1:6" s="62" customFormat="1" ht="13.5" customHeight="1">
      <c r="A47" s="213" t="s">
        <v>396</v>
      </c>
      <c r="B47" s="213">
        <v>368173</v>
      </c>
      <c r="C47" s="214" t="s">
        <v>522</v>
      </c>
      <c r="D47" s="213">
        <v>1</v>
      </c>
      <c r="E47" s="213">
        <v>40</v>
      </c>
      <c r="F47" s="217" t="s">
        <v>54</v>
      </c>
    </row>
    <row r="48" spans="1:6" s="62" customFormat="1" ht="13.5" customHeight="1">
      <c r="A48" s="213" t="s">
        <v>465</v>
      </c>
      <c r="B48" s="213">
        <v>368174</v>
      </c>
      <c r="C48" s="214" t="s">
        <v>523</v>
      </c>
      <c r="D48" s="213">
        <v>1</v>
      </c>
      <c r="E48" s="213">
        <v>40</v>
      </c>
      <c r="F48" s="217" t="s">
        <v>54</v>
      </c>
    </row>
    <row r="49" spans="1:6" s="56" customFormat="1" ht="11.25" customHeight="1">
      <c r="A49" s="215" t="s">
        <v>396</v>
      </c>
      <c r="B49" s="215">
        <v>368175</v>
      </c>
      <c r="C49" s="216" t="s">
        <v>532</v>
      </c>
      <c r="D49" s="215">
        <v>1</v>
      </c>
      <c r="E49" s="213">
        <v>40</v>
      </c>
      <c r="F49" s="217" t="s">
        <v>54</v>
      </c>
    </row>
    <row r="50" spans="1:6" s="62" customFormat="1" ht="13.5" customHeight="1">
      <c r="A50" s="213" t="s">
        <v>465</v>
      </c>
      <c r="B50" s="213">
        <v>368176</v>
      </c>
      <c r="C50" s="214" t="s">
        <v>524</v>
      </c>
      <c r="D50" s="213">
        <v>1</v>
      </c>
      <c r="E50" s="213">
        <v>40</v>
      </c>
      <c r="F50" s="217" t="s">
        <v>54</v>
      </c>
    </row>
    <row r="51" spans="1:6" s="62" customFormat="1" ht="13.5" customHeight="1">
      <c r="A51" s="213" t="s">
        <v>396</v>
      </c>
      <c r="B51" s="213">
        <v>368177</v>
      </c>
      <c r="C51" s="214" t="s">
        <v>521</v>
      </c>
      <c r="D51" s="213">
        <v>1</v>
      </c>
      <c r="E51" s="213">
        <v>40</v>
      </c>
      <c r="F51" s="217" t="s">
        <v>54</v>
      </c>
    </row>
    <row r="52" spans="1:6" s="62" customFormat="1" ht="13.5" customHeight="1">
      <c r="A52" s="213" t="s">
        <v>465</v>
      </c>
      <c r="B52" s="213">
        <v>368178</v>
      </c>
      <c r="C52" s="214" t="s">
        <v>559</v>
      </c>
      <c r="D52" s="213">
        <v>1</v>
      </c>
      <c r="E52" s="213">
        <v>40</v>
      </c>
      <c r="F52" s="217" t="s">
        <v>54</v>
      </c>
    </row>
    <row r="53" spans="1:6" s="62" customFormat="1" ht="15.75" customHeight="1">
      <c r="A53" s="213" t="s">
        <v>396</v>
      </c>
      <c r="B53" s="213">
        <v>368179</v>
      </c>
      <c r="C53" s="214" t="s">
        <v>560</v>
      </c>
      <c r="D53" s="213">
        <v>1</v>
      </c>
      <c r="E53" s="213">
        <v>40</v>
      </c>
      <c r="F53" s="217" t="s">
        <v>54</v>
      </c>
    </row>
    <row r="54" spans="1:6" s="212" customFormat="1" ht="13.5" customHeight="1">
      <c r="A54" s="215" t="s">
        <v>235</v>
      </c>
      <c r="B54" s="215">
        <v>368191</v>
      </c>
      <c r="C54" s="216" t="s">
        <v>53</v>
      </c>
      <c r="D54" s="218" t="s">
        <v>237</v>
      </c>
      <c r="E54" s="213">
        <v>160</v>
      </c>
      <c r="F54" s="217" t="s">
        <v>54</v>
      </c>
    </row>
    <row r="55" spans="1:6" s="62" customFormat="1" ht="13.5" customHeight="1">
      <c r="A55" s="100" t="s">
        <v>235</v>
      </c>
      <c r="B55" s="100">
        <v>368180</v>
      </c>
      <c r="C55" s="62" t="s">
        <v>45</v>
      </c>
      <c r="D55" s="100">
        <v>2</v>
      </c>
      <c r="E55" s="100">
        <v>80</v>
      </c>
      <c r="F55" s="141" t="s">
        <v>564</v>
      </c>
    </row>
    <row r="56" spans="1:6" s="62" customFormat="1" ht="13.5" customHeight="1">
      <c r="A56" s="100" t="s">
        <v>391</v>
      </c>
      <c r="B56" s="100">
        <v>368181</v>
      </c>
      <c r="C56" s="62" t="s">
        <v>44</v>
      </c>
      <c r="D56" s="100">
        <v>1</v>
      </c>
      <c r="E56" s="100">
        <v>40</v>
      </c>
      <c r="F56" s="141" t="s">
        <v>564</v>
      </c>
    </row>
    <row r="57" spans="1:6" s="62" customFormat="1" ht="13.5" customHeight="1">
      <c r="A57" s="100" t="s">
        <v>391</v>
      </c>
      <c r="B57" s="100">
        <v>368182</v>
      </c>
      <c r="C57" s="62" t="s">
        <v>503</v>
      </c>
      <c r="D57" s="100">
        <v>1</v>
      </c>
      <c r="E57" s="100">
        <v>40</v>
      </c>
      <c r="F57" s="151" t="s">
        <v>564</v>
      </c>
    </row>
    <row r="58" spans="1:6" s="62" customFormat="1" ht="13.5" customHeight="1">
      <c r="A58" s="100" t="s">
        <v>396</v>
      </c>
      <c r="B58" s="100">
        <v>368422</v>
      </c>
      <c r="C58" s="62" t="s">
        <v>43</v>
      </c>
      <c r="D58" s="100">
        <v>1</v>
      </c>
      <c r="E58" s="100">
        <v>40</v>
      </c>
      <c r="F58" s="141" t="s">
        <v>564</v>
      </c>
    </row>
    <row r="59" spans="1:6" s="62" customFormat="1" ht="13.5" customHeight="1">
      <c r="A59" s="100" t="s">
        <v>465</v>
      </c>
      <c r="B59" s="100">
        <v>368638</v>
      </c>
      <c r="C59" s="62" t="s">
        <v>472</v>
      </c>
      <c r="D59" s="100">
        <v>1</v>
      </c>
      <c r="E59" s="100">
        <v>36</v>
      </c>
      <c r="F59" s="141" t="s">
        <v>564</v>
      </c>
    </row>
    <row r="60" spans="1:6" s="62" customFormat="1" ht="13.5" customHeight="1">
      <c r="A60" s="100" t="s">
        <v>465</v>
      </c>
      <c r="B60" s="100">
        <v>368639</v>
      </c>
      <c r="C60" s="62" t="s">
        <v>473</v>
      </c>
      <c r="D60" s="100">
        <v>1</v>
      </c>
      <c r="E60" s="100">
        <v>36</v>
      </c>
      <c r="F60" s="141" t="s">
        <v>564</v>
      </c>
    </row>
    <row r="61" spans="1:5" s="62" customFormat="1" ht="13.5" customHeight="1">
      <c r="A61" s="100"/>
      <c r="B61" s="100"/>
      <c r="C61" s="141" t="s">
        <v>513</v>
      </c>
      <c r="D61" s="100"/>
      <c r="E61" s="100"/>
    </row>
    <row r="62" spans="1:6" s="62" customFormat="1" ht="13.5" customHeight="1">
      <c r="A62" s="100" t="s">
        <v>465</v>
      </c>
      <c r="B62" s="100">
        <v>368178</v>
      </c>
      <c r="C62" s="62" t="s">
        <v>559</v>
      </c>
      <c r="D62" s="100">
        <v>1</v>
      </c>
      <c r="E62" s="100">
        <f aca="true" t="shared" si="0" ref="E62:E74">D62*40</f>
        <v>40</v>
      </c>
      <c r="F62" s="205" t="s">
        <v>565</v>
      </c>
    </row>
    <row r="63" spans="1:6" s="62" customFormat="1" ht="15.75" customHeight="1">
      <c r="A63" s="100" t="s">
        <v>396</v>
      </c>
      <c r="B63" s="100">
        <v>368179</v>
      </c>
      <c r="C63" s="62" t="s">
        <v>560</v>
      </c>
      <c r="D63" s="100">
        <v>1</v>
      </c>
      <c r="E63" s="100">
        <f>D63*40</f>
        <v>40</v>
      </c>
      <c r="F63" s="205" t="s">
        <v>565</v>
      </c>
    </row>
    <row r="64" spans="1:6" s="62" customFormat="1" ht="13.5" customHeight="1">
      <c r="A64" s="100" t="s">
        <v>391</v>
      </c>
      <c r="B64" s="100">
        <v>368182</v>
      </c>
      <c r="C64" s="62" t="s">
        <v>503</v>
      </c>
      <c r="D64" s="100">
        <v>1</v>
      </c>
      <c r="E64" s="100">
        <f t="shared" si="0"/>
        <v>40</v>
      </c>
      <c r="F64" s="205" t="s">
        <v>565</v>
      </c>
    </row>
    <row r="65" spans="1:6" s="56" customFormat="1" ht="13.5" customHeight="1">
      <c r="A65" s="190" t="s">
        <v>235</v>
      </c>
      <c r="B65" s="190">
        <v>368191</v>
      </c>
      <c r="C65" s="56" t="s">
        <v>53</v>
      </c>
      <c r="D65" s="204" t="s">
        <v>237</v>
      </c>
      <c r="E65" s="100">
        <f t="shared" si="0"/>
        <v>160</v>
      </c>
      <c r="F65" s="141" t="s">
        <v>564</v>
      </c>
    </row>
    <row r="66" spans="1:6" s="62" customFormat="1" ht="13.5" customHeight="1">
      <c r="A66" s="100" t="s">
        <v>396</v>
      </c>
      <c r="B66" s="100">
        <v>368513</v>
      </c>
      <c r="C66" s="62" t="s">
        <v>529</v>
      </c>
      <c r="D66" s="100">
        <v>1</v>
      </c>
      <c r="E66" s="100">
        <f t="shared" si="0"/>
        <v>40</v>
      </c>
      <c r="F66" s="205" t="s">
        <v>565</v>
      </c>
    </row>
    <row r="67" spans="1:6" s="56" customFormat="1" ht="13.5" customHeight="1">
      <c r="A67" s="190" t="s">
        <v>396</v>
      </c>
      <c r="B67" s="190">
        <v>368514</v>
      </c>
      <c r="C67" s="56" t="s">
        <v>530</v>
      </c>
      <c r="D67" s="190">
        <v>1</v>
      </c>
      <c r="E67" s="100">
        <f t="shared" si="0"/>
        <v>40</v>
      </c>
      <c r="F67" s="205" t="s">
        <v>565</v>
      </c>
    </row>
    <row r="68" spans="1:6" s="62" customFormat="1" ht="13.5" customHeight="1">
      <c r="A68" s="100" t="s">
        <v>396</v>
      </c>
      <c r="B68" s="100">
        <v>368515</v>
      </c>
      <c r="C68" s="62" t="s">
        <v>527</v>
      </c>
      <c r="D68" s="100">
        <v>1</v>
      </c>
      <c r="E68" s="100">
        <f t="shared" si="0"/>
        <v>40</v>
      </c>
      <c r="F68" s="205" t="s">
        <v>565</v>
      </c>
    </row>
    <row r="69" spans="1:6" s="56" customFormat="1" ht="11.25" customHeight="1">
      <c r="A69" s="190" t="s">
        <v>396</v>
      </c>
      <c r="B69" s="190">
        <v>368516</v>
      </c>
      <c r="C69" s="56" t="s">
        <v>531</v>
      </c>
      <c r="D69" s="190">
        <v>1</v>
      </c>
      <c r="E69" s="100">
        <f t="shared" si="0"/>
        <v>40</v>
      </c>
      <c r="F69" s="205" t="s">
        <v>565</v>
      </c>
    </row>
    <row r="70" spans="1:6" s="62" customFormat="1" ht="13.5" customHeight="1">
      <c r="A70" s="100" t="s">
        <v>396</v>
      </c>
      <c r="B70" s="100">
        <v>368517</v>
      </c>
      <c r="C70" s="62" t="s">
        <v>528</v>
      </c>
      <c r="D70" s="100">
        <v>1</v>
      </c>
      <c r="E70" s="100">
        <f t="shared" si="0"/>
        <v>40</v>
      </c>
      <c r="F70" s="205" t="s">
        <v>565</v>
      </c>
    </row>
    <row r="71" spans="1:6" s="62" customFormat="1" ht="13.5" customHeight="1">
      <c r="A71" s="100" t="s">
        <v>396</v>
      </c>
      <c r="B71" s="100">
        <v>368518</v>
      </c>
      <c r="C71" s="62" t="s">
        <v>526</v>
      </c>
      <c r="D71" s="100">
        <v>1</v>
      </c>
      <c r="E71" s="100">
        <f t="shared" si="0"/>
        <v>40</v>
      </c>
      <c r="F71" s="205" t="s">
        <v>565</v>
      </c>
    </row>
    <row r="72" spans="1:6" s="62" customFormat="1" ht="13.5" customHeight="1">
      <c r="A72" s="100" t="s">
        <v>235</v>
      </c>
      <c r="B72" s="100">
        <v>368519</v>
      </c>
      <c r="C72" s="62" t="s">
        <v>73</v>
      </c>
      <c r="D72" s="100">
        <v>2</v>
      </c>
      <c r="E72" s="100">
        <f t="shared" si="0"/>
        <v>80</v>
      </c>
      <c r="F72" s="141" t="s">
        <v>564</v>
      </c>
    </row>
    <row r="73" spans="1:6" s="62" customFormat="1" ht="13.5" customHeight="1">
      <c r="A73" s="100" t="s">
        <v>235</v>
      </c>
      <c r="B73" s="100">
        <v>368520</v>
      </c>
      <c r="C73" s="62" t="s">
        <v>71</v>
      </c>
      <c r="D73" s="100">
        <v>1</v>
      </c>
      <c r="E73" s="100">
        <f t="shared" si="0"/>
        <v>40</v>
      </c>
      <c r="F73" s="141" t="s">
        <v>564</v>
      </c>
    </row>
    <row r="74" spans="1:6" s="62" customFormat="1" ht="13.5" customHeight="1">
      <c r="A74" s="100" t="s">
        <v>235</v>
      </c>
      <c r="B74" s="100">
        <v>368521</v>
      </c>
      <c r="C74" s="62" t="s">
        <v>72</v>
      </c>
      <c r="D74" s="100">
        <v>1</v>
      </c>
      <c r="E74" s="100">
        <f t="shared" si="0"/>
        <v>40</v>
      </c>
      <c r="F74" s="141" t="s">
        <v>564</v>
      </c>
    </row>
    <row r="75" spans="1:5" s="62" customFormat="1" ht="13.5" customHeight="1">
      <c r="A75" s="100"/>
      <c r="B75" s="100"/>
      <c r="C75" s="141" t="s">
        <v>514</v>
      </c>
      <c r="D75" s="100"/>
      <c r="E75" s="100"/>
    </row>
    <row r="76" spans="1:6" s="62" customFormat="1" ht="13.5" customHeight="1">
      <c r="A76" s="100" t="s">
        <v>465</v>
      </c>
      <c r="B76" s="100">
        <v>368178</v>
      </c>
      <c r="C76" s="62" t="s">
        <v>559</v>
      </c>
      <c r="D76" s="100">
        <v>1</v>
      </c>
      <c r="E76" s="100">
        <f aca="true" t="shared" si="1" ref="E76:E88">D76*40</f>
        <v>40</v>
      </c>
      <c r="F76" s="205" t="s">
        <v>565</v>
      </c>
    </row>
    <row r="77" spans="1:6" s="62" customFormat="1" ht="15.75" customHeight="1">
      <c r="A77" s="100" t="s">
        <v>396</v>
      </c>
      <c r="B77" s="100">
        <v>368179</v>
      </c>
      <c r="C77" s="62" t="s">
        <v>560</v>
      </c>
      <c r="D77" s="100">
        <v>1</v>
      </c>
      <c r="E77" s="100">
        <f>D77*40</f>
        <v>40</v>
      </c>
      <c r="F77" s="205" t="s">
        <v>565</v>
      </c>
    </row>
    <row r="78" spans="1:6" s="62" customFormat="1" ht="13.5" customHeight="1">
      <c r="A78" s="100" t="s">
        <v>391</v>
      </c>
      <c r="B78" s="100">
        <v>368182</v>
      </c>
      <c r="C78" s="62" t="s">
        <v>503</v>
      </c>
      <c r="D78" s="100">
        <v>1</v>
      </c>
      <c r="E78" s="100">
        <f t="shared" si="1"/>
        <v>40</v>
      </c>
      <c r="F78" s="205" t="s">
        <v>565</v>
      </c>
    </row>
    <row r="79" spans="1:6" s="211" customFormat="1" ht="13.5" customHeight="1">
      <c r="A79" s="190" t="s">
        <v>235</v>
      </c>
      <c r="B79" s="190">
        <v>368191</v>
      </c>
      <c r="C79" s="56" t="s">
        <v>53</v>
      </c>
      <c r="D79" s="204" t="s">
        <v>237</v>
      </c>
      <c r="E79" s="100">
        <f t="shared" si="1"/>
        <v>160</v>
      </c>
      <c r="F79" s="141" t="s">
        <v>564</v>
      </c>
    </row>
    <row r="80" spans="1:6" s="62" customFormat="1" ht="13.5" customHeight="1">
      <c r="A80" s="100" t="s">
        <v>396</v>
      </c>
      <c r="B80" s="100">
        <v>368504</v>
      </c>
      <c r="C80" s="62" t="s">
        <v>520</v>
      </c>
      <c r="D80" s="100">
        <v>1</v>
      </c>
      <c r="E80" s="100">
        <f t="shared" si="1"/>
        <v>40</v>
      </c>
      <c r="F80" s="205" t="s">
        <v>565</v>
      </c>
    </row>
    <row r="81" spans="1:6" s="62" customFormat="1" ht="13.5" customHeight="1">
      <c r="A81" s="100" t="s">
        <v>396</v>
      </c>
      <c r="B81" s="100">
        <v>368505</v>
      </c>
      <c r="C81" s="62" t="s">
        <v>519</v>
      </c>
      <c r="D81" s="100">
        <v>1</v>
      </c>
      <c r="E81" s="100">
        <f t="shared" si="1"/>
        <v>40</v>
      </c>
      <c r="F81" s="205" t="s">
        <v>565</v>
      </c>
    </row>
    <row r="82" spans="1:6" s="62" customFormat="1" ht="13.5" customHeight="1">
      <c r="A82" s="100" t="s">
        <v>396</v>
      </c>
      <c r="B82" s="100">
        <v>368506</v>
      </c>
      <c r="C82" s="62" t="s">
        <v>516</v>
      </c>
      <c r="D82" s="100">
        <v>1</v>
      </c>
      <c r="E82" s="100">
        <f t="shared" si="1"/>
        <v>40</v>
      </c>
      <c r="F82" s="205" t="s">
        <v>565</v>
      </c>
    </row>
    <row r="83" spans="1:6" s="62" customFormat="1" ht="13.5" customHeight="1">
      <c r="A83" s="100" t="s">
        <v>396</v>
      </c>
      <c r="B83" s="100">
        <v>368507</v>
      </c>
      <c r="C83" s="62" t="s">
        <v>515</v>
      </c>
      <c r="D83" s="100">
        <v>1</v>
      </c>
      <c r="E83" s="100">
        <f t="shared" si="1"/>
        <v>40</v>
      </c>
      <c r="F83" s="205" t="s">
        <v>565</v>
      </c>
    </row>
    <row r="84" spans="1:6" s="62" customFormat="1" ht="13.5" customHeight="1">
      <c r="A84" s="100" t="s">
        <v>396</v>
      </c>
      <c r="B84" s="100">
        <v>368508</v>
      </c>
      <c r="C84" s="62" t="s">
        <v>517</v>
      </c>
      <c r="D84" s="100">
        <v>1</v>
      </c>
      <c r="E84" s="100">
        <f t="shared" si="1"/>
        <v>40</v>
      </c>
      <c r="F84" s="205" t="s">
        <v>565</v>
      </c>
    </row>
    <row r="85" spans="1:6" s="62" customFormat="1" ht="13.5" customHeight="1">
      <c r="A85" s="100" t="s">
        <v>396</v>
      </c>
      <c r="B85" s="100">
        <v>368509</v>
      </c>
      <c r="C85" s="62" t="s">
        <v>518</v>
      </c>
      <c r="D85" s="100">
        <v>1</v>
      </c>
      <c r="E85" s="100">
        <f t="shared" si="1"/>
        <v>40</v>
      </c>
      <c r="F85" s="205" t="s">
        <v>565</v>
      </c>
    </row>
    <row r="86" spans="1:6" s="62" customFormat="1" ht="13.5" customHeight="1">
      <c r="A86" s="100" t="s">
        <v>235</v>
      </c>
      <c r="B86" s="100">
        <v>368510</v>
      </c>
      <c r="C86" s="62" t="s">
        <v>172</v>
      </c>
      <c r="D86" s="100">
        <v>2</v>
      </c>
      <c r="E86" s="100">
        <f t="shared" si="1"/>
        <v>80</v>
      </c>
      <c r="F86" s="141" t="s">
        <v>564</v>
      </c>
    </row>
    <row r="87" spans="1:6" s="62" customFormat="1" ht="13.5" customHeight="1">
      <c r="A87" s="100" t="s">
        <v>235</v>
      </c>
      <c r="B87" s="100">
        <v>368511</v>
      </c>
      <c r="C87" s="62" t="s">
        <v>192</v>
      </c>
      <c r="D87" s="100">
        <v>1</v>
      </c>
      <c r="E87" s="100">
        <f t="shared" si="1"/>
        <v>40</v>
      </c>
      <c r="F87" s="141" t="s">
        <v>564</v>
      </c>
    </row>
    <row r="88" spans="1:6" s="62" customFormat="1" ht="13.5" customHeight="1">
      <c r="A88" s="100" t="s">
        <v>235</v>
      </c>
      <c r="B88" s="100">
        <v>368512</v>
      </c>
      <c r="C88" s="62" t="s">
        <v>173</v>
      </c>
      <c r="D88" s="100">
        <v>1</v>
      </c>
      <c r="E88" s="100">
        <f t="shared" si="1"/>
        <v>40</v>
      </c>
      <c r="F88" s="141" t="s">
        <v>564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&amp;LFile:  Frame Uniqe Parts&amp;Cpage &amp;P of &amp;N&amp;RUpdated: 11/26/01
Printed: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2">
      <selection activeCell="C42" sqref="C42"/>
    </sheetView>
  </sheetViews>
  <sheetFormatPr defaultColWidth="9.140625" defaultRowHeight="12.75"/>
  <cols>
    <col min="1" max="1" width="4.421875" style="0" customWidth="1"/>
    <col min="3" max="3" width="7.421875" style="0" customWidth="1"/>
    <col min="4" max="4" width="3.57421875" style="31" customWidth="1"/>
    <col min="5" max="5" width="35.28125" style="85" customWidth="1"/>
    <col min="6" max="6" width="5.7109375" style="0" customWidth="1"/>
    <col min="7" max="7" width="5.7109375" style="85" customWidth="1"/>
    <col min="8" max="8" width="5.7109375" style="125" customWidth="1"/>
    <col min="9" max="9" width="5.7109375" style="85" customWidth="1"/>
    <col min="10" max="11" width="5.7109375" style="130" customWidth="1"/>
    <col min="12" max="12" width="7.00390625" style="130" customWidth="1"/>
  </cols>
  <sheetData>
    <row r="1" spans="1:12" s="50" customFormat="1" ht="33.75" customHeight="1">
      <c r="A1" s="320" t="s">
        <v>115</v>
      </c>
      <c r="B1" s="321"/>
      <c r="C1" s="321"/>
      <c r="D1" s="321"/>
      <c r="E1" s="131" t="s">
        <v>114</v>
      </c>
      <c r="F1" s="49" t="s">
        <v>196</v>
      </c>
      <c r="G1" s="2"/>
      <c r="H1" s="49" t="s">
        <v>196</v>
      </c>
      <c r="I1" s="2"/>
      <c r="J1" s="3" t="s">
        <v>215</v>
      </c>
      <c r="K1" s="3" t="s">
        <v>119</v>
      </c>
      <c r="L1" s="3" t="s">
        <v>454</v>
      </c>
    </row>
    <row r="2" spans="1:12" s="124" customFormat="1" ht="18" customHeight="1">
      <c r="A2" s="120" t="s">
        <v>193</v>
      </c>
      <c r="B2" s="120" t="s">
        <v>445</v>
      </c>
      <c r="C2" s="121" t="s">
        <v>194</v>
      </c>
      <c r="D2" s="65"/>
      <c r="E2" s="126" t="s">
        <v>195</v>
      </c>
      <c r="F2" s="122" t="s">
        <v>207</v>
      </c>
      <c r="G2" s="123"/>
      <c r="H2" s="122" t="s">
        <v>209</v>
      </c>
      <c r="I2" s="123"/>
      <c r="J2" s="127" t="s">
        <v>118</v>
      </c>
      <c r="K2" s="127" t="s">
        <v>118</v>
      </c>
      <c r="L2" s="127" t="s">
        <v>455</v>
      </c>
    </row>
    <row r="3" spans="1:12" s="50" customFormat="1" ht="13.5" customHeight="1">
      <c r="A3" s="47"/>
      <c r="B3" s="47"/>
      <c r="C3" s="48"/>
      <c r="D3" s="65"/>
      <c r="E3" s="132" t="s">
        <v>474</v>
      </c>
      <c r="F3" s="95">
        <v>36906</v>
      </c>
      <c r="G3" s="96"/>
      <c r="H3" s="95">
        <v>36906</v>
      </c>
      <c r="I3" s="96"/>
      <c r="J3" s="128" t="s">
        <v>121</v>
      </c>
      <c r="K3" s="3" t="s">
        <v>120</v>
      </c>
      <c r="L3" s="3"/>
    </row>
    <row r="4" spans="1:12" s="50" customFormat="1" ht="11.25" customHeight="1">
      <c r="A4" s="47"/>
      <c r="B4" s="47"/>
      <c r="C4" s="48"/>
      <c r="D4" s="65"/>
      <c r="E4" s="132" t="s">
        <v>139</v>
      </c>
      <c r="F4" s="81">
        <v>-1</v>
      </c>
      <c r="G4" s="82">
        <v>72</v>
      </c>
      <c r="H4" s="81">
        <v>-1</v>
      </c>
      <c r="I4" s="82">
        <v>36</v>
      </c>
      <c r="J4" s="3"/>
      <c r="K4" s="3" t="s">
        <v>202</v>
      </c>
      <c r="L4" s="3"/>
    </row>
    <row r="5" spans="1:12" s="50" customFormat="1" ht="11.25" customHeight="1">
      <c r="A5" s="47"/>
      <c r="B5" s="47"/>
      <c r="C5" s="48"/>
      <c r="D5" s="65"/>
      <c r="E5" s="132" t="s">
        <v>140</v>
      </c>
      <c r="F5" s="81"/>
      <c r="G5" s="82">
        <v>3</v>
      </c>
      <c r="H5" s="81"/>
      <c r="I5" s="82">
        <v>4</v>
      </c>
      <c r="J5" s="3"/>
      <c r="K5" s="3"/>
      <c r="L5" s="3"/>
    </row>
    <row r="6" spans="1:12" s="50" customFormat="1" ht="11.25" customHeight="1">
      <c r="A6" s="47"/>
      <c r="B6" s="47"/>
      <c r="C6" s="48"/>
      <c r="D6" s="65"/>
      <c r="E6" s="132" t="s">
        <v>113</v>
      </c>
      <c r="F6" s="81"/>
      <c r="G6" s="82">
        <f>SUM(G4:G5)</f>
        <v>75</v>
      </c>
      <c r="H6" s="81"/>
      <c r="I6" s="82">
        <f>SUM(I4:I5)</f>
        <v>40</v>
      </c>
      <c r="J6" s="3"/>
      <c r="K6" s="3"/>
      <c r="L6" s="3"/>
    </row>
    <row r="7" spans="1:12" s="50" customFormat="1" ht="11.25" customHeight="1">
      <c r="A7" s="47"/>
      <c r="B7" s="47"/>
      <c r="C7" s="48"/>
      <c r="D7" s="65"/>
      <c r="E7" s="132"/>
      <c r="F7" s="189" t="s">
        <v>80</v>
      </c>
      <c r="G7" s="82"/>
      <c r="H7" s="81"/>
      <c r="I7" s="82"/>
      <c r="J7" s="3"/>
      <c r="K7" s="3"/>
      <c r="L7" s="3"/>
    </row>
    <row r="8" spans="1:12" s="62" customFormat="1" ht="18" customHeight="1">
      <c r="A8" s="100" t="s">
        <v>235</v>
      </c>
      <c r="B8" s="100">
        <v>368150</v>
      </c>
      <c r="C8" s="100" t="s">
        <v>228</v>
      </c>
      <c r="D8" s="97" t="s">
        <v>29</v>
      </c>
      <c r="E8" s="105" t="s">
        <v>64</v>
      </c>
      <c r="F8" s="107"/>
      <c r="G8" s="101"/>
      <c r="H8" s="75">
        <v>6</v>
      </c>
      <c r="I8" s="101">
        <f>H8*I$6</f>
        <v>240</v>
      </c>
      <c r="J8" s="129">
        <v>12</v>
      </c>
      <c r="K8" s="129">
        <f>I8+J8</f>
        <v>252</v>
      </c>
      <c r="L8" s="129" t="s">
        <v>298</v>
      </c>
    </row>
    <row r="9" spans="1:12" s="62" customFormat="1" ht="13.5" customHeight="1">
      <c r="A9" s="100" t="s">
        <v>396</v>
      </c>
      <c r="B9" s="100">
        <v>368151</v>
      </c>
      <c r="C9" s="100" t="s">
        <v>228</v>
      </c>
      <c r="D9" s="97" t="s">
        <v>29</v>
      </c>
      <c r="E9" s="105" t="s">
        <v>46</v>
      </c>
      <c r="F9" s="107"/>
      <c r="G9" s="101"/>
      <c r="H9" s="75">
        <v>6</v>
      </c>
      <c r="I9" s="101">
        <f aca="true" t="shared" si="0" ref="I9:I26">H9*I$6</f>
        <v>240</v>
      </c>
      <c r="J9" s="129">
        <v>12</v>
      </c>
      <c r="K9" s="129">
        <f aca="true" t="shared" si="1" ref="K9:K26">I9+J9</f>
        <v>252</v>
      </c>
      <c r="L9" s="129" t="s">
        <v>298</v>
      </c>
    </row>
    <row r="10" spans="1:12" s="62" customFormat="1" ht="13.5" customHeight="1">
      <c r="A10" s="100" t="s">
        <v>235</v>
      </c>
      <c r="B10" s="100">
        <v>368152</v>
      </c>
      <c r="C10" s="100" t="s">
        <v>228</v>
      </c>
      <c r="D10" s="97" t="s">
        <v>29</v>
      </c>
      <c r="E10" s="105" t="s">
        <v>67</v>
      </c>
      <c r="F10" s="107"/>
      <c r="G10" s="101"/>
      <c r="H10" s="75">
        <v>6</v>
      </c>
      <c r="I10" s="101">
        <f t="shared" si="0"/>
        <v>240</v>
      </c>
      <c r="J10" s="129">
        <v>12</v>
      </c>
      <c r="K10" s="129">
        <f t="shared" si="1"/>
        <v>252</v>
      </c>
      <c r="L10" s="129" t="s">
        <v>298</v>
      </c>
    </row>
    <row r="11" spans="1:12" s="62" customFormat="1" ht="13.5" customHeight="1">
      <c r="A11" s="100" t="s">
        <v>396</v>
      </c>
      <c r="B11" s="100">
        <v>368153</v>
      </c>
      <c r="C11" s="100" t="s">
        <v>228</v>
      </c>
      <c r="D11" s="97" t="s">
        <v>29</v>
      </c>
      <c r="E11" s="105" t="s">
        <v>49</v>
      </c>
      <c r="F11" s="107"/>
      <c r="G11" s="101"/>
      <c r="H11" s="75">
        <v>6</v>
      </c>
      <c r="I11" s="101">
        <f t="shared" si="0"/>
        <v>240</v>
      </c>
      <c r="J11" s="129">
        <v>12</v>
      </c>
      <c r="K11" s="129">
        <f t="shared" si="1"/>
        <v>252</v>
      </c>
      <c r="L11" s="129" t="s">
        <v>298</v>
      </c>
    </row>
    <row r="12" spans="1:12" s="62" customFormat="1" ht="13.5" customHeight="1">
      <c r="A12" s="100" t="s">
        <v>235</v>
      </c>
      <c r="B12" s="100">
        <v>368154</v>
      </c>
      <c r="C12" s="100" t="s">
        <v>228</v>
      </c>
      <c r="D12" s="97" t="s">
        <v>29</v>
      </c>
      <c r="E12" s="105" t="s">
        <v>52</v>
      </c>
      <c r="F12" s="107"/>
      <c r="G12" s="101"/>
      <c r="H12" s="75">
        <v>6</v>
      </c>
      <c r="I12" s="101">
        <f t="shared" si="0"/>
        <v>240</v>
      </c>
      <c r="J12" s="129">
        <v>12</v>
      </c>
      <c r="K12" s="129">
        <f t="shared" si="1"/>
        <v>252</v>
      </c>
      <c r="L12" s="129" t="s">
        <v>298</v>
      </c>
    </row>
    <row r="13" spans="1:12" s="62" customFormat="1" ht="13.5" customHeight="1">
      <c r="A13" s="100" t="s">
        <v>396</v>
      </c>
      <c r="B13" s="100">
        <v>368155</v>
      </c>
      <c r="C13" s="100" t="s">
        <v>228</v>
      </c>
      <c r="D13" s="97" t="s">
        <v>29</v>
      </c>
      <c r="E13" s="105" t="s">
        <v>47</v>
      </c>
      <c r="F13" s="107"/>
      <c r="G13" s="101"/>
      <c r="H13" s="75">
        <v>6</v>
      </c>
      <c r="I13" s="101">
        <f t="shared" si="0"/>
        <v>240</v>
      </c>
      <c r="J13" s="129">
        <v>12</v>
      </c>
      <c r="K13" s="129">
        <f t="shared" si="1"/>
        <v>252</v>
      </c>
      <c r="L13" s="129" t="s">
        <v>298</v>
      </c>
    </row>
    <row r="14" spans="1:12" s="62" customFormat="1" ht="13.5" customHeight="1">
      <c r="A14" s="100" t="s">
        <v>235</v>
      </c>
      <c r="B14" s="100">
        <v>368156</v>
      </c>
      <c r="C14" s="100" t="s">
        <v>228</v>
      </c>
      <c r="D14" s="97" t="s">
        <v>29</v>
      </c>
      <c r="E14" s="105" t="s">
        <v>65</v>
      </c>
      <c r="F14" s="107"/>
      <c r="G14" s="101"/>
      <c r="H14" s="75">
        <v>6</v>
      </c>
      <c r="I14" s="101">
        <f t="shared" si="0"/>
        <v>240</v>
      </c>
      <c r="J14" s="129">
        <v>12</v>
      </c>
      <c r="K14" s="129">
        <f t="shared" si="1"/>
        <v>252</v>
      </c>
      <c r="L14" s="129" t="s">
        <v>298</v>
      </c>
    </row>
    <row r="15" spans="1:12" s="62" customFormat="1" ht="13.5" customHeight="1">
      <c r="A15" s="100" t="s">
        <v>396</v>
      </c>
      <c r="B15" s="100">
        <v>368157</v>
      </c>
      <c r="C15" s="100" t="s">
        <v>228</v>
      </c>
      <c r="D15" s="97" t="s">
        <v>29</v>
      </c>
      <c r="E15" s="105" t="s">
        <v>50</v>
      </c>
      <c r="F15" s="107"/>
      <c r="G15" s="101"/>
      <c r="H15" s="75">
        <v>6</v>
      </c>
      <c r="I15" s="101">
        <f t="shared" si="0"/>
        <v>240</v>
      </c>
      <c r="J15" s="129">
        <v>12</v>
      </c>
      <c r="K15" s="129">
        <f t="shared" si="1"/>
        <v>252</v>
      </c>
      <c r="L15" s="129" t="s">
        <v>298</v>
      </c>
    </row>
    <row r="16" spans="1:12" s="62" customFormat="1" ht="13.5" customHeight="1">
      <c r="A16" s="100" t="s">
        <v>235</v>
      </c>
      <c r="B16" s="100">
        <v>368158</v>
      </c>
      <c r="C16" s="100" t="s">
        <v>228</v>
      </c>
      <c r="D16" s="97" t="s">
        <v>29</v>
      </c>
      <c r="E16" s="105" t="s">
        <v>63</v>
      </c>
      <c r="F16" s="107"/>
      <c r="G16" s="101"/>
      <c r="H16" s="75">
        <v>6</v>
      </c>
      <c r="I16" s="101">
        <f t="shared" si="0"/>
        <v>240</v>
      </c>
      <c r="J16" s="129">
        <v>12</v>
      </c>
      <c r="K16" s="129">
        <f t="shared" si="1"/>
        <v>252</v>
      </c>
      <c r="L16" s="129" t="s">
        <v>298</v>
      </c>
    </row>
    <row r="17" spans="1:12" s="62" customFormat="1" ht="13.5" customHeight="1">
      <c r="A17" s="100" t="s">
        <v>396</v>
      </c>
      <c r="B17" s="100">
        <v>368159</v>
      </c>
      <c r="C17" s="100" t="s">
        <v>228</v>
      </c>
      <c r="D17" s="97" t="s">
        <v>29</v>
      </c>
      <c r="E17" s="105" t="s">
        <v>48</v>
      </c>
      <c r="F17" s="107"/>
      <c r="G17" s="101"/>
      <c r="H17" s="75">
        <v>6</v>
      </c>
      <c r="I17" s="101">
        <f t="shared" si="0"/>
        <v>240</v>
      </c>
      <c r="J17" s="129">
        <v>12</v>
      </c>
      <c r="K17" s="129">
        <f t="shared" si="1"/>
        <v>252</v>
      </c>
      <c r="L17" s="129" t="s">
        <v>298</v>
      </c>
    </row>
    <row r="18" spans="1:12" s="62" customFormat="1" ht="13.5" customHeight="1">
      <c r="A18" s="100" t="s">
        <v>235</v>
      </c>
      <c r="B18" s="100">
        <v>368160</v>
      </c>
      <c r="C18" s="100" t="s">
        <v>228</v>
      </c>
      <c r="D18" s="97" t="s">
        <v>29</v>
      </c>
      <c r="E18" s="105" t="s">
        <v>66</v>
      </c>
      <c r="F18" s="107"/>
      <c r="G18" s="101"/>
      <c r="H18" s="75">
        <v>6</v>
      </c>
      <c r="I18" s="101">
        <f t="shared" si="0"/>
        <v>240</v>
      </c>
      <c r="J18" s="129">
        <v>12</v>
      </c>
      <c r="K18" s="129">
        <f t="shared" si="1"/>
        <v>252</v>
      </c>
      <c r="L18" s="129" t="s">
        <v>298</v>
      </c>
    </row>
    <row r="19" spans="1:12" s="62" customFormat="1" ht="13.5" customHeight="1">
      <c r="A19" s="100" t="s">
        <v>396</v>
      </c>
      <c r="B19" s="100">
        <v>368161</v>
      </c>
      <c r="C19" s="100" t="s">
        <v>228</v>
      </c>
      <c r="D19" s="97" t="s">
        <v>29</v>
      </c>
      <c r="E19" s="105" t="s">
        <v>51</v>
      </c>
      <c r="F19" s="107"/>
      <c r="G19" s="101"/>
      <c r="H19" s="75">
        <v>6</v>
      </c>
      <c r="I19" s="101">
        <f t="shared" si="0"/>
        <v>240</v>
      </c>
      <c r="J19" s="129">
        <v>12</v>
      </c>
      <c r="K19" s="129">
        <f t="shared" si="1"/>
        <v>252</v>
      </c>
      <c r="L19" s="129" t="s">
        <v>298</v>
      </c>
    </row>
    <row r="20" spans="1:12" s="62" customFormat="1" ht="13.5" customHeight="1">
      <c r="A20" s="100" t="s">
        <v>391</v>
      </c>
      <c r="B20" s="100">
        <v>368192</v>
      </c>
      <c r="C20" s="100" t="s">
        <v>235</v>
      </c>
      <c r="D20" s="97" t="s">
        <v>29</v>
      </c>
      <c r="E20" s="105" t="s">
        <v>467</v>
      </c>
      <c r="F20" s="75"/>
      <c r="G20" s="101"/>
      <c r="H20" s="75">
        <v>6</v>
      </c>
      <c r="I20" s="101">
        <f t="shared" si="0"/>
        <v>240</v>
      </c>
      <c r="J20" s="129">
        <v>12</v>
      </c>
      <c r="K20" s="129">
        <f t="shared" si="1"/>
        <v>252</v>
      </c>
      <c r="L20" s="129" t="s">
        <v>81</v>
      </c>
    </row>
    <row r="21" spans="1:12" s="116" customFormat="1" ht="13.5" customHeight="1">
      <c r="A21" s="115" t="s">
        <v>391</v>
      </c>
      <c r="B21" s="115">
        <v>368193</v>
      </c>
      <c r="C21" s="115" t="s">
        <v>235</v>
      </c>
      <c r="D21" s="99" t="s">
        <v>29</v>
      </c>
      <c r="E21" s="117" t="s">
        <v>107</v>
      </c>
      <c r="F21" s="113"/>
      <c r="G21" s="119"/>
      <c r="H21" s="112">
        <v>2</v>
      </c>
      <c r="I21" s="101">
        <f t="shared" si="0"/>
        <v>80</v>
      </c>
      <c r="J21" s="129">
        <v>4</v>
      </c>
      <c r="K21" s="129">
        <f t="shared" si="1"/>
        <v>84</v>
      </c>
      <c r="L21" s="129" t="s">
        <v>81</v>
      </c>
    </row>
    <row r="22" spans="1:12" s="116" customFormat="1" ht="13.5" customHeight="1">
      <c r="A22" s="115" t="s">
        <v>391</v>
      </c>
      <c r="B22" s="115">
        <v>368194</v>
      </c>
      <c r="C22" s="115" t="s">
        <v>235</v>
      </c>
      <c r="D22" s="99" t="s">
        <v>29</v>
      </c>
      <c r="E22" s="117" t="s">
        <v>106</v>
      </c>
      <c r="F22" s="113"/>
      <c r="G22" s="119"/>
      <c r="H22" s="112">
        <v>4</v>
      </c>
      <c r="I22" s="101">
        <f t="shared" si="0"/>
        <v>160</v>
      </c>
      <c r="J22" s="129">
        <v>8</v>
      </c>
      <c r="K22" s="129">
        <f t="shared" si="1"/>
        <v>168</v>
      </c>
      <c r="L22" s="129" t="s">
        <v>81</v>
      </c>
    </row>
    <row r="23" spans="1:12" s="62" customFormat="1" ht="13.5" customHeight="1">
      <c r="A23" s="100" t="s">
        <v>391</v>
      </c>
      <c r="B23" s="100">
        <v>368195</v>
      </c>
      <c r="C23" s="100" t="s">
        <v>235</v>
      </c>
      <c r="D23" s="97" t="s">
        <v>29</v>
      </c>
      <c r="E23" s="105" t="s">
        <v>468</v>
      </c>
      <c r="F23" s="75"/>
      <c r="G23" s="101"/>
      <c r="H23" s="75">
        <v>6</v>
      </c>
      <c r="I23" s="101">
        <f t="shared" si="0"/>
        <v>240</v>
      </c>
      <c r="J23" s="129">
        <v>12</v>
      </c>
      <c r="K23" s="129">
        <f t="shared" si="1"/>
        <v>252</v>
      </c>
      <c r="L23" s="129" t="s">
        <v>81</v>
      </c>
    </row>
    <row r="24" spans="1:12" s="62" customFormat="1" ht="13.5" customHeight="1">
      <c r="A24" s="100" t="s">
        <v>391</v>
      </c>
      <c r="B24" s="100">
        <v>368196</v>
      </c>
      <c r="C24" s="100" t="s">
        <v>235</v>
      </c>
      <c r="D24" s="97" t="s">
        <v>29</v>
      </c>
      <c r="E24" s="105" t="s">
        <v>469</v>
      </c>
      <c r="F24" s="75"/>
      <c r="G24" s="101"/>
      <c r="H24" s="75">
        <v>6</v>
      </c>
      <c r="I24" s="101">
        <f t="shared" si="0"/>
        <v>240</v>
      </c>
      <c r="J24" s="129">
        <v>12</v>
      </c>
      <c r="K24" s="129">
        <f t="shared" si="1"/>
        <v>252</v>
      </c>
      <c r="L24" s="129" t="s">
        <v>81</v>
      </c>
    </row>
    <row r="25" spans="1:12" s="62" customFormat="1" ht="13.5" customHeight="1">
      <c r="A25" s="100" t="s">
        <v>228</v>
      </c>
      <c r="B25" s="100">
        <v>368198</v>
      </c>
      <c r="C25" s="100" t="s">
        <v>246</v>
      </c>
      <c r="D25" s="97" t="s">
        <v>29</v>
      </c>
      <c r="E25" s="105" t="s">
        <v>470</v>
      </c>
      <c r="F25" s="113"/>
      <c r="G25" s="101"/>
      <c r="H25" s="75">
        <v>4</v>
      </c>
      <c r="I25" s="101">
        <f t="shared" si="0"/>
        <v>160</v>
      </c>
      <c r="J25" s="129">
        <v>8</v>
      </c>
      <c r="K25" s="129">
        <f t="shared" si="1"/>
        <v>168</v>
      </c>
      <c r="L25" s="129" t="s">
        <v>81</v>
      </c>
    </row>
    <row r="26" spans="1:12" s="62" customFormat="1" ht="13.5" customHeight="1">
      <c r="A26" s="100" t="s">
        <v>228</v>
      </c>
      <c r="B26" s="100">
        <v>368199</v>
      </c>
      <c r="C26" s="100" t="s">
        <v>246</v>
      </c>
      <c r="D26" s="97" t="s">
        <v>29</v>
      </c>
      <c r="E26" s="105" t="s">
        <v>471</v>
      </c>
      <c r="F26" s="113"/>
      <c r="G26" s="101"/>
      <c r="H26" s="75">
        <v>8</v>
      </c>
      <c r="I26" s="101">
        <f t="shared" si="0"/>
        <v>320</v>
      </c>
      <c r="J26" s="129">
        <v>16</v>
      </c>
      <c r="K26" s="129">
        <f t="shared" si="1"/>
        <v>336</v>
      </c>
      <c r="L26" s="129" t="s">
        <v>81</v>
      </c>
    </row>
    <row r="27" spans="1:12" s="62" customFormat="1" ht="13.5" customHeight="1">
      <c r="A27" s="100"/>
      <c r="B27" s="100"/>
      <c r="C27" s="100"/>
      <c r="D27" s="97"/>
      <c r="E27" s="105"/>
      <c r="F27" s="113"/>
      <c r="G27" s="101"/>
      <c r="H27" s="75"/>
      <c r="I27" s="101"/>
      <c r="J27" s="129"/>
      <c r="K27" s="129"/>
      <c r="L27" s="129"/>
    </row>
    <row r="28" spans="1:12" s="62" customFormat="1" ht="13.5" customHeight="1">
      <c r="A28" s="100" t="s">
        <v>235</v>
      </c>
      <c r="B28" s="100">
        <v>368388</v>
      </c>
      <c r="C28" s="100" t="s">
        <v>228</v>
      </c>
      <c r="D28" s="97" t="s">
        <v>29</v>
      </c>
      <c r="E28" s="105" t="s">
        <v>39</v>
      </c>
      <c r="F28" s="75">
        <v>6</v>
      </c>
      <c r="G28" s="101">
        <f aca="true" t="shared" si="2" ref="G28:G46">F28*$G$6</f>
        <v>450</v>
      </c>
      <c r="H28" s="102"/>
      <c r="I28" s="101"/>
      <c r="J28" s="129">
        <v>24</v>
      </c>
      <c r="K28" s="129">
        <f>J28+G28</f>
        <v>474</v>
      </c>
      <c r="L28" s="129" t="s">
        <v>298</v>
      </c>
    </row>
    <row r="29" spans="1:12" s="62" customFormat="1" ht="13.5" customHeight="1">
      <c r="A29" s="100" t="s">
        <v>396</v>
      </c>
      <c r="B29" s="100">
        <v>368389</v>
      </c>
      <c r="C29" s="100" t="s">
        <v>228</v>
      </c>
      <c r="D29" s="97" t="s">
        <v>29</v>
      </c>
      <c r="E29" s="105" t="s">
        <v>31</v>
      </c>
      <c r="F29" s="75">
        <v>6</v>
      </c>
      <c r="G29" s="101">
        <f t="shared" si="2"/>
        <v>450</v>
      </c>
      <c r="H29" s="102"/>
      <c r="I29" s="101"/>
      <c r="J29" s="129">
        <v>24</v>
      </c>
      <c r="K29" s="129">
        <f aca="true" t="shared" si="3" ref="K29:K46">J29+G29</f>
        <v>474</v>
      </c>
      <c r="L29" s="129" t="s">
        <v>298</v>
      </c>
    </row>
    <row r="30" spans="1:12" s="62" customFormat="1" ht="13.5" customHeight="1">
      <c r="A30" s="100" t="s">
        <v>235</v>
      </c>
      <c r="B30" s="100">
        <v>368390</v>
      </c>
      <c r="C30" s="100" t="s">
        <v>228</v>
      </c>
      <c r="D30" s="97" t="s">
        <v>29</v>
      </c>
      <c r="E30" s="105" t="s">
        <v>42</v>
      </c>
      <c r="F30" s="75">
        <v>6</v>
      </c>
      <c r="G30" s="101">
        <f t="shared" si="2"/>
        <v>450</v>
      </c>
      <c r="H30" s="102"/>
      <c r="I30" s="101"/>
      <c r="J30" s="129">
        <v>24</v>
      </c>
      <c r="K30" s="129">
        <f t="shared" si="3"/>
        <v>474</v>
      </c>
      <c r="L30" s="129" t="s">
        <v>298</v>
      </c>
    </row>
    <row r="31" spans="1:12" s="62" customFormat="1" ht="13.5" customHeight="1">
      <c r="A31" s="100" t="s">
        <v>396</v>
      </c>
      <c r="B31" s="100">
        <v>368391</v>
      </c>
      <c r="C31" s="100" t="s">
        <v>228</v>
      </c>
      <c r="D31" s="97" t="s">
        <v>29</v>
      </c>
      <c r="E31" s="105" t="s">
        <v>34</v>
      </c>
      <c r="F31" s="75">
        <v>6</v>
      </c>
      <c r="G31" s="101">
        <f t="shared" si="2"/>
        <v>450</v>
      </c>
      <c r="H31" s="102"/>
      <c r="I31" s="101"/>
      <c r="J31" s="129">
        <v>24</v>
      </c>
      <c r="K31" s="129">
        <f t="shared" si="3"/>
        <v>474</v>
      </c>
      <c r="L31" s="129" t="s">
        <v>298</v>
      </c>
    </row>
    <row r="32" spans="1:12" s="62" customFormat="1" ht="13.5" customHeight="1">
      <c r="A32" s="100" t="s">
        <v>235</v>
      </c>
      <c r="B32" s="100">
        <v>368392</v>
      </c>
      <c r="C32" s="100" t="s">
        <v>228</v>
      </c>
      <c r="D32" s="97" t="s">
        <v>29</v>
      </c>
      <c r="E32" s="105" t="s">
        <v>37</v>
      </c>
      <c r="F32" s="75">
        <v>6</v>
      </c>
      <c r="G32" s="101">
        <f t="shared" si="2"/>
        <v>450</v>
      </c>
      <c r="H32" s="102"/>
      <c r="I32" s="101"/>
      <c r="J32" s="129">
        <v>24</v>
      </c>
      <c r="K32" s="129">
        <f t="shared" si="3"/>
        <v>474</v>
      </c>
      <c r="L32" s="129" t="s">
        <v>298</v>
      </c>
    </row>
    <row r="33" spans="1:12" s="62" customFormat="1" ht="13.5" customHeight="1">
      <c r="A33" s="100" t="s">
        <v>396</v>
      </c>
      <c r="B33" s="100">
        <v>368393</v>
      </c>
      <c r="C33" s="100" t="s">
        <v>228</v>
      </c>
      <c r="D33" s="97" t="s">
        <v>29</v>
      </c>
      <c r="E33" s="105" t="s">
        <v>32</v>
      </c>
      <c r="F33" s="75">
        <v>6</v>
      </c>
      <c r="G33" s="101">
        <f t="shared" si="2"/>
        <v>450</v>
      </c>
      <c r="H33" s="102"/>
      <c r="I33" s="101"/>
      <c r="J33" s="129">
        <v>24</v>
      </c>
      <c r="K33" s="129">
        <f t="shared" si="3"/>
        <v>474</v>
      </c>
      <c r="L33" s="129" t="s">
        <v>298</v>
      </c>
    </row>
    <row r="34" spans="1:12" s="62" customFormat="1" ht="13.5" customHeight="1">
      <c r="A34" s="100" t="s">
        <v>235</v>
      </c>
      <c r="B34" s="100">
        <v>368394</v>
      </c>
      <c r="C34" s="100" t="s">
        <v>228</v>
      </c>
      <c r="D34" s="97" t="s">
        <v>29</v>
      </c>
      <c r="E34" s="105" t="s">
        <v>40</v>
      </c>
      <c r="F34" s="75">
        <v>6</v>
      </c>
      <c r="G34" s="101">
        <f t="shared" si="2"/>
        <v>450</v>
      </c>
      <c r="H34" s="102"/>
      <c r="I34" s="101"/>
      <c r="J34" s="129">
        <v>24</v>
      </c>
      <c r="K34" s="129">
        <f t="shared" si="3"/>
        <v>474</v>
      </c>
      <c r="L34" s="129" t="s">
        <v>298</v>
      </c>
    </row>
    <row r="35" spans="1:12" s="62" customFormat="1" ht="13.5" customHeight="1">
      <c r="A35" s="100" t="s">
        <v>396</v>
      </c>
      <c r="B35" s="100">
        <v>368395</v>
      </c>
      <c r="C35" s="100" t="s">
        <v>228</v>
      </c>
      <c r="D35" s="97" t="s">
        <v>29</v>
      </c>
      <c r="E35" s="105" t="s">
        <v>35</v>
      </c>
      <c r="F35" s="75">
        <v>6</v>
      </c>
      <c r="G35" s="101">
        <f t="shared" si="2"/>
        <v>450</v>
      </c>
      <c r="H35" s="102"/>
      <c r="I35" s="101"/>
      <c r="J35" s="129">
        <v>24</v>
      </c>
      <c r="K35" s="129">
        <f t="shared" si="3"/>
        <v>474</v>
      </c>
      <c r="L35" s="129" t="s">
        <v>298</v>
      </c>
    </row>
    <row r="36" spans="1:12" s="62" customFormat="1" ht="13.5" customHeight="1">
      <c r="A36" s="100" t="s">
        <v>235</v>
      </c>
      <c r="B36" s="100">
        <v>368396</v>
      </c>
      <c r="C36" s="100" t="s">
        <v>228</v>
      </c>
      <c r="D36" s="97" t="s">
        <v>29</v>
      </c>
      <c r="E36" s="105" t="s">
        <v>38</v>
      </c>
      <c r="F36" s="75">
        <v>6</v>
      </c>
      <c r="G36" s="101">
        <f t="shared" si="2"/>
        <v>450</v>
      </c>
      <c r="H36" s="102"/>
      <c r="I36" s="101"/>
      <c r="J36" s="129">
        <v>24</v>
      </c>
      <c r="K36" s="129">
        <f t="shared" si="3"/>
        <v>474</v>
      </c>
      <c r="L36" s="129" t="s">
        <v>298</v>
      </c>
    </row>
    <row r="37" spans="1:12" s="62" customFormat="1" ht="13.5" customHeight="1">
      <c r="A37" s="100" t="s">
        <v>396</v>
      </c>
      <c r="B37" s="100">
        <v>368397</v>
      </c>
      <c r="C37" s="100" t="s">
        <v>228</v>
      </c>
      <c r="D37" s="97" t="s">
        <v>29</v>
      </c>
      <c r="E37" s="105" t="s">
        <v>33</v>
      </c>
      <c r="F37" s="75">
        <v>6</v>
      </c>
      <c r="G37" s="101">
        <f t="shared" si="2"/>
        <v>450</v>
      </c>
      <c r="H37" s="102"/>
      <c r="I37" s="101"/>
      <c r="J37" s="129">
        <v>24</v>
      </c>
      <c r="K37" s="129">
        <f t="shared" si="3"/>
        <v>474</v>
      </c>
      <c r="L37" s="129" t="s">
        <v>298</v>
      </c>
    </row>
    <row r="38" spans="1:12" s="62" customFormat="1" ht="13.5" customHeight="1">
      <c r="A38" s="100" t="s">
        <v>235</v>
      </c>
      <c r="B38" s="100">
        <v>368398</v>
      </c>
      <c r="C38" s="100" t="s">
        <v>228</v>
      </c>
      <c r="D38" s="97" t="s">
        <v>29</v>
      </c>
      <c r="E38" s="105" t="s">
        <v>41</v>
      </c>
      <c r="F38" s="75">
        <v>6</v>
      </c>
      <c r="G38" s="101">
        <f t="shared" si="2"/>
        <v>450</v>
      </c>
      <c r="H38" s="102"/>
      <c r="I38" s="101"/>
      <c r="J38" s="129">
        <v>24</v>
      </c>
      <c r="K38" s="129">
        <f t="shared" si="3"/>
        <v>474</v>
      </c>
      <c r="L38" s="129" t="s">
        <v>298</v>
      </c>
    </row>
    <row r="39" spans="1:12" s="62" customFormat="1" ht="13.5" customHeight="1">
      <c r="A39" s="100" t="s">
        <v>396</v>
      </c>
      <c r="B39" s="100">
        <v>368399</v>
      </c>
      <c r="C39" s="100" t="s">
        <v>228</v>
      </c>
      <c r="D39" s="97" t="s">
        <v>29</v>
      </c>
      <c r="E39" s="105" t="s">
        <v>36</v>
      </c>
      <c r="F39" s="75">
        <v>6</v>
      </c>
      <c r="G39" s="101">
        <f t="shared" si="2"/>
        <v>450</v>
      </c>
      <c r="H39" s="102"/>
      <c r="I39" s="101"/>
      <c r="J39" s="129">
        <v>24</v>
      </c>
      <c r="K39" s="129">
        <f t="shared" si="3"/>
        <v>474</v>
      </c>
      <c r="L39" s="129" t="s">
        <v>298</v>
      </c>
    </row>
    <row r="40" spans="1:12" s="62" customFormat="1" ht="13.5" customHeight="1">
      <c r="A40" s="100" t="s">
        <v>391</v>
      </c>
      <c r="B40" s="100">
        <v>368400</v>
      </c>
      <c r="C40" s="100" t="s">
        <v>235</v>
      </c>
      <c r="D40" s="97" t="s">
        <v>29</v>
      </c>
      <c r="E40" s="105" t="s">
        <v>108</v>
      </c>
      <c r="F40" s="75">
        <v>6</v>
      </c>
      <c r="G40" s="101">
        <f t="shared" si="2"/>
        <v>450</v>
      </c>
      <c r="H40" s="102"/>
      <c r="I40" s="101"/>
      <c r="J40" s="129">
        <v>24</v>
      </c>
      <c r="K40" s="129">
        <f t="shared" si="3"/>
        <v>474</v>
      </c>
      <c r="L40" s="129" t="s">
        <v>81</v>
      </c>
    </row>
    <row r="41" spans="1:13" s="62" customFormat="1" ht="13.5" customHeight="1">
      <c r="A41" s="100" t="s">
        <v>391</v>
      </c>
      <c r="B41" s="100">
        <v>368401</v>
      </c>
      <c r="C41" s="100" t="e">
        <f>#REF!</f>
        <v>#REF!</v>
      </c>
      <c r="D41" s="97" t="s">
        <v>29</v>
      </c>
      <c r="E41" s="105" t="s">
        <v>116</v>
      </c>
      <c r="F41" s="75">
        <v>2</v>
      </c>
      <c r="G41" s="101">
        <f t="shared" si="2"/>
        <v>150</v>
      </c>
      <c r="H41" s="102"/>
      <c r="I41" s="101"/>
      <c r="J41" s="129">
        <v>8</v>
      </c>
      <c r="K41" s="129">
        <f t="shared" si="3"/>
        <v>158</v>
      </c>
      <c r="L41" s="129" t="s">
        <v>81</v>
      </c>
      <c r="M41" s="64" t="s">
        <v>127</v>
      </c>
    </row>
    <row r="42" spans="1:12" s="62" customFormat="1" ht="13.5" customHeight="1">
      <c r="A42" s="100" t="s">
        <v>391</v>
      </c>
      <c r="B42" s="100">
        <v>368402</v>
      </c>
      <c r="C42" s="100" t="s">
        <v>235</v>
      </c>
      <c r="D42" s="97" t="s">
        <v>29</v>
      </c>
      <c r="E42" s="105" t="s">
        <v>109</v>
      </c>
      <c r="F42" s="75">
        <v>6</v>
      </c>
      <c r="G42" s="101">
        <f t="shared" si="2"/>
        <v>450</v>
      </c>
      <c r="H42" s="102"/>
      <c r="I42" s="101"/>
      <c r="J42" s="129">
        <v>24</v>
      </c>
      <c r="K42" s="129">
        <f t="shared" si="3"/>
        <v>474</v>
      </c>
      <c r="L42" s="129" t="s">
        <v>81</v>
      </c>
    </row>
    <row r="43" spans="1:12" s="62" customFormat="1" ht="13.5" customHeight="1">
      <c r="A43" s="100" t="s">
        <v>391</v>
      </c>
      <c r="B43" s="100">
        <v>368403</v>
      </c>
      <c r="C43" s="100" t="s">
        <v>235</v>
      </c>
      <c r="D43" s="97" t="s">
        <v>29</v>
      </c>
      <c r="E43" s="105" t="s">
        <v>110</v>
      </c>
      <c r="F43" s="75">
        <v>6</v>
      </c>
      <c r="G43" s="101">
        <f t="shared" si="2"/>
        <v>450</v>
      </c>
      <c r="H43" s="102"/>
      <c r="I43" s="101"/>
      <c r="J43" s="129">
        <v>24</v>
      </c>
      <c r="K43" s="129">
        <f t="shared" si="3"/>
        <v>474</v>
      </c>
      <c r="L43" s="129" t="s">
        <v>81</v>
      </c>
    </row>
    <row r="44" spans="1:12" s="62" customFormat="1" ht="13.5" customHeight="1">
      <c r="A44" s="100" t="s">
        <v>391</v>
      </c>
      <c r="B44" s="100">
        <v>368404</v>
      </c>
      <c r="C44" s="100" t="s">
        <v>391</v>
      </c>
      <c r="D44" s="97" t="s">
        <v>29</v>
      </c>
      <c r="E44" s="105" t="s">
        <v>117</v>
      </c>
      <c r="F44" s="75">
        <v>4</v>
      </c>
      <c r="G44" s="101">
        <f t="shared" si="2"/>
        <v>300</v>
      </c>
      <c r="H44" s="102"/>
      <c r="I44" s="101"/>
      <c r="J44" s="129">
        <v>8</v>
      </c>
      <c r="K44" s="129">
        <f t="shared" si="3"/>
        <v>308</v>
      </c>
      <c r="L44" s="129" t="s">
        <v>81</v>
      </c>
    </row>
    <row r="45" spans="1:12" s="62" customFormat="1" ht="13.5" customHeight="1">
      <c r="A45" s="100" t="s">
        <v>228</v>
      </c>
      <c r="B45" s="100">
        <v>368405</v>
      </c>
      <c r="C45" s="100" t="s">
        <v>228</v>
      </c>
      <c r="D45" s="97" t="s">
        <v>29</v>
      </c>
      <c r="E45" s="105" t="s">
        <v>111</v>
      </c>
      <c r="F45" s="75">
        <v>4</v>
      </c>
      <c r="G45" s="101">
        <f t="shared" si="2"/>
        <v>300</v>
      </c>
      <c r="H45" s="102"/>
      <c r="I45" s="101"/>
      <c r="J45" s="129">
        <v>8</v>
      </c>
      <c r="K45" s="129">
        <f t="shared" si="3"/>
        <v>308</v>
      </c>
      <c r="L45" s="129" t="s">
        <v>81</v>
      </c>
    </row>
    <row r="46" spans="1:12" s="62" customFormat="1" ht="13.5" customHeight="1">
      <c r="A46" s="100" t="s">
        <v>228</v>
      </c>
      <c r="B46" s="100">
        <v>368406</v>
      </c>
      <c r="C46" s="100" t="s">
        <v>228</v>
      </c>
      <c r="D46" s="97" t="s">
        <v>29</v>
      </c>
      <c r="E46" s="105" t="s">
        <v>112</v>
      </c>
      <c r="F46" s="75">
        <v>8</v>
      </c>
      <c r="G46" s="101">
        <f t="shared" si="2"/>
        <v>600</v>
      </c>
      <c r="H46" s="102"/>
      <c r="I46" s="101"/>
      <c r="J46" s="129">
        <v>32</v>
      </c>
      <c r="K46" s="129">
        <f t="shared" si="3"/>
        <v>632</v>
      </c>
      <c r="L46" s="129" t="s">
        <v>81</v>
      </c>
    </row>
  </sheetData>
  <mergeCells count="1">
    <mergeCell ref="A1:D1"/>
  </mergeCells>
  <printOptions gridLines="1"/>
  <pageMargins left="0.71" right="0.26" top="0.66" bottom="0.71" header="0.61" footer="0.4"/>
  <pageSetup horizontalDpi="600" verticalDpi="600" orientation="portrait" paperSize="17" r:id="rId1"/>
  <headerFooter alignWithMargins="0">
    <oddFooter>&amp;LFile:1/2, 2/1 Parts to Order&amp;CPage &amp;P of &amp;N&amp;RUpdated:  7/27/00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E10" sqref="E10"/>
    </sheetView>
  </sheetViews>
  <sheetFormatPr defaultColWidth="9.140625" defaultRowHeight="16.5" customHeight="1"/>
  <cols>
    <col min="1" max="1" width="4.00390625" style="0" customWidth="1"/>
    <col min="2" max="2" width="7.8515625" style="0" customWidth="1"/>
    <col min="3" max="3" width="3.57421875" style="0" customWidth="1"/>
    <col min="4" max="4" width="4.421875" style="31" customWidth="1"/>
    <col min="5" max="5" width="48.140625" style="125" customWidth="1"/>
    <col min="6" max="6" width="4.421875" style="219" customWidth="1"/>
    <col min="7" max="7" width="5.7109375" style="219" customWidth="1"/>
    <col min="8" max="8" width="3.421875" style="219" hidden="1" customWidth="1"/>
    <col min="9" max="9" width="5.7109375" style="219" hidden="1" customWidth="1"/>
    <col min="10" max="10" width="3.57421875" style="219" hidden="1" customWidth="1"/>
    <col min="11" max="11" width="5.7109375" style="219" hidden="1" customWidth="1"/>
    <col min="12" max="12" width="6.57421875" style="47" customWidth="1"/>
    <col min="13" max="13" width="7.00390625" style="219" customWidth="1"/>
    <col min="14" max="14" width="7.00390625" style="47" customWidth="1"/>
  </cols>
  <sheetData>
    <row r="1" spans="1:14" s="50" customFormat="1" ht="32.25" customHeight="1">
      <c r="A1" s="320" t="s">
        <v>505</v>
      </c>
      <c r="B1" s="321"/>
      <c r="C1" s="321"/>
      <c r="D1" s="321"/>
      <c r="E1" s="131" t="s">
        <v>85</v>
      </c>
      <c r="F1" s="322" t="s">
        <v>196</v>
      </c>
      <c r="G1" s="323"/>
      <c r="H1" s="322" t="s">
        <v>196</v>
      </c>
      <c r="I1" s="323"/>
      <c r="J1" s="322" t="s">
        <v>196</v>
      </c>
      <c r="K1" s="323"/>
      <c r="L1" s="226" t="s">
        <v>86</v>
      </c>
      <c r="M1" s="226" t="s">
        <v>88</v>
      </c>
      <c r="N1" s="3" t="s">
        <v>454</v>
      </c>
    </row>
    <row r="2" spans="1:14" s="124" customFormat="1" ht="16.5" customHeight="1">
      <c r="A2" s="120" t="s">
        <v>193</v>
      </c>
      <c r="B2" s="120" t="s">
        <v>445</v>
      </c>
      <c r="C2" s="121" t="s">
        <v>194</v>
      </c>
      <c r="D2" s="72" t="s">
        <v>89</v>
      </c>
      <c r="E2" s="126" t="s">
        <v>195</v>
      </c>
      <c r="F2" s="324" t="s">
        <v>208</v>
      </c>
      <c r="G2" s="325"/>
      <c r="H2" s="324" t="s">
        <v>210</v>
      </c>
      <c r="I2" s="325"/>
      <c r="J2" s="324" t="s">
        <v>211</v>
      </c>
      <c r="K2" s="325"/>
      <c r="L2" s="127" t="s">
        <v>87</v>
      </c>
      <c r="M2" s="233" t="s">
        <v>202</v>
      </c>
      <c r="N2" s="127" t="s">
        <v>455</v>
      </c>
    </row>
    <row r="3" spans="1:14" s="50" customFormat="1" ht="18.75" customHeight="1">
      <c r="A3" s="47"/>
      <c r="B3" s="47"/>
      <c r="C3" s="48"/>
      <c r="D3" s="65"/>
      <c r="E3" s="132" t="s">
        <v>474</v>
      </c>
      <c r="F3" s="326">
        <v>37135</v>
      </c>
      <c r="G3" s="323"/>
      <c r="H3" s="326">
        <v>37135</v>
      </c>
      <c r="I3" s="323"/>
      <c r="J3" s="326">
        <v>37135</v>
      </c>
      <c r="K3" s="323"/>
      <c r="M3" s="3"/>
      <c r="N3" s="3"/>
    </row>
    <row r="4" spans="1:14" s="50" customFormat="1" ht="14.25" customHeight="1">
      <c r="A4" s="47"/>
      <c r="B4" s="47"/>
      <c r="C4" s="48"/>
      <c r="D4" s="65"/>
      <c r="E4" s="132" t="s">
        <v>139</v>
      </c>
      <c r="F4" s="81">
        <v>-1</v>
      </c>
      <c r="G4" s="82">
        <v>72</v>
      </c>
      <c r="H4" s="81">
        <v>-1</v>
      </c>
      <c r="I4" s="82">
        <v>36</v>
      </c>
      <c r="J4" s="81">
        <v>-1</v>
      </c>
      <c r="K4" s="82">
        <v>36</v>
      </c>
      <c r="L4" s="3" t="s">
        <v>246</v>
      </c>
      <c r="M4" s="3"/>
      <c r="N4" s="3"/>
    </row>
    <row r="5" spans="1:14" s="50" customFormat="1" ht="14.25" customHeight="1">
      <c r="A5" s="47"/>
      <c r="B5" s="47"/>
      <c r="C5" s="48"/>
      <c r="D5" s="65"/>
      <c r="E5" s="132" t="s">
        <v>140</v>
      </c>
      <c r="F5" s="81"/>
      <c r="G5" s="82">
        <v>2</v>
      </c>
      <c r="H5" s="81"/>
      <c r="I5" s="82">
        <v>2</v>
      </c>
      <c r="J5" s="81"/>
      <c r="K5" s="82">
        <v>2</v>
      </c>
      <c r="L5" s="3" t="s">
        <v>246</v>
      </c>
      <c r="M5" s="3"/>
      <c r="N5" s="3"/>
    </row>
    <row r="6" spans="1:14" s="50" customFormat="1" ht="14.25" customHeight="1">
      <c r="A6" s="47"/>
      <c r="B6" s="47"/>
      <c r="C6" s="48"/>
      <c r="D6" s="65"/>
      <c r="E6" s="132" t="s">
        <v>113</v>
      </c>
      <c r="F6" s="81"/>
      <c r="G6" s="82">
        <f>SUM(G4:G5)</f>
        <v>74</v>
      </c>
      <c r="H6" s="81"/>
      <c r="I6" s="82">
        <f>SUM(I4:I5)</f>
        <v>38</v>
      </c>
      <c r="J6" s="81"/>
      <c r="K6" s="82">
        <f>SUM(K4:K5)</f>
        <v>38</v>
      </c>
      <c r="L6" s="232">
        <v>2</v>
      </c>
      <c r="M6" s="3"/>
      <c r="N6" s="3"/>
    </row>
    <row r="7" spans="1:14" s="62" customFormat="1" ht="27.75" customHeight="1">
      <c r="A7" s="100"/>
      <c r="B7" s="100"/>
      <c r="C7" s="100"/>
      <c r="D7" s="97"/>
      <c r="E7" s="222" t="s">
        <v>82</v>
      </c>
      <c r="F7" s="142"/>
      <c r="G7" s="223"/>
      <c r="H7" s="112"/>
      <c r="I7" s="119"/>
      <c r="J7" s="112"/>
      <c r="K7" s="119"/>
      <c r="L7" s="227"/>
      <c r="M7" s="129"/>
      <c r="N7" s="233"/>
    </row>
    <row r="8" spans="1:14" s="144" customFormat="1" ht="14.25" customHeight="1">
      <c r="A8" s="142" t="s">
        <v>228</v>
      </c>
      <c r="B8" s="142">
        <v>368112</v>
      </c>
      <c r="C8" s="142" t="s">
        <v>228</v>
      </c>
      <c r="D8" s="312" t="s">
        <v>29</v>
      </c>
      <c r="E8" s="313" t="s">
        <v>477</v>
      </c>
      <c r="F8" s="142" t="s">
        <v>279</v>
      </c>
      <c r="G8" s="223">
        <f aca="true" t="shared" si="0" ref="G8:G23">F8*G$6</f>
        <v>74</v>
      </c>
      <c r="H8" s="314"/>
      <c r="I8" s="315"/>
      <c r="J8" s="314"/>
      <c r="K8" s="315"/>
      <c r="L8" s="227">
        <f aca="true" t="shared" si="1" ref="L8:L23">2*F8</f>
        <v>2</v>
      </c>
      <c r="M8" s="227">
        <f aca="true" t="shared" si="2" ref="M8:M23">L8+G8</f>
        <v>76</v>
      </c>
      <c r="N8" s="233" t="s">
        <v>232</v>
      </c>
    </row>
    <row r="9" spans="1:14" s="144" customFormat="1" ht="14.25" customHeight="1">
      <c r="A9" s="141" t="s">
        <v>235</v>
      </c>
      <c r="B9" s="141">
        <v>368113</v>
      </c>
      <c r="C9" s="141" t="s">
        <v>228</v>
      </c>
      <c r="D9" s="47" t="s">
        <v>29</v>
      </c>
      <c r="E9" s="316" t="s">
        <v>476</v>
      </c>
      <c r="F9" s="142" t="s">
        <v>279</v>
      </c>
      <c r="G9" s="223">
        <f t="shared" si="0"/>
        <v>74</v>
      </c>
      <c r="H9" s="317"/>
      <c r="I9" s="309"/>
      <c r="J9" s="317"/>
      <c r="K9" s="309"/>
      <c r="L9" s="228">
        <f t="shared" si="1"/>
        <v>2</v>
      </c>
      <c r="M9" s="228">
        <f t="shared" si="2"/>
        <v>76</v>
      </c>
      <c r="N9" s="233" t="s">
        <v>232</v>
      </c>
    </row>
    <row r="10" spans="1:14" ht="14.25" customHeight="1">
      <c r="A10" s="100" t="s">
        <v>228</v>
      </c>
      <c r="B10" s="100">
        <v>368429</v>
      </c>
      <c r="C10" s="100" t="s">
        <v>228</v>
      </c>
      <c r="D10" s="152" t="s">
        <v>29</v>
      </c>
      <c r="E10" s="105" t="s">
        <v>479</v>
      </c>
      <c r="F10" s="47">
        <v>1</v>
      </c>
      <c r="G10" s="223">
        <f t="shared" si="0"/>
        <v>74</v>
      </c>
      <c r="H10" s="229"/>
      <c r="I10" s="230"/>
      <c r="J10" s="229"/>
      <c r="K10" s="230"/>
      <c r="L10" s="228">
        <f t="shared" si="1"/>
        <v>2</v>
      </c>
      <c r="M10" s="228">
        <f t="shared" si="2"/>
        <v>76</v>
      </c>
      <c r="N10" s="3" t="s">
        <v>161</v>
      </c>
    </row>
    <row r="11" spans="1:14" ht="14.25" customHeight="1">
      <c r="A11" s="108" t="s">
        <v>391</v>
      </c>
      <c r="B11" s="108">
        <v>368440</v>
      </c>
      <c r="C11" s="108" t="s">
        <v>246</v>
      </c>
      <c r="D11" s="152" t="s">
        <v>29</v>
      </c>
      <c r="E11" s="105" t="s">
        <v>480</v>
      </c>
      <c r="F11" s="47">
        <v>6</v>
      </c>
      <c r="G11" s="223">
        <f t="shared" si="0"/>
        <v>444</v>
      </c>
      <c r="H11" s="229"/>
      <c r="I11" s="230"/>
      <c r="J11" s="229"/>
      <c r="K11" s="230"/>
      <c r="L11" s="228">
        <f t="shared" si="1"/>
        <v>12</v>
      </c>
      <c r="M11" s="228">
        <f t="shared" si="2"/>
        <v>456</v>
      </c>
      <c r="N11" s="3" t="s">
        <v>126</v>
      </c>
    </row>
    <row r="12" spans="1:14" s="59" customFormat="1" ht="14.25" customHeight="1">
      <c r="A12" s="310" t="s">
        <v>391</v>
      </c>
      <c r="B12" s="310">
        <v>368441</v>
      </c>
      <c r="C12" s="310" t="s">
        <v>246</v>
      </c>
      <c r="D12" s="311" t="s">
        <v>29</v>
      </c>
      <c r="E12" s="316" t="s">
        <v>475</v>
      </c>
      <c r="F12" s="47">
        <v>2</v>
      </c>
      <c r="G12" s="223">
        <f t="shared" si="0"/>
        <v>148</v>
      </c>
      <c r="H12" s="318"/>
      <c r="I12" s="319"/>
      <c r="J12" s="318"/>
      <c r="K12" s="319"/>
      <c r="L12" s="228">
        <f t="shared" si="1"/>
        <v>4</v>
      </c>
      <c r="M12" s="228">
        <f t="shared" si="2"/>
        <v>152</v>
      </c>
      <c r="N12" s="3" t="s">
        <v>126</v>
      </c>
    </row>
    <row r="13" spans="1:14" ht="14.25" customHeight="1">
      <c r="A13" s="108" t="s">
        <v>391</v>
      </c>
      <c r="B13" s="108">
        <v>368442</v>
      </c>
      <c r="C13" s="108" t="s">
        <v>228</v>
      </c>
      <c r="D13" s="152" t="s">
        <v>29</v>
      </c>
      <c r="E13" s="105" t="s">
        <v>481</v>
      </c>
      <c r="F13" s="47">
        <v>6</v>
      </c>
      <c r="G13" s="223">
        <f t="shared" si="0"/>
        <v>444</v>
      </c>
      <c r="H13" s="229"/>
      <c r="I13" s="230"/>
      <c r="J13" s="229"/>
      <c r="K13" s="230"/>
      <c r="L13" s="228">
        <f t="shared" si="1"/>
        <v>12</v>
      </c>
      <c r="M13" s="228">
        <f t="shared" si="2"/>
        <v>456</v>
      </c>
      <c r="N13" s="3" t="s">
        <v>126</v>
      </c>
    </row>
    <row r="14" spans="1:14" ht="14.25" customHeight="1">
      <c r="A14" s="108" t="s">
        <v>391</v>
      </c>
      <c r="B14" s="108">
        <v>368443</v>
      </c>
      <c r="C14" s="108" t="s">
        <v>228</v>
      </c>
      <c r="D14" s="152" t="s">
        <v>29</v>
      </c>
      <c r="E14" s="105" t="s">
        <v>482</v>
      </c>
      <c r="F14" s="47">
        <v>6</v>
      </c>
      <c r="G14" s="223">
        <f t="shared" si="0"/>
        <v>444</v>
      </c>
      <c r="H14" s="229"/>
      <c r="I14" s="230"/>
      <c r="J14" s="229"/>
      <c r="K14" s="230"/>
      <c r="L14" s="228">
        <f t="shared" si="1"/>
        <v>12</v>
      </c>
      <c r="M14" s="228">
        <f t="shared" si="2"/>
        <v>456</v>
      </c>
      <c r="N14" s="3" t="s">
        <v>126</v>
      </c>
    </row>
    <row r="15" spans="1:14" ht="14.25" customHeight="1">
      <c r="A15" s="108" t="s">
        <v>391</v>
      </c>
      <c r="B15" s="108">
        <v>368444</v>
      </c>
      <c r="C15" s="108" t="s">
        <v>246</v>
      </c>
      <c r="D15" s="152" t="s">
        <v>29</v>
      </c>
      <c r="E15" s="105" t="s">
        <v>483</v>
      </c>
      <c r="F15" s="47">
        <v>4</v>
      </c>
      <c r="G15" s="223">
        <f t="shared" si="0"/>
        <v>296</v>
      </c>
      <c r="H15" s="229"/>
      <c r="I15" s="230"/>
      <c r="J15" s="229"/>
      <c r="K15" s="230"/>
      <c r="L15" s="228">
        <f t="shared" si="1"/>
        <v>8</v>
      </c>
      <c r="M15" s="228">
        <f t="shared" si="2"/>
        <v>304</v>
      </c>
      <c r="N15" s="3" t="s">
        <v>126</v>
      </c>
    </row>
    <row r="16" spans="1:14" ht="14.25" customHeight="1">
      <c r="A16" s="108" t="s">
        <v>228</v>
      </c>
      <c r="B16" s="108">
        <v>368445</v>
      </c>
      <c r="C16" s="108" t="s">
        <v>246</v>
      </c>
      <c r="D16" s="152" t="s">
        <v>29</v>
      </c>
      <c r="E16" s="105" t="s">
        <v>484</v>
      </c>
      <c r="F16" s="47">
        <v>4</v>
      </c>
      <c r="G16" s="223">
        <f t="shared" si="0"/>
        <v>296</v>
      </c>
      <c r="H16" s="229"/>
      <c r="I16" s="230"/>
      <c r="J16" s="229"/>
      <c r="K16" s="230"/>
      <c r="L16" s="228">
        <f t="shared" si="1"/>
        <v>8</v>
      </c>
      <c r="M16" s="228">
        <f t="shared" si="2"/>
        <v>304</v>
      </c>
      <c r="N16" s="3" t="s">
        <v>126</v>
      </c>
    </row>
    <row r="17" spans="1:14" ht="14.25" customHeight="1">
      <c r="A17" s="108" t="s">
        <v>228</v>
      </c>
      <c r="B17" s="108">
        <v>368446</v>
      </c>
      <c r="C17" s="108" t="s">
        <v>246</v>
      </c>
      <c r="D17" s="152" t="s">
        <v>29</v>
      </c>
      <c r="E17" s="105" t="s">
        <v>485</v>
      </c>
      <c r="F17" s="47">
        <v>8</v>
      </c>
      <c r="G17" s="223">
        <f t="shared" si="0"/>
        <v>592</v>
      </c>
      <c r="H17" s="229"/>
      <c r="I17" s="230"/>
      <c r="J17" s="229"/>
      <c r="K17" s="230"/>
      <c r="L17" s="228">
        <f t="shared" si="1"/>
        <v>16</v>
      </c>
      <c r="M17" s="228">
        <f t="shared" si="2"/>
        <v>608</v>
      </c>
      <c r="N17" s="3" t="s">
        <v>126</v>
      </c>
    </row>
    <row r="18" spans="1:14" ht="14.25" customHeight="1">
      <c r="A18" s="108" t="s">
        <v>235</v>
      </c>
      <c r="B18" s="108">
        <v>368448</v>
      </c>
      <c r="C18" s="108" t="s">
        <v>228</v>
      </c>
      <c r="D18" s="153" t="s">
        <v>29</v>
      </c>
      <c r="E18" s="117" t="s">
        <v>174</v>
      </c>
      <c r="F18" s="47">
        <v>6</v>
      </c>
      <c r="G18" s="223">
        <f t="shared" si="0"/>
        <v>444</v>
      </c>
      <c r="H18" s="229"/>
      <c r="I18" s="230"/>
      <c r="J18" s="229"/>
      <c r="K18" s="230"/>
      <c r="L18" s="228">
        <f t="shared" si="1"/>
        <v>12</v>
      </c>
      <c r="M18" s="228">
        <f t="shared" si="2"/>
        <v>456</v>
      </c>
      <c r="N18" s="3" t="s">
        <v>298</v>
      </c>
    </row>
    <row r="19" spans="1:14" ht="14.25" customHeight="1">
      <c r="A19" s="108" t="s">
        <v>235</v>
      </c>
      <c r="B19" s="108">
        <v>368450</v>
      </c>
      <c r="C19" s="108" t="s">
        <v>228</v>
      </c>
      <c r="D19" s="153" t="s">
        <v>29</v>
      </c>
      <c r="E19" s="117" t="s">
        <v>175</v>
      </c>
      <c r="F19" s="47">
        <v>6</v>
      </c>
      <c r="G19" s="223">
        <f t="shared" si="0"/>
        <v>444</v>
      </c>
      <c r="H19" s="229"/>
      <c r="I19" s="230"/>
      <c r="J19" s="229"/>
      <c r="K19" s="230"/>
      <c r="L19" s="228">
        <f t="shared" si="1"/>
        <v>12</v>
      </c>
      <c r="M19" s="228">
        <f t="shared" si="2"/>
        <v>456</v>
      </c>
      <c r="N19" s="3" t="s">
        <v>298</v>
      </c>
    </row>
    <row r="20" spans="1:14" ht="14.25" customHeight="1">
      <c r="A20" s="108" t="s">
        <v>235</v>
      </c>
      <c r="B20" s="108">
        <v>368452</v>
      </c>
      <c r="C20" s="108" t="s">
        <v>228</v>
      </c>
      <c r="D20" s="153" t="s">
        <v>29</v>
      </c>
      <c r="E20" s="117" t="s">
        <v>176</v>
      </c>
      <c r="F20" s="47">
        <v>6</v>
      </c>
      <c r="G20" s="223">
        <f t="shared" si="0"/>
        <v>444</v>
      </c>
      <c r="H20" s="229"/>
      <c r="I20" s="230"/>
      <c r="J20" s="229"/>
      <c r="K20" s="230"/>
      <c r="L20" s="228">
        <f t="shared" si="1"/>
        <v>12</v>
      </c>
      <c r="M20" s="228">
        <f t="shared" si="2"/>
        <v>456</v>
      </c>
      <c r="N20" s="3" t="s">
        <v>298</v>
      </c>
    </row>
    <row r="21" spans="1:14" ht="14.25" customHeight="1">
      <c r="A21" s="108" t="s">
        <v>235</v>
      </c>
      <c r="B21" s="108">
        <v>368454</v>
      </c>
      <c r="C21" s="108" t="s">
        <v>228</v>
      </c>
      <c r="D21" s="152" t="s">
        <v>29</v>
      </c>
      <c r="E21" s="105" t="s">
        <v>177</v>
      </c>
      <c r="F21" s="47">
        <v>6</v>
      </c>
      <c r="G21" s="223">
        <f t="shared" si="0"/>
        <v>444</v>
      </c>
      <c r="H21" s="229"/>
      <c r="I21" s="230"/>
      <c r="J21" s="229"/>
      <c r="K21" s="230"/>
      <c r="L21" s="228">
        <f t="shared" si="1"/>
        <v>12</v>
      </c>
      <c r="M21" s="228">
        <f t="shared" si="2"/>
        <v>456</v>
      </c>
      <c r="N21" s="3" t="s">
        <v>298</v>
      </c>
    </row>
    <row r="22" spans="1:14" ht="14.25" customHeight="1">
      <c r="A22" s="108" t="s">
        <v>235</v>
      </c>
      <c r="B22" s="108">
        <v>368456</v>
      </c>
      <c r="C22" s="108" t="s">
        <v>228</v>
      </c>
      <c r="D22" s="152" t="s">
        <v>29</v>
      </c>
      <c r="E22" s="105" t="s">
        <v>178</v>
      </c>
      <c r="F22" s="47">
        <v>6</v>
      </c>
      <c r="G22" s="223">
        <f t="shared" si="0"/>
        <v>444</v>
      </c>
      <c r="H22" s="229"/>
      <c r="I22" s="230"/>
      <c r="J22" s="229"/>
      <c r="K22" s="230"/>
      <c r="L22" s="228">
        <f t="shared" si="1"/>
        <v>12</v>
      </c>
      <c r="M22" s="228">
        <f t="shared" si="2"/>
        <v>456</v>
      </c>
      <c r="N22" s="3" t="s">
        <v>298</v>
      </c>
    </row>
    <row r="23" spans="1:14" ht="14.25" customHeight="1">
      <c r="A23" s="108" t="s">
        <v>235</v>
      </c>
      <c r="B23" s="108">
        <v>368458</v>
      </c>
      <c r="C23" s="108" t="s">
        <v>235</v>
      </c>
      <c r="D23" s="152" t="s">
        <v>29</v>
      </c>
      <c r="E23" s="105" t="s">
        <v>179</v>
      </c>
      <c r="F23" s="47">
        <v>6</v>
      </c>
      <c r="G23" s="223">
        <f t="shared" si="0"/>
        <v>444</v>
      </c>
      <c r="H23" s="229"/>
      <c r="I23" s="230"/>
      <c r="J23" s="229"/>
      <c r="K23" s="230"/>
      <c r="L23" s="228">
        <f t="shared" si="1"/>
        <v>12</v>
      </c>
      <c r="M23" s="228">
        <f t="shared" si="2"/>
        <v>456</v>
      </c>
      <c r="N23" s="3" t="s">
        <v>298</v>
      </c>
    </row>
    <row r="24" spans="1:14" ht="27.75" customHeight="1" hidden="1">
      <c r="A24" s="108"/>
      <c r="B24" s="108"/>
      <c r="C24" s="108"/>
      <c r="D24" s="152"/>
      <c r="E24" s="221" t="s">
        <v>83</v>
      </c>
      <c r="G24" s="224"/>
      <c r="H24" s="229"/>
      <c r="I24" s="230"/>
      <c r="J24" s="229"/>
      <c r="K24" s="230"/>
      <c r="L24" s="228"/>
      <c r="M24" s="228"/>
      <c r="N24" s="3"/>
    </row>
    <row r="25" spans="1:14" s="62" customFormat="1" ht="14.25" customHeight="1" hidden="1">
      <c r="A25" s="100" t="s">
        <v>228</v>
      </c>
      <c r="B25" s="100">
        <v>368008</v>
      </c>
      <c r="C25" s="100" t="s">
        <v>391</v>
      </c>
      <c r="D25" s="18" t="s">
        <v>29</v>
      </c>
      <c r="E25" s="62" t="s">
        <v>77</v>
      </c>
      <c r="G25" s="101"/>
      <c r="H25" s="193" t="s">
        <v>279</v>
      </c>
      <c r="I25" s="231">
        <f aca="true" t="shared" si="3" ref="I25:I40">H25*I$6</f>
        <v>38</v>
      </c>
      <c r="J25" s="112"/>
      <c r="K25" s="119"/>
      <c r="L25" s="228">
        <f>2*H25</f>
        <v>2</v>
      </c>
      <c r="M25" s="228">
        <f>L25+I25</f>
        <v>40</v>
      </c>
      <c r="N25" s="233" t="s">
        <v>232</v>
      </c>
    </row>
    <row r="26" spans="1:14" s="62" customFormat="1" ht="14.25" customHeight="1" hidden="1">
      <c r="A26" s="100" t="s">
        <v>228</v>
      </c>
      <c r="B26" s="100">
        <v>368009</v>
      </c>
      <c r="C26" s="100" t="s">
        <v>235</v>
      </c>
      <c r="D26" s="18" t="s">
        <v>29</v>
      </c>
      <c r="E26" s="62" t="s">
        <v>76</v>
      </c>
      <c r="G26" s="101"/>
      <c r="H26" s="142" t="s">
        <v>279</v>
      </c>
      <c r="I26" s="223">
        <f t="shared" si="3"/>
        <v>38</v>
      </c>
      <c r="J26" s="75"/>
      <c r="K26" s="101"/>
      <c r="L26" s="228">
        <f aca="true" t="shared" si="4" ref="L26:L40">2*H26</f>
        <v>2</v>
      </c>
      <c r="M26" s="228">
        <f aca="true" t="shared" si="5" ref="M26:M40">L26+I26</f>
        <v>40</v>
      </c>
      <c r="N26" s="233" t="s">
        <v>232</v>
      </c>
    </row>
    <row r="27" spans="1:14" ht="14.25" customHeight="1" hidden="1">
      <c r="A27" s="115" t="s">
        <v>391</v>
      </c>
      <c r="B27" s="115">
        <v>368193</v>
      </c>
      <c r="C27" s="115" t="s">
        <v>235</v>
      </c>
      <c r="D27" s="192" t="s">
        <v>29</v>
      </c>
      <c r="E27" s="116" t="s">
        <v>75</v>
      </c>
      <c r="G27" s="224"/>
      <c r="H27" s="47">
        <v>2</v>
      </c>
      <c r="I27" s="223">
        <f t="shared" si="3"/>
        <v>76</v>
      </c>
      <c r="K27" s="224"/>
      <c r="L27" s="228">
        <f t="shared" si="4"/>
        <v>4</v>
      </c>
      <c r="M27" s="228">
        <f t="shared" si="5"/>
        <v>80</v>
      </c>
      <c r="N27" s="3" t="s">
        <v>126</v>
      </c>
    </row>
    <row r="28" spans="1:14" ht="14.25" customHeight="1" hidden="1">
      <c r="A28" s="115" t="s">
        <v>391</v>
      </c>
      <c r="B28" s="115">
        <v>368194</v>
      </c>
      <c r="C28" s="115" t="s">
        <v>235</v>
      </c>
      <c r="D28" s="192" t="s">
        <v>29</v>
      </c>
      <c r="E28" s="116" t="s">
        <v>74</v>
      </c>
      <c r="G28" s="224"/>
      <c r="H28" s="47">
        <v>4</v>
      </c>
      <c r="I28" s="223">
        <f t="shared" si="3"/>
        <v>152</v>
      </c>
      <c r="K28" s="224"/>
      <c r="L28" s="228">
        <f t="shared" si="4"/>
        <v>8</v>
      </c>
      <c r="M28" s="228">
        <f t="shared" si="5"/>
        <v>160</v>
      </c>
      <c r="N28" s="3" t="s">
        <v>126</v>
      </c>
    </row>
    <row r="29" spans="1:14" ht="14.25" customHeight="1" hidden="1">
      <c r="A29" s="100" t="s">
        <v>391</v>
      </c>
      <c r="B29" s="100">
        <v>368460</v>
      </c>
      <c r="C29" s="100" t="s">
        <v>235</v>
      </c>
      <c r="D29" s="152" t="s">
        <v>29</v>
      </c>
      <c r="E29" s="62" t="s">
        <v>487</v>
      </c>
      <c r="G29" s="224"/>
      <c r="H29" s="47">
        <v>6</v>
      </c>
      <c r="I29" s="223">
        <f t="shared" si="3"/>
        <v>228</v>
      </c>
      <c r="K29" s="224"/>
      <c r="L29" s="228">
        <f t="shared" si="4"/>
        <v>12</v>
      </c>
      <c r="M29" s="228">
        <f t="shared" si="5"/>
        <v>240</v>
      </c>
      <c r="N29" s="3" t="s">
        <v>126</v>
      </c>
    </row>
    <row r="30" spans="1:14" ht="14.25" customHeight="1" hidden="1">
      <c r="A30" s="100" t="s">
        <v>391</v>
      </c>
      <c r="B30" s="100">
        <v>368463</v>
      </c>
      <c r="C30" s="100" t="s">
        <v>228</v>
      </c>
      <c r="D30" s="152" t="s">
        <v>29</v>
      </c>
      <c r="E30" s="62" t="s">
        <v>488</v>
      </c>
      <c r="G30" s="224"/>
      <c r="H30" s="47">
        <v>6</v>
      </c>
      <c r="I30" s="223">
        <f t="shared" si="3"/>
        <v>228</v>
      </c>
      <c r="K30" s="224"/>
      <c r="L30" s="228">
        <f t="shared" si="4"/>
        <v>12</v>
      </c>
      <c r="M30" s="228">
        <f t="shared" si="5"/>
        <v>240</v>
      </c>
      <c r="N30" s="3" t="s">
        <v>126</v>
      </c>
    </row>
    <row r="31" spans="1:14" ht="14.25" customHeight="1" hidden="1">
      <c r="A31" s="100" t="s">
        <v>391</v>
      </c>
      <c r="B31" s="100">
        <v>368464</v>
      </c>
      <c r="C31" s="100" t="s">
        <v>228</v>
      </c>
      <c r="D31" s="152" t="s">
        <v>29</v>
      </c>
      <c r="E31" s="62" t="s">
        <v>489</v>
      </c>
      <c r="G31" s="224"/>
      <c r="H31" s="47">
        <v>6</v>
      </c>
      <c r="I31" s="223">
        <f t="shared" si="3"/>
        <v>228</v>
      </c>
      <c r="K31" s="224"/>
      <c r="L31" s="228">
        <f t="shared" si="4"/>
        <v>12</v>
      </c>
      <c r="M31" s="228">
        <f t="shared" si="5"/>
        <v>240</v>
      </c>
      <c r="N31" s="3" t="s">
        <v>126</v>
      </c>
    </row>
    <row r="32" spans="1:14" ht="14.25" customHeight="1" hidden="1">
      <c r="A32" s="100" t="s">
        <v>228</v>
      </c>
      <c r="B32" s="100">
        <v>368465</v>
      </c>
      <c r="C32" s="100" t="s">
        <v>246</v>
      </c>
      <c r="D32" s="190" t="s">
        <v>29</v>
      </c>
      <c r="E32" s="62" t="s">
        <v>490</v>
      </c>
      <c r="G32" s="224"/>
      <c r="H32" s="47">
        <v>4</v>
      </c>
      <c r="I32" s="223">
        <f t="shared" si="3"/>
        <v>152</v>
      </c>
      <c r="K32" s="224"/>
      <c r="L32" s="228">
        <f t="shared" si="4"/>
        <v>8</v>
      </c>
      <c r="M32" s="228">
        <f t="shared" si="5"/>
        <v>160</v>
      </c>
      <c r="N32" s="3" t="s">
        <v>126</v>
      </c>
    </row>
    <row r="33" spans="1:14" ht="14.25" customHeight="1" hidden="1">
      <c r="A33" s="100" t="s">
        <v>228</v>
      </c>
      <c r="B33" s="100">
        <v>368466</v>
      </c>
      <c r="C33" s="100" t="s">
        <v>246</v>
      </c>
      <c r="D33" s="190" t="s">
        <v>29</v>
      </c>
      <c r="E33" s="62" t="s">
        <v>491</v>
      </c>
      <c r="G33" s="224"/>
      <c r="H33" s="47">
        <v>8</v>
      </c>
      <c r="I33" s="223">
        <f t="shared" si="3"/>
        <v>304</v>
      </c>
      <c r="K33" s="224"/>
      <c r="L33" s="228">
        <f t="shared" si="4"/>
        <v>16</v>
      </c>
      <c r="M33" s="228">
        <f t="shared" si="5"/>
        <v>320</v>
      </c>
      <c r="N33" s="3" t="s">
        <v>126</v>
      </c>
    </row>
    <row r="34" spans="1:14" ht="14.25" customHeight="1" hidden="1">
      <c r="A34" s="100" t="s">
        <v>235</v>
      </c>
      <c r="B34" s="100">
        <v>368468</v>
      </c>
      <c r="C34" s="100" t="s">
        <v>228</v>
      </c>
      <c r="D34" s="190" t="s">
        <v>29</v>
      </c>
      <c r="E34" s="60" t="s">
        <v>180</v>
      </c>
      <c r="G34" s="224"/>
      <c r="H34" s="47">
        <v>6</v>
      </c>
      <c r="I34" s="223">
        <f t="shared" si="3"/>
        <v>228</v>
      </c>
      <c r="K34" s="224"/>
      <c r="L34" s="228">
        <f t="shared" si="4"/>
        <v>12</v>
      </c>
      <c r="M34" s="228">
        <f t="shared" si="5"/>
        <v>240</v>
      </c>
      <c r="N34" s="3" t="s">
        <v>298</v>
      </c>
    </row>
    <row r="35" spans="1:14" ht="14.25" customHeight="1" hidden="1">
      <c r="A35" s="100" t="s">
        <v>235</v>
      </c>
      <c r="B35" s="100">
        <v>368470</v>
      </c>
      <c r="C35" s="100" t="s">
        <v>228</v>
      </c>
      <c r="D35" s="190" t="s">
        <v>29</v>
      </c>
      <c r="E35" s="60" t="s">
        <v>181</v>
      </c>
      <c r="G35" s="224"/>
      <c r="H35" s="47">
        <v>6</v>
      </c>
      <c r="I35" s="223">
        <f t="shared" si="3"/>
        <v>228</v>
      </c>
      <c r="K35" s="224"/>
      <c r="L35" s="228">
        <f t="shared" si="4"/>
        <v>12</v>
      </c>
      <c r="M35" s="228">
        <f t="shared" si="5"/>
        <v>240</v>
      </c>
      <c r="N35" s="3" t="s">
        <v>298</v>
      </c>
    </row>
    <row r="36" spans="1:14" ht="14.25" customHeight="1" hidden="1">
      <c r="A36" s="100" t="s">
        <v>235</v>
      </c>
      <c r="B36" s="100">
        <v>368472</v>
      </c>
      <c r="C36" s="100" t="s">
        <v>228</v>
      </c>
      <c r="D36" s="190" t="s">
        <v>29</v>
      </c>
      <c r="E36" s="60" t="s">
        <v>182</v>
      </c>
      <c r="G36" s="224"/>
      <c r="H36" s="47">
        <v>6</v>
      </c>
      <c r="I36" s="223">
        <f t="shared" si="3"/>
        <v>228</v>
      </c>
      <c r="K36" s="224"/>
      <c r="L36" s="228">
        <f t="shared" si="4"/>
        <v>12</v>
      </c>
      <c r="M36" s="228">
        <f t="shared" si="5"/>
        <v>240</v>
      </c>
      <c r="N36" s="3" t="s">
        <v>298</v>
      </c>
    </row>
    <row r="37" spans="1:14" ht="14.25" customHeight="1" hidden="1">
      <c r="A37" s="100" t="s">
        <v>235</v>
      </c>
      <c r="B37" s="100">
        <v>368474</v>
      </c>
      <c r="C37" s="100" t="s">
        <v>228</v>
      </c>
      <c r="D37" s="190" t="s">
        <v>29</v>
      </c>
      <c r="E37" s="60" t="s">
        <v>183</v>
      </c>
      <c r="G37" s="224"/>
      <c r="H37" s="47">
        <v>6</v>
      </c>
      <c r="I37" s="223">
        <f t="shared" si="3"/>
        <v>228</v>
      </c>
      <c r="K37" s="224"/>
      <c r="L37" s="228">
        <f t="shared" si="4"/>
        <v>12</v>
      </c>
      <c r="M37" s="228">
        <f t="shared" si="5"/>
        <v>240</v>
      </c>
      <c r="N37" s="3" t="s">
        <v>298</v>
      </c>
    </row>
    <row r="38" spans="1:14" ht="14.25" customHeight="1" hidden="1">
      <c r="A38" s="100" t="s">
        <v>235</v>
      </c>
      <c r="B38" s="100">
        <v>368476</v>
      </c>
      <c r="C38" s="100" t="s">
        <v>228</v>
      </c>
      <c r="D38" s="190" t="s">
        <v>29</v>
      </c>
      <c r="E38" s="60" t="s">
        <v>184</v>
      </c>
      <c r="G38" s="224"/>
      <c r="H38" s="47">
        <v>6</v>
      </c>
      <c r="I38" s="223">
        <f t="shared" si="3"/>
        <v>228</v>
      </c>
      <c r="K38" s="224"/>
      <c r="L38" s="228">
        <f t="shared" si="4"/>
        <v>12</v>
      </c>
      <c r="M38" s="228">
        <f t="shared" si="5"/>
        <v>240</v>
      </c>
      <c r="N38" s="3" t="s">
        <v>298</v>
      </c>
    </row>
    <row r="39" spans="1:14" ht="14.25" customHeight="1" hidden="1">
      <c r="A39" s="100" t="s">
        <v>235</v>
      </c>
      <c r="B39" s="100">
        <v>368478</v>
      </c>
      <c r="C39" s="100" t="s">
        <v>228</v>
      </c>
      <c r="D39" s="190" t="s">
        <v>29</v>
      </c>
      <c r="E39" s="60" t="s">
        <v>185</v>
      </c>
      <c r="G39" s="224"/>
      <c r="H39" s="47">
        <v>6</v>
      </c>
      <c r="I39" s="223">
        <f t="shared" si="3"/>
        <v>228</v>
      </c>
      <c r="K39" s="224"/>
      <c r="L39" s="228">
        <f t="shared" si="4"/>
        <v>12</v>
      </c>
      <c r="M39" s="228">
        <f t="shared" si="5"/>
        <v>240</v>
      </c>
      <c r="N39" s="3" t="s">
        <v>298</v>
      </c>
    </row>
    <row r="40" spans="1:14" ht="14.25" customHeight="1" hidden="1">
      <c r="A40" s="100" t="s">
        <v>228</v>
      </c>
      <c r="B40" s="100">
        <v>368480</v>
      </c>
      <c r="C40" s="100" t="s">
        <v>246</v>
      </c>
      <c r="D40" s="190" t="s">
        <v>29</v>
      </c>
      <c r="E40" s="62" t="s">
        <v>70</v>
      </c>
      <c r="G40" s="224"/>
      <c r="H40" s="47">
        <v>1</v>
      </c>
      <c r="I40" s="223">
        <f t="shared" si="3"/>
        <v>38</v>
      </c>
      <c r="K40" s="224"/>
      <c r="L40" s="228">
        <f t="shared" si="4"/>
        <v>2</v>
      </c>
      <c r="M40" s="228">
        <f t="shared" si="5"/>
        <v>40</v>
      </c>
      <c r="N40" s="3" t="s">
        <v>246</v>
      </c>
    </row>
    <row r="41" spans="1:14" ht="27.75" customHeight="1" hidden="1">
      <c r="A41" s="100"/>
      <c r="B41" s="100"/>
      <c r="C41" s="100"/>
      <c r="D41" s="190"/>
      <c r="E41" s="220" t="s">
        <v>84</v>
      </c>
      <c r="I41" s="224"/>
      <c r="K41" s="224"/>
      <c r="L41" s="228"/>
      <c r="M41" s="228"/>
      <c r="N41" s="3"/>
    </row>
    <row r="42" spans="1:14" s="62" customFormat="1" ht="14.25" customHeight="1" hidden="1">
      <c r="A42" s="100" t="s">
        <v>228</v>
      </c>
      <c r="B42" s="100">
        <v>368008</v>
      </c>
      <c r="C42" s="100" t="s">
        <v>391</v>
      </c>
      <c r="D42" s="18" t="s">
        <v>29</v>
      </c>
      <c r="E42" s="62" t="s">
        <v>77</v>
      </c>
      <c r="G42" s="75"/>
      <c r="H42" s="75"/>
      <c r="I42" s="101"/>
      <c r="J42" s="142" t="s">
        <v>279</v>
      </c>
      <c r="K42" s="223">
        <f aca="true" t="shared" si="6" ref="K42:K57">J42*K$6</f>
        <v>38</v>
      </c>
      <c r="L42" s="228">
        <f>2*J42</f>
        <v>2</v>
      </c>
      <c r="M42" s="228">
        <f>L42+K42</f>
        <v>40</v>
      </c>
      <c r="N42" s="233" t="s">
        <v>232</v>
      </c>
    </row>
    <row r="43" spans="1:14" s="62" customFormat="1" ht="14.25" customHeight="1" hidden="1">
      <c r="A43" s="100" t="s">
        <v>228</v>
      </c>
      <c r="B43" s="100">
        <v>368009</v>
      </c>
      <c r="C43" s="100" t="s">
        <v>235</v>
      </c>
      <c r="D43" s="18" t="s">
        <v>29</v>
      </c>
      <c r="E43" s="62" t="s">
        <v>76</v>
      </c>
      <c r="G43" s="75"/>
      <c r="H43" s="75"/>
      <c r="I43" s="101"/>
      <c r="J43" s="142" t="s">
        <v>279</v>
      </c>
      <c r="K43" s="223">
        <f t="shared" si="6"/>
        <v>38</v>
      </c>
      <c r="L43" s="228">
        <f aca="true" t="shared" si="7" ref="L43:L57">2*J43</f>
        <v>2</v>
      </c>
      <c r="M43" s="228">
        <f aca="true" t="shared" si="8" ref="M43:M57">L43+K43</f>
        <v>40</v>
      </c>
      <c r="N43" s="233" t="s">
        <v>232</v>
      </c>
    </row>
    <row r="44" spans="1:14" ht="14.25" customHeight="1" hidden="1">
      <c r="A44" s="115" t="s">
        <v>235</v>
      </c>
      <c r="B44" s="108">
        <v>368486</v>
      </c>
      <c r="C44" s="108" t="s">
        <v>228</v>
      </c>
      <c r="D44" s="152" t="s">
        <v>29</v>
      </c>
      <c r="E44" s="60" t="s">
        <v>186</v>
      </c>
      <c r="I44" s="224"/>
      <c r="J44" s="47">
        <v>6</v>
      </c>
      <c r="K44" s="223">
        <f t="shared" si="6"/>
        <v>228</v>
      </c>
      <c r="L44" s="228">
        <f t="shared" si="7"/>
        <v>12</v>
      </c>
      <c r="M44" s="228">
        <f t="shared" si="8"/>
        <v>240</v>
      </c>
      <c r="N44" s="3" t="s">
        <v>126</v>
      </c>
    </row>
    <row r="45" spans="1:14" ht="14.25" customHeight="1" hidden="1">
      <c r="A45" s="100" t="s">
        <v>235</v>
      </c>
      <c r="B45" s="115">
        <v>368488</v>
      </c>
      <c r="C45" s="115" t="s">
        <v>228</v>
      </c>
      <c r="D45" s="152" t="s">
        <v>29</v>
      </c>
      <c r="E45" s="60" t="s">
        <v>187</v>
      </c>
      <c r="I45" s="224"/>
      <c r="J45" s="47">
        <v>6</v>
      </c>
      <c r="K45" s="223">
        <f t="shared" si="6"/>
        <v>228</v>
      </c>
      <c r="L45" s="228">
        <f t="shared" si="7"/>
        <v>12</v>
      </c>
      <c r="M45" s="228">
        <f t="shared" si="8"/>
        <v>240</v>
      </c>
      <c r="N45" s="3" t="s">
        <v>126</v>
      </c>
    </row>
    <row r="46" spans="1:14" ht="14.25" customHeight="1" hidden="1">
      <c r="A46" s="100" t="s">
        <v>235</v>
      </c>
      <c r="B46" s="115">
        <v>368490</v>
      </c>
      <c r="C46" s="115" t="s">
        <v>228</v>
      </c>
      <c r="D46" s="152" t="s">
        <v>29</v>
      </c>
      <c r="E46" s="60" t="s">
        <v>188</v>
      </c>
      <c r="I46" s="224"/>
      <c r="J46" s="47">
        <v>6</v>
      </c>
      <c r="K46" s="223">
        <f t="shared" si="6"/>
        <v>228</v>
      </c>
      <c r="L46" s="228">
        <f t="shared" si="7"/>
        <v>12</v>
      </c>
      <c r="M46" s="228">
        <f t="shared" si="8"/>
        <v>240</v>
      </c>
      <c r="N46" s="3" t="s">
        <v>126</v>
      </c>
    </row>
    <row r="47" spans="1:14" ht="14.25" customHeight="1" hidden="1">
      <c r="A47" s="100" t="s">
        <v>235</v>
      </c>
      <c r="B47" s="115">
        <v>368492</v>
      </c>
      <c r="C47" s="115" t="s">
        <v>228</v>
      </c>
      <c r="D47" s="152" t="s">
        <v>29</v>
      </c>
      <c r="E47" s="60" t="s">
        <v>189</v>
      </c>
      <c r="I47" s="224"/>
      <c r="J47" s="47">
        <v>6</v>
      </c>
      <c r="K47" s="223">
        <f t="shared" si="6"/>
        <v>228</v>
      </c>
      <c r="L47" s="228">
        <f t="shared" si="7"/>
        <v>12</v>
      </c>
      <c r="M47" s="228">
        <f t="shared" si="8"/>
        <v>240</v>
      </c>
      <c r="N47" s="3" t="s">
        <v>126</v>
      </c>
    </row>
    <row r="48" spans="1:14" ht="14.25" customHeight="1" hidden="1">
      <c r="A48" s="100" t="s">
        <v>235</v>
      </c>
      <c r="B48" s="115">
        <v>368494</v>
      </c>
      <c r="C48" s="115" t="s">
        <v>228</v>
      </c>
      <c r="D48" s="152" t="s">
        <v>29</v>
      </c>
      <c r="E48" s="60" t="s">
        <v>190</v>
      </c>
      <c r="I48" s="224"/>
      <c r="J48" s="47">
        <v>6</v>
      </c>
      <c r="K48" s="223">
        <f t="shared" si="6"/>
        <v>228</v>
      </c>
      <c r="L48" s="228">
        <f t="shared" si="7"/>
        <v>12</v>
      </c>
      <c r="M48" s="228">
        <f t="shared" si="8"/>
        <v>240</v>
      </c>
      <c r="N48" s="3" t="s">
        <v>126</v>
      </c>
    </row>
    <row r="49" spans="1:14" ht="14.25" customHeight="1" hidden="1">
      <c r="A49" s="100" t="s">
        <v>235</v>
      </c>
      <c r="B49" s="115">
        <v>368496</v>
      </c>
      <c r="C49" s="115" t="s">
        <v>228</v>
      </c>
      <c r="D49" s="152" t="s">
        <v>29</v>
      </c>
      <c r="E49" s="60" t="s">
        <v>191</v>
      </c>
      <c r="I49" s="224"/>
      <c r="J49" s="47">
        <v>6</v>
      </c>
      <c r="K49" s="223">
        <f t="shared" si="6"/>
        <v>228</v>
      </c>
      <c r="L49" s="228">
        <f t="shared" si="7"/>
        <v>12</v>
      </c>
      <c r="M49" s="228">
        <f t="shared" si="8"/>
        <v>240</v>
      </c>
      <c r="N49" s="3" t="s">
        <v>126</v>
      </c>
    </row>
    <row r="50" spans="1:14" ht="14.25" customHeight="1" hidden="1">
      <c r="A50" s="115" t="s">
        <v>391</v>
      </c>
      <c r="B50" s="115">
        <v>368193</v>
      </c>
      <c r="C50" s="115" t="s">
        <v>235</v>
      </c>
      <c r="D50" s="192" t="s">
        <v>29</v>
      </c>
      <c r="E50" s="116" t="s">
        <v>75</v>
      </c>
      <c r="I50" s="224"/>
      <c r="J50" s="47">
        <v>2</v>
      </c>
      <c r="K50" s="223">
        <f t="shared" si="6"/>
        <v>76</v>
      </c>
      <c r="L50" s="228">
        <f t="shared" si="7"/>
        <v>4</v>
      </c>
      <c r="M50" s="228">
        <f t="shared" si="8"/>
        <v>80</v>
      </c>
      <c r="N50" s="3" t="s">
        <v>126</v>
      </c>
    </row>
    <row r="51" spans="1:14" s="54" customFormat="1" ht="14.25" customHeight="1" hidden="1">
      <c r="A51" s="115" t="s">
        <v>391</v>
      </c>
      <c r="B51" s="115">
        <v>368194</v>
      </c>
      <c r="C51" s="115" t="s">
        <v>235</v>
      </c>
      <c r="D51" s="192" t="s">
        <v>29</v>
      </c>
      <c r="E51" s="116" t="s">
        <v>74</v>
      </c>
      <c r="F51" s="18"/>
      <c r="G51" s="18"/>
      <c r="H51" s="18"/>
      <c r="I51" s="225"/>
      <c r="J51" s="47">
        <v>4</v>
      </c>
      <c r="K51" s="223">
        <f t="shared" si="6"/>
        <v>152</v>
      </c>
      <c r="L51" s="228">
        <f t="shared" si="7"/>
        <v>8</v>
      </c>
      <c r="M51" s="228">
        <f t="shared" si="8"/>
        <v>160</v>
      </c>
      <c r="N51" s="3" t="s">
        <v>298</v>
      </c>
    </row>
    <row r="52" spans="1:14" s="54" customFormat="1" ht="14.25" customHeight="1" hidden="1">
      <c r="A52" s="100" t="s">
        <v>391</v>
      </c>
      <c r="B52" s="115">
        <v>368498</v>
      </c>
      <c r="C52" s="115" t="s">
        <v>246</v>
      </c>
      <c r="D52" s="152" t="s">
        <v>29</v>
      </c>
      <c r="E52" s="60" t="s">
        <v>166</v>
      </c>
      <c r="F52" s="18"/>
      <c r="G52" s="18"/>
      <c r="H52" s="18"/>
      <c r="I52" s="225"/>
      <c r="J52" s="47">
        <v>6</v>
      </c>
      <c r="K52" s="223">
        <f t="shared" si="6"/>
        <v>228</v>
      </c>
      <c r="L52" s="228">
        <f t="shared" si="7"/>
        <v>12</v>
      </c>
      <c r="M52" s="228">
        <f t="shared" si="8"/>
        <v>240</v>
      </c>
      <c r="N52" s="3" t="s">
        <v>298</v>
      </c>
    </row>
    <row r="53" spans="1:14" s="54" customFormat="1" ht="14.25" customHeight="1" hidden="1">
      <c r="A53" s="100" t="s">
        <v>391</v>
      </c>
      <c r="B53" s="115">
        <v>368499</v>
      </c>
      <c r="C53" s="115" t="s">
        <v>246</v>
      </c>
      <c r="D53" s="152" t="s">
        <v>29</v>
      </c>
      <c r="E53" s="60" t="s">
        <v>167</v>
      </c>
      <c r="F53" s="18"/>
      <c r="G53" s="18"/>
      <c r="H53" s="18"/>
      <c r="I53" s="225"/>
      <c r="J53" s="47">
        <v>6</v>
      </c>
      <c r="K53" s="223">
        <f t="shared" si="6"/>
        <v>228</v>
      </c>
      <c r="L53" s="228">
        <f t="shared" si="7"/>
        <v>12</v>
      </c>
      <c r="M53" s="228">
        <f t="shared" si="8"/>
        <v>240</v>
      </c>
      <c r="N53" s="3" t="s">
        <v>298</v>
      </c>
    </row>
    <row r="54" spans="1:14" s="54" customFormat="1" ht="14.25" customHeight="1" hidden="1">
      <c r="A54" s="100" t="s">
        <v>391</v>
      </c>
      <c r="B54" s="115">
        <v>368500</v>
      </c>
      <c r="C54" s="115" t="s">
        <v>246</v>
      </c>
      <c r="D54" s="152" t="s">
        <v>29</v>
      </c>
      <c r="E54" s="60" t="s">
        <v>168</v>
      </c>
      <c r="F54" s="18"/>
      <c r="G54" s="18"/>
      <c r="H54" s="18"/>
      <c r="I54" s="225"/>
      <c r="J54" s="47">
        <v>6</v>
      </c>
      <c r="K54" s="223">
        <f t="shared" si="6"/>
        <v>228</v>
      </c>
      <c r="L54" s="228">
        <f t="shared" si="7"/>
        <v>12</v>
      </c>
      <c r="M54" s="228">
        <f t="shared" si="8"/>
        <v>240</v>
      </c>
      <c r="N54" s="3" t="s">
        <v>298</v>
      </c>
    </row>
    <row r="55" spans="1:14" s="54" customFormat="1" ht="14.25" customHeight="1" hidden="1">
      <c r="A55" s="100" t="s">
        <v>228</v>
      </c>
      <c r="B55" s="115">
        <v>368501</v>
      </c>
      <c r="C55" s="115" t="s">
        <v>246</v>
      </c>
      <c r="D55" s="152" t="s">
        <v>29</v>
      </c>
      <c r="E55" s="60" t="s">
        <v>169</v>
      </c>
      <c r="F55" s="18"/>
      <c r="G55" s="18"/>
      <c r="H55" s="18"/>
      <c r="I55" s="225"/>
      <c r="J55" s="47">
        <v>4</v>
      </c>
      <c r="K55" s="223">
        <f t="shared" si="6"/>
        <v>152</v>
      </c>
      <c r="L55" s="228">
        <f t="shared" si="7"/>
        <v>8</v>
      </c>
      <c r="M55" s="228">
        <f t="shared" si="8"/>
        <v>160</v>
      </c>
      <c r="N55" s="3" t="s">
        <v>298</v>
      </c>
    </row>
    <row r="56" spans="1:14" s="54" customFormat="1" ht="14.25" customHeight="1" hidden="1">
      <c r="A56" s="100" t="s">
        <v>228</v>
      </c>
      <c r="B56" s="115">
        <v>368502</v>
      </c>
      <c r="C56" s="115" t="s">
        <v>246</v>
      </c>
      <c r="D56" s="152" t="s">
        <v>29</v>
      </c>
      <c r="E56" s="62" t="s">
        <v>170</v>
      </c>
      <c r="F56" s="18"/>
      <c r="G56" s="18"/>
      <c r="H56" s="18"/>
      <c r="I56" s="225"/>
      <c r="J56" s="47">
        <v>8</v>
      </c>
      <c r="K56" s="223">
        <f t="shared" si="6"/>
        <v>304</v>
      </c>
      <c r="L56" s="228">
        <f t="shared" si="7"/>
        <v>16</v>
      </c>
      <c r="M56" s="228">
        <f t="shared" si="8"/>
        <v>320</v>
      </c>
      <c r="N56" s="3" t="s">
        <v>298</v>
      </c>
    </row>
    <row r="57" spans="1:14" s="54" customFormat="1" ht="14.25" customHeight="1" hidden="1">
      <c r="A57" s="100" t="s">
        <v>228</v>
      </c>
      <c r="B57" s="115">
        <v>368503</v>
      </c>
      <c r="C57" s="115" t="s">
        <v>246</v>
      </c>
      <c r="D57" s="152" t="s">
        <v>29</v>
      </c>
      <c r="E57" s="60" t="s">
        <v>101</v>
      </c>
      <c r="F57" s="18"/>
      <c r="G57" s="18"/>
      <c r="H57" s="18"/>
      <c r="I57" s="225"/>
      <c r="J57" s="47">
        <v>1</v>
      </c>
      <c r="K57" s="223">
        <f t="shared" si="6"/>
        <v>38</v>
      </c>
      <c r="L57" s="228">
        <f t="shared" si="7"/>
        <v>2</v>
      </c>
      <c r="M57" s="228">
        <f t="shared" si="8"/>
        <v>40</v>
      </c>
      <c r="N57" s="3" t="s">
        <v>246</v>
      </c>
    </row>
    <row r="59" spans="4:5" ht="16.5" customHeight="1">
      <c r="D59" s="307"/>
      <c r="E59" s="308"/>
    </row>
  </sheetData>
  <mergeCells count="10">
    <mergeCell ref="A1:D1"/>
    <mergeCell ref="J1:K1"/>
    <mergeCell ref="J2:K2"/>
    <mergeCell ref="F3:G3"/>
    <mergeCell ref="H3:I3"/>
    <mergeCell ref="J3:K3"/>
    <mergeCell ref="F1:G1"/>
    <mergeCell ref="H1:I1"/>
    <mergeCell ref="F2:G2"/>
    <mergeCell ref="H2:I2"/>
  </mergeCells>
  <printOptions gridLines="1"/>
  <pageMargins left="0.56" right="0.47" top="0.67" bottom="0.64" header="0.5" footer="0.3"/>
  <pageSetup horizontalDpi="600" verticalDpi="600" orientation="portrait" scale="80" r:id="rId1"/>
  <headerFooter alignWithMargins="0">
    <oddFooter>&amp;LFile: ChamberBasicBOM/Cu Parts for
ME 1/3, 3/1, &amp; ME 4/1&amp;Cpage &amp;P of &amp;N&amp;RPrinted: &amp;D
Updated: 6/19/2002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A1" sqref="A1"/>
    </sheetView>
  </sheetViews>
  <sheetFormatPr defaultColWidth="9.140625" defaultRowHeight="12.75" outlineLevelRow="3"/>
  <cols>
    <col min="1" max="1" width="4.00390625" style="54" customWidth="1"/>
    <col min="2" max="2" width="9.140625" style="54" customWidth="1"/>
    <col min="3" max="3" width="3.57421875" style="54" customWidth="1"/>
    <col min="4" max="4" width="45.57421875" style="54" customWidth="1"/>
    <col min="5" max="5" width="10.421875" style="54" customWidth="1"/>
    <col min="6" max="6" width="6.421875" style="54" customWidth="1"/>
    <col min="7" max="18" width="6.421875" style="147" customWidth="1"/>
    <col min="19" max="20" width="8.57421875" style="147" customWidth="1"/>
    <col min="21" max="21" width="10.7109375" style="147" customWidth="1"/>
    <col min="22" max="16384" width="9.140625" style="54" customWidth="1"/>
  </cols>
  <sheetData>
    <row r="1" spans="1:21" s="50" customFormat="1" ht="15.75" customHeight="1">
      <c r="A1" s="47"/>
      <c r="B1" s="47"/>
      <c r="C1" s="65"/>
      <c r="D1" s="51" t="s">
        <v>171</v>
      </c>
      <c r="E1" s="55" t="s">
        <v>444</v>
      </c>
      <c r="F1" s="49" t="s">
        <v>196</v>
      </c>
      <c r="G1" s="2"/>
      <c r="H1" s="49" t="s">
        <v>196</v>
      </c>
      <c r="I1" s="2"/>
      <c r="J1" s="49" t="s">
        <v>196</v>
      </c>
      <c r="K1" s="2"/>
      <c r="L1" s="49" t="s">
        <v>196</v>
      </c>
      <c r="M1" s="84"/>
      <c r="N1" s="4" t="s">
        <v>196</v>
      </c>
      <c r="O1" s="84"/>
      <c r="P1" s="49" t="s">
        <v>196</v>
      </c>
      <c r="Q1" s="84"/>
      <c r="R1" s="80" t="s">
        <v>94</v>
      </c>
      <c r="S1" s="80" t="s">
        <v>132</v>
      </c>
      <c r="T1" s="80"/>
      <c r="U1" s="80" t="s">
        <v>197</v>
      </c>
    </row>
    <row r="2" spans="1:21" s="50" customFormat="1" ht="15.75" customHeight="1">
      <c r="A2" s="47" t="s">
        <v>193</v>
      </c>
      <c r="B2" s="47" t="s">
        <v>445</v>
      </c>
      <c r="C2" s="65"/>
      <c r="D2" s="47" t="s">
        <v>195</v>
      </c>
      <c r="E2" s="47" t="s">
        <v>446</v>
      </c>
      <c r="F2" s="49" t="s">
        <v>207</v>
      </c>
      <c r="G2" s="2"/>
      <c r="H2" s="49" t="s">
        <v>208</v>
      </c>
      <c r="I2" s="2"/>
      <c r="J2" s="49" t="s">
        <v>209</v>
      </c>
      <c r="K2" s="2"/>
      <c r="L2" s="49" t="s">
        <v>210</v>
      </c>
      <c r="M2" s="84"/>
      <c r="N2" s="4" t="s">
        <v>211</v>
      </c>
      <c r="O2" s="84"/>
      <c r="P2" s="49" t="s">
        <v>212</v>
      </c>
      <c r="Q2" s="84"/>
      <c r="R2" s="80" t="s">
        <v>92</v>
      </c>
      <c r="S2" s="88" t="s">
        <v>133</v>
      </c>
      <c r="T2" s="88"/>
      <c r="U2" s="88" t="s">
        <v>134</v>
      </c>
    </row>
    <row r="3" spans="1:21" s="50" customFormat="1" ht="15.75" customHeight="1">
      <c r="A3" s="47"/>
      <c r="B3" s="47"/>
      <c r="C3" s="65"/>
      <c r="D3" s="47"/>
      <c r="E3" s="47"/>
      <c r="F3" s="49"/>
      <c r="G3" s="2"/>
      <c r="H3" s="49"/>
      <c r="I3" s="2"/>
      <c r="J3" s="49"/>
      <c r="K3" s="2"/>
      <c r="L3" s="49"/>
      <c r="M3" s="84"/>
      <c r="N3" s="4"/>
      <c r="O3" s="84"/>
      <c r="P3" s="49"/>
      <c r="Q3" s="84"/>
      <c r="S3" s="88" t="s">
        <v>273</v>
      </c>
      <c r="T3" s="88" t="s">
        <v>274</v>
      </c>
      <c r="U3" s="88" t="s">
        <v>132</v>
      </c>
    </row>
    <row r="4" spans="1:21" s="50" customFormat="1" ht="15.75" customHeight="1">
      <c r="A4" s="47"/>
      <c r="B4" s="47"/>
      <c r="C4" s="65"/>
      <c r="D4" s="57" t="s">
        <v>139</v>
      </c>
      <c r="E4" s="47"/>
      <c r="F4" s="81">
        <v>-1</v>
      </c>
      <c r="G4" s="82">
        <v>72</v>
      </c>
      <c r="H4" s="81">
        <v>-1</v>
      </c>
      <c r="I4" s="82">
        <v>72</v>
      </c>
      <c r="J4" s="81">
        <v>-1</v>
      </c>
      <c r="K4" s="82">
        <v>36</v>
      </c>
      <c r="L4" s="81">
        <v>-1</v>
      </c>
      <c r="M4" s="82">
        <v>36</v>
      </c>
      <c r="N4" s="81">
        <v>-1</v>
      </c>
      <c r="O4" s="82">
        <v>36</v>
      </c>
      <c r="P4" s="81">
        <v>-1</v>
      </c>
      <c r="Q4" s="82">
        <v>144</v>
      </c>
      <c r="R4" s="86">
        <f>I4+K4+M4+O4+Q4</f>
        <v>324</v>
      </c>
      <c r="S4" s="86"/>
      <c r="T4" s="86"/>
      <c r="U4" s="86"/>
    </row>
    <row r="5" spans="1:21" s="50" customFormat="1" ht="15.75" customHeight="1">
      <c r="A5" s="47"/>
      <c r="B5" s="47"/>
      <c r="C5" s="65"/>
      <c r="D5" s="57" t="s">
        <v>140</v>
      </c>
      <c r="E5" s="47"/>
      <c r="F5" s="81"/>
      <c r="G5" s="82">
        <v>4</v>
      </c>
      <c r="H5" s="81"/>
      <c r="I5" s="82">
        <v>4</v>
      </c>
      <c r="J5" s="81"/>
      <c r="K5" s="82">
        <v>4</v>
      </c>
      <c r="L5" s="81"/>
      <c r="M5" s="82">
        <v>4</v>
      </c>
      <c r="N5" s="81"/>
      <c r="O5" s="82">
        <v>4</v>
      </c>
      <c r="P5" s="81"/>
      <c r="Q5" s="82">
        <v>6</v>
      </c>
      <c r="R5" s="86">
        <f>I5+K5+M5+O5+Q5</f>
        <v>22</v>
      </c>
      <c r="S5" s="86"/>
      <c r="T5" s="86"/>
      <c r="U5" s="86"/>
    </row>
    <row r="6" spans="1:21" s="50" customFormat="1" ht="15.75" customHeight="1">
      <c r="A6" s="47"/>
      <c r="B6" s="47"/>
      <c r="C6" s="65"/>
      <c r="D6" s="57" t="s">
        <v>272</v>
      </c>
      <c r="E6" s="47"/>
      <c r="F6" s="81"/>
      <c r="G6" s="82">
        <f>SUM(G4:G5)</f>
        <v>76</v>
      </c>
      <c r="H6" s="81"/>
      <c r="I6" s="82">
        <f>SUM(I4:I5)</f>
        <v>76</v>
      </c>
      <c r="J6" s="81"/>
      <c r="K6" s="82">
        <f>SUM(K4:K5)</f>
        <v>40</v>
      </c>
      <c r="L6" s="81"/>
      <c r="M6" s="82">
        <f>SUM(M4:M5)</f>
        <v>40</v>
      </c>
      <c r="N6" s="81"/>
      <c r="O6" s="82">
        <f>SUM(O4:O5)</f>
        <v>40</v>
      </c>
      <c r="P6" s="81"/>
      <c r="Q6" s="82">
        <f>SUM(Q4:Q5)</f>
        <v>150</v>
      </c>
      <c r="R6" s="86">
        <f>I6+K6+M6+O6+Q6</f>
        <v>346</v>
      </c>
      <c r="S6" s="86"/>
      <c r="T6" s="86"/>
      <c r="U6" s="86"/>
    </row>
    <row r="7" spans="1:21" s="50" customFormat="1" ht="15.75" customHeight="1">
      <c r="A7" s="47"/>
      <c r="B7" s="47"/>
      <c r="C7" s="65"/>
      <c r="D7" s="57"/>
      <c r="E7" s="47"/>
      <c r="F7" s="81"/>
      <c r="G7" s="82"/>
      <c r="H7" s="81"/>
      <c r="I7" s="82"/>
      <c r="J7" s="81"/>
      <c r="K7" s="82"/>
      <c r="L7" s="81"/>
      <c r="M7" s="82"/>
      <c r="N7" s="81"/>
      <c r="O7" s="82"/>
      <c r="P7" s="81"/>
      <c r="Q7" s="82"/>
      <c r="R7" s="86"/>
      <c r="S7" s="86"/>
      <c r="T7" s="86"/>
      <c r="U7" s="86"/>
    </row>
    <row r="8" spans="1:21" s="62" customFormat="1" ht="15.75" customHeight="1">
      <c r="A8" s="100" t="s">
        <v>391</v>
      </c>
      <c r="B8" s="100">
        <v>368043</v>
      </c>
      <c r="C8" s="97" t="s">
        <v>137</v>
      </c>
      <c r="D8" s="62" t="s">
        <v>145</v>
      </c>
      <c r="E8" s="106" t="s">
        <v>15</v>
      </c>
      <c r="F8" s="75">
        <v>0.5</v>
      </c>
      <c r="G8" s="137">
        <f>F8*G$6</f>
        <v>38</v>
      </c>
      <c r="H8" s="133" t="s">
        <v>447</v>
      </c>
      <c r="I8" s="137">
        <f>H8*I$6</f>
        <v>0</v>
      </c>
      <c r="J8" s="133">
        <v>0.5</v>
      </c>
      <c r="K8" s="137">
        <f>J8*K$6</f>
        <v>20</v>
      </c>
      <c r="L8" s="133">
        <v>0.5</v>
      </c>
      <c r="M8" s="137">
        <f>L8*M$6</f>
        <v>20</v>
      </c>
      <c r="N8" s="133">
        <v>0.5</v>
      </c>
      <c r="O8" s="137">
        <f>N8*O$6</f>
        <v>20</v>
      </c>
      <c r="P8" s="134">
        <v>0.5</v>
      </c>
      <c r="Q8" s="137">
        <f aca="true" t="shared" si="0" ref="Q8:Q25">P8*Q$6</f>
        <v>75</v>
      </c>
      <c r="R8" s="140">
        <f>G8+I8+K8+M8+O8+Q8</f>
        <v>173</v>
      </c>
      <c r="S8" s="135">
        <v>10</v>
      </c>
      <c r="T8" s="114">
        <f>S8*R8/100</f>
        <v>17.3</v>
      </c>
      <c r="U8" s="114">
        <f>T8+R8</f>
        <v>190.3</v>
      </c>
    </row>
    <row r="9" spans="1:21" s="60" customFormat="1" ht="15.75" customHeight="1">
      <c r="A9" s="108" t="s">
        <v>391</v>
      </c>
      <c r="B9" s="108">
        <v>368044</v>
      </c>
      <c r="C9" s="98" t="s">
        <v>137</v>
      </c>
      <c r="D9" s="60" t="s">
        <v>146</v>
      </c>
      <c r="E9" s="109" t="s">
        <v>17</v>
      </c>
      <c r="F9" s="110">
        <v>0.5</v>
      </c>
      <c r="G9" s="137">
        <f aca="true" t="shared" si="1" ref="G9:G25">F9*G$6</f>
        <v>38</v>
      </c>
      <c r="H9" s="136">
        <v>0</v>
      </c>
      <c r="I9" s="137">
        <f aca="true" t="shared" si="2" ref="I9:I25">H9*I$6</f>
        <v>0</v>
      </c>
      <c r="J9" s="133">
        <v>0.5</v>
      </c>
      <c r="K9" s="137">
        <f aca="true" t="shared" si="3" ref="K9:K26">J9*K$6</f>
        <v>20</v>
      </c>
      <c r="L9" s="133">
        <v>0.5</v>
      </c>
      <c r="M9" s="137">
        <f aca="true" t="shared" si="4" ref="M9:M26">L9*M$6</f>
        <v>20</v>
      </c>
      <c r="N9" s="133">
        <v>0.5</v>
      </c>
      <c r="O9" s="137">
        <f aca="true" t="shared" si="5" ref="O9:O26">N9*O$6</f>
        <v>20</v>
      </c>
      <c r="P9" s="134">
        <v>0.5</v>
      </c>
      <c r="Q9" s="137">
        <f t="shared" si="0"/>
        <v>75</v>
      </c>
      <c r="R9" s="140">
        <f aca="true" t="shared" si="6" ref="R9:R25">G9+I9+K9+M9+O9+Q9</f>
        <v>173</v>
      </c>
      <c r="S9" s="135">
        <v>10</v>
      </c>
      <c r="T9" s="114">
        <f aca="true" t="shared" si="7" ref="T9:T25">S9*R9/100</f>
        <v>17.3</v>
      </c>
      <c r="U9" s="114">
        <f aca="true" t="shared" si="8" ref="U9:U25">T9+R9</f>
        <v>190.3</v>
      </c>
    </row>
    <row r="10" spans="1:21" s="60" customFormat="1" ht="15.75" customHeight="1">
      <c r="A10" s="108" t="s">
        <v>391</v>
      </c>
      <c r="B10" s="108">
        <v>368045</v>
      </c>
      <c r="C10" s="98" t="s">
        <v>137</v>
      </c>
      <c r="D10" s="60" t="s">
        <v>147</v>
      </c>
      <c r="E10" s="109" t="s">
        <v>567</v>
      </c>
      <c r="F10" s="110">
        <v>0</v>
      </c>
      <c r="G10" s="137">
        <f t="shared" si="1"/>
        <v>0</v>
      </c>
      <c r="H10" s="136">
        <v>0</v>
      </c>
      <c r="I10" s="137">
        <f t="shared" si="2"/>
        <v>0</v>
      </c>
      <c r="J10" s="133">
        <v>1</v>
      </c>
      <c r="K10" s="137">
        <f t="shared" si="3"/>
        <v>40</v>
      </c>
      <c r="L10" s="133">
        <v>1</v>
      </c>
      <c r="M10" s="137">
        <f t="shared" si="4"/>
        <v>40</v>
      </c>
      <c r="N10" s="133">
        <v>1</v>
      </c>
      <c r="O10" s="137">
        <f t="shared" si="5"/>
        <v>40</v>
      </c>
      <c r="P10" s="134">
        <v>1</v>
      </c>
      <c r="Q10" s="137">
        <f t="shared" si="0"/>
        <v>150</v>
      </c>
      <c r="R10" s="140">
        <f t="shared" si="6"/>
        <v>270</v>
      </c>
      <c r="S10" s="135">
        <v>10</v>
      </c>
      <c r="T10" s="114">
        <f t="shared" si="7"/>
        <v>27</v>
      </c>
      <c r="U10" s="114">
        <f t="shared" si="8"/>
        <v>297</v>
      </c>
    </row>
    <row r="11" spans="1:21" s="62" customFormat="1" ht="15.75" customHeight="1">
      <c r="A11" s="100" t="s">
        <v>391</v>
      </c>
      <c r="B11" s="100">
        <v>368058</v>
      </c>
      <c r="C11" s="97" t="s">
        <v>137</v>
      </c>
      <c r="D11" s="62" t="s">
        <v>148</v>
      </c>
      <c r="E11" s="79" t="s">
        <v>16</v>
      </c>
      <c r="F11" s="75">
        <v>0.5</v>
      </c>
      <c r="G11" s="137">
        <f t="shared" si="1"/>
        <v>38</v>
      </c>
      <c r="H11" s="133">
        <v>0</v>
      </c>
      <c r="I11" s="137">
        <f t="shared" si="2"/>
        <v>0</v>
      </c>
      <c r="J11" s="133">
        <v>0.5</v>
      </c>
      <c r="K11" s="137">
        <f t="shared" si="3"/>
        <v>20</v>
      </c>
      <c r="L11" s="133">
        <v>0.5</v>
      </c>
      <c r="M11" s="137">
        <f t="shared" si="4"/>
        <v>20</v>
      </c>
      <c r="N11" s="133">
        <v>0.5</v>
      </c>
      <c r="O11" s="137">
        <f t="shared" si="5"/>
        <v>20</v>
      </c>
      <c r="P11" s="134">
        <v>0.5</v>
      </c>
      <c r="Q11" s="137">
        <f t="shared" si="0"/>
        <v>75</v>
      </c>
      <c r="R11" s="140">
        <f t="shared" si="6"/>
        <v>173</v>
      </c>
      <c r="S11" s="135">
        <v>10</v>
      </c>
      <c r="T11" s="114">
        <f t="shared" si="7"/>
        <v>17.3</v>
      </c>
      <c r="U11" s="114">
        <f t="shared" si="8"/>
        <v>190.3</v>
      </c>
    </row>
    <row r="12" spans="1:21" s="62" customFormat="1" ht="15.75" customHeight="1">
      <c r="A12" s="100" t="s">
        <v>391</v>
      </c>
      <c r="B12" s="100">
        <v>368059</v>
      </c>
      <c r="C12" s="97" t="s">
        <v>137</v>
      </c>
      <c r="D12" s="62" t="s">
        <v>149</v>
      </c>
      <c r="E12" s="79" t="s">
        <v>18</v>
      </c>
      <c r="F12" s="75">
        <v>0.5</v>
      </c>
      <c r="G12" s="137">
        <f t="shared" si="1"/>
        <v>38</v>
      </c>
      <c r="H12" s="133">
        <v>0</v>
      </c>
      <c r="I12" s="137">
        <f t="shared" si="2"/>
        <v>0</v>
      </c>
      <c r="J12" s="133">
        <v>0.5</v>
      </c>
      <c r="K12" s="137">
        <f t="shared" si="3"/>
        <v>20</v>
      </c>
      <c r="L12" s="133">
        <v>0.5</v>
      </c>
      <c r="M12" s="137">
        <f t="shared" si="4"/>
        <v>20</v>
      </c>
      <c r="N12" s="133">
        <v>0.5</v>
      </c>
      <c r="O12" s="137">
        <f t="shared" si="5"/>
        <v>20</v>
      </c>
      <c r="P12" s="134">
        <v>0.5</v>
      </c>
      <c r="Q12" s="137">
        <f t="shared" si="0"/>
        <v>75</v>
      </c>
      <c r="R12" s="140">
        <f t="shared" si="6"/>
        <v>173</v>
      </c>
      <c r="S12" s="135">
        <v>10</v>
      </c>
      <c r="T12" s="114">
        <f t="shared" si="7"/>
        <v>17.3</v>
      </c>
      <c r="U12" s="114">
        <f t="shared" si="8"/>
        <v>190.3</v>
      </c>
    </row>
    <row r="13" spans="1:21" s="62" customFormat="1" ht="15.75" customHeight="1">
      <c r="A13" s="100" t="s">
        <v>391</v>
      </c>
      <c r="B13" s="100">
        <v>368060</v>
      </c>
      <c r="C13" s="97" t="s">
        <v>137</v>
      </c>
      <c r="D13" s="62" t="s">
        <v>150</v>
      </c>
      <c r="E13" s="106" t="s">
        <v>568</v>
      </c>
      <c r="F13" s="75">
        <v>0</v>
      </c>
      <c r="G13" s="137">
        <f t="shared" si="1"/>
        <v>0</v>
      </c>
      <c r="H13" s="133" t="s">
        <v>447</v>
      </c>
      <c r="I13" s="137">
        <f t="shared" si="2"/>
        <v>0</v>
      </c>
      <c r="J13" s="133">
        <v>1</v>
      </c>
      <c r="K13" s="137">
        <f t="shared" si="3"/>
        <v>40</v>
      </c>
      <c r="L13" s="133">
        <v>1</v>
      </c>
      <c r="M13" s="137">
        <f t="shared" si="4"/>
        <v>40</v>
      </c>
      <c r="N13" s="133">
        <v>1</v>
      </c>
      <c r="O13" s="137">
        <f t="shared" si="5"/>
        <v>40</v>
      </c>
      <c r="P13" s="134">
        <v>1</v>
      </c>
      <c r="Q13" s="137">
        <f t="shared" si="0"/>
        <v>150</v>
      </c>
      <c r="R13" s="140">
        <f t="shared" si="6"/>
        <v>270</v>
      </c>
      <c r="S13" s="135">
        <v>10</v>
      </c>
      <c r="T13" s="114">
        <f t="shared" si="7"/>
        <v>27</v>
      </c>
      <c r="U13" s="114">
        <f t="shared" si="8"/>
        <v>297</v>
      </c>
    </row>
    <row r="14" spans="1:21" ht="15.75" customHeight="1" outlineLevel="3">
      <c r="A14" s="18" t="s">
        <v>391</v>
      </c>
      <c r="B14" s="8">
        <v>368190</v>
      </c>
      <c r="D14" s="54" t="s">
        <v>151</v>
      </c>
      <c r="E14" s="138" t="s">
        <v>144</v>
      </c>
      <c r="F14" s="66">
        <v>0.55</v>
      </c>
      <c r="G14" s="137">
        <f t="shared" si="1"/>
        <v>41.800000000000004</v>
      </c>
      <c r="H14" s="133">
        <v>0</v>
      </c>
      <c r="I14" s="137">
        <f t="shared" si="2"/>
        <v>0</v>
      </c>
      <c r="J14" s="133">
        <v>0</v>
      </c>
      <c r="K14" s="137">
        <f t="shared" si="3"/>
        <v>0</v>
      </c>
      <c r="L14" s="133">
        <v>0</v>
      </c>
      <c r="M14" s="137">
        <f t="shared" si="4"/>
        <v>0</v>
      </c>
      <c r="N14" s="133">
        <v>0</v>
      </c>
      <c r="O14" s="137">
        <f t="shared" si="5"/>
        <v>0</v>
      </c>
      <c r="P14" s="134">
        <v>0</v>
      </c>
      <c r="Q14" s="137">
        <f t="shared" si="0"/>
        <v>0</v>
      </c>
      <c r="R14" s="140">
        <f t="shared" si="6"/>
        <v>41.800000000000004</v>
      </c>
      <c r="S14" s="135">
        <v>10</v>
      </c>
      <c r="T14" s="114">
        <f>S14*R14/100</f>
        <v>4.180000000000001</v>
      </c>
      <c r="U14" s="114">
        <f t="shared" si="8"/>
        <v>45.980000000000004</v>
      </c>
    </row>
    <row r="15" spans="1:21" s="62" customFormat="1" ht="15.75" customHeight="1">
      <c r="A15" s="100" t="s">
        <v>391</v>
      </c>
      <c r="B15" s="100">
        <v>368332</v>
      </c>
      <c r="C15" s="97"/>
      <c r="D15" s="62" t="s">
        <v>152</v>
      </c>
      <c r="E15" s="79" t="s">
        <v>22</v>
      </c>
      <c r="F15" s="75">
        <v>0.55</v>
      </c>
      <c r="G15" s="137">
        <f t="shared" si="1"/>
        <v>41.800000000000004</v>
      </c>
      <c r="H15" s="133">
        <v>0</v>
      </c>
      <c r="I15" s="137">
        <f t="shared" si="2"/>
        <v>0</v>
      </c>
      <c r="J15" s="133">
        <v>0</v>
      </c>
      <c r="K15" s="137">
        <f t="shared" si="3"/>
        <v>0</v>
      </c>
      <c r="L15" s="133">
        <v>0</v>
      </c>
      <c r="M15" s="137">
        <f t="shared" si="4"/>
        <v>0</v>
      </c>
      <c r="N15" s="134">
        <v>0</v>
      </c>
      <c r="O15" s="137">
        <f t="shared" si="5"/>
        <v>0</v>
      </c>
      <c r="P15" s="133">
        <v>0</v>
      </c>
      <c r="Q15" s="137">
        <f t="shared" si="0"/>
        <v>0</v>
      </c>
      <c r="R15" s="140">
        <f t="shared" si="6"/>
        <v>41.800000000000004</v>
      </c>
      <c r="S15" s="135">
        <v>10</v>
      </c>
      <c r="T15" s="114">
        <f t="shared" si="7"/>
        <v>4.180000000000001</v>
      </c>
      <c r="U15" s="114">
        <f t="shared" si="8"/>
        <v>45.980000000000004</v>
      </c>
    </row>
    <row r="16" spans="1:21" s="62" customFormat="1" ht="15.75" customHeight="1">
      <c r="A16" s="100" t="s">
        <v>391</v>
      </c>
      <c r="B16" s="100">
        <v>368333</v>
      </c>
      <c r="C16" s="97" t="s">
        <v>138</v>
      </c>
      <c r="D16" s="62" t="s">
        <v>153</v>
      </c>
      <c r="E16" s="79" t="s">
        <v>23</v>
      </c>
      <c r="F16" s="75">
        <v>0.55</v>
      </c>
      <c r="G16" s="137">
        <f t="shared" si="1"/>
        <v>41.800000000000004</v>
      </c>
      <c r="H16" s="133">
        <v>0</v>
      </c>
      <c r="I16" s="137">
        <f t="shared" si="2"/>
        <v>0</v>
      </c>
      <c r="J16" s="133">
        <v>0</v>
      </c>
      <c r="K16" s="137">
        <f t="shared" si="3"/>
        <v>0</v>
      </c>
      <c r="L16" s="133">
        <v>0</v>
      </c>
      <c r="M16" s="137">
        <f t="shared" si="4"/>
        <v>0</v>
      </c>
      <c r="N16" s="134">
        <v>0</v>
      </c>
      <c r="O16" s="137">
        <f t="shared" si="5"/>
        <v>0</v>
      </c>
      <c r="P16" s="133">
        <v>0</v>
      </c>
      <c r="Q16" s="137">
        <f t="shared" si="0"/>
        <v>0</v>
      </c>
      <c r="R16" s="140">
        <f t="shared" si="6"/>
        <v>41.800000000000004</v>
      </c>
      <c r="S16" s="135">
        <v>10</v>
      </c>
      <c r="T16" s="114">
        <f t="shared" si="7"/>
        <v>4.180000000000001</v>
      </c>
      <c r="U16" s="114">
        <f t="shared" si="8"/>
        <v>45.980000000000004</v>
      </c>
    </row>
    <row r="17" spans="1:21" s="62" customFormat="1" ht="15.75" customHeight="1">
      <c r="A17" s="100" t="s">
        <v>391</v>
      </c>
      <c r="B17" s="100">
        <v>368483</v>
      </c>
      <c r="C17" s="97" t="s">
        <v>138</v>
      </c>
      <c r="D17" s="62" t="s">
        <v>154</v>
      </c>
      <c r="E17" s="79" t="s">
        <v>21</v>
      </c>
      <c r="F17" s="75">
        <v>0.55</v>
      </c>
      <c r="G17" s="137">
        <f t="shared" si="1"/>
        <v>41.800000000000004</v>
      </c>
      <c r="H17" s="133">
        <v>0</v>
      </c>
      <c r="I17" s="137">
        <f t="shared" si="2"/>
        <v>0</v>
      </c>
      <c r="J17" s="133">
        <v>0</v>
      </c>
      <c r="K17" s="137">
        <f t="shared" si="3"/>
        <v>0</v>
      </c>
      <c r="L17" s="133">
        <v>0</v>
      </c>
      <c r="M17" s="137">
        <f t="shared" si="4"/>
        <v>0</v>
      </c>
      <c r="N17" s="134">
        <v>0</v>
      </c>
      <c r="O17" s="137">
        <f t="shared" si="5"/>
        <v>0</v>
      </c>
      <c r="P17" s="133">
        <v>0</v>
      </c>
      <c r="Q17" s="137">
        <f t="shared" si="0"/>
        <v>0</v>
      </c>
      <c r="R17" s="140">
        <f t="shared" si="6"/>
        <v>41.800000000000004</v>
      </c>
      <c r="S17" s="135">
        <v>10</v>
      </c>
      <c r="T17" s="114">
        <f t="shared" si="7"/>
        <v>4.180000000000001</v>
      </c>
      <c r="U17" s="114">
        <f t="shared" si="8"/>
        <v>45.980000000000004</v>
      </c>
    </row>
    <row r="18" spans="1:21" s="62" customFormat="1" ht="15.75" customHeight="1">
      <c r="A18" s="100"/>
      <c r="B18" s="100">
        <v>368651</v>
      </c>
      <c r="C18" s="97" t="s">
        <v>138</v>
      </c>
      <c r="D18" s="62" t="s">
        <v>155</v>
      </c>
      <c r="E18" s="106"/>
      <c r="F18" s="75">
        <v>0</v>
      </c>
      <c r="G18" s="137">
        <f t="shared" si="1"/>
        <v>0</v>
      </c>
      <c r="H18" s="133">
        <v>0.5</v>
      </c>
      <c r="I18" s="137">
        <f t="shared" si="2"/>
        <v>38</v>
      </c>
      <c r="J18" s="133" t="s">
        <v>447</v>
      </c>
      <c r="K18" s="137">
        <f t="shared" si="3"/>
        <v>0</v>
      </c>
      <c r="L18" s="133" t="s">
        <v>447</v>
      </c>
      <c r="M18" s="137">
        <f t="shared" si="4"/>
        <v>0</v>
      </c>
      <c r="N18" s="133" t="s">
        <v>447</v>
      </c>
      <c r="O18" s="137">
        <f t="shared" si="5"/>
        <v>0</v>
      </c>
      <c r="P18" s="133">
        <v>0</v>
      </c>
      <c r="Q18" s="137">
        <f t="shared" si="0"/>
        <v>0</v>
      </c>
      <c r="R18" s="140">
        <f t="shared" si="6"/>
        <v>38</v>
      </c>
      <c r="S18" s="135">
        <v>10</v>
      </c>
      <c r="T18" s="114">
        <f t="shared" si="7"/>
        <v>3.8</v>
      </c>
      <c r="U18" s="114">
        <f t="shared" si="8"/>
        <v>41.8</v>
      </c>
    </row>
    <row r="19" spans="1:21" s="62" customFormat="1" ht="15.75" customHeight="1">
      <c r="A19" s="100"/>
      <c r="B19" s="100">
        <v>368652</v>
      </c>
      <c r="C19" s="97" t="s">
        <v>138</v>
      </c>
      <c r="D19" s="62" t="s">
        <v>156</v>
      </c>
      <c r="E19" s="106"/>
      <c r="F19" s="75">
        <v>0</v>
      </c>
      <c r="G19" s="137">
        <f t="shared" si="1"/>
        <v>0</v>
      </c>
      <c r="H19" s="133">
        <v>0.5</v>
      </c>
      <c r="I19" s="137">
        <f t="shared" si="2"/>
        <v>38</v>
      </c>
      <c r="J19" s="133" t="s">
        <v>447</v>
      </c>
      <c r="K19" s="137">
        <f t="shared" si="3"/>
        <v>0</v>
      </c>
      <c r="L19" s="133" t="s">
        <v>447</v>
      </c>
      <c r="M19" s="137">
        <f t="shared" si="4"/>
        <v>0</v>
      </c>
      <c r="N19" s="133" t="s">
        <v>447</v>
      </c>
      <c r="O19" s="137">
        <f t="shared" si="5"/>
        <v>0</v>
      </c>
      <c r="P19" s="133">
        <v>0</v>
      </c>
      <c r="Q19" s="137">
        <f t="shared" si="0"/>
        <v>0</v>
      </c>
      <c r="R19" s="140">
        <f t="shared" si="6"/>
        <v>38</v>
      </c>
      <c r="S19" s="135">
        <v>10</v>
      </c>
      <c r="T19" s="114">
        <f t="shared" si="7"/>
        <v>3.8</v>
      </c>
      <c r="U19" s="114">
        <f t="shared" si="8"/>
        <v>41.8</v>
      </c>
    </row>
    <row r="20" spans="1:21" s="62" customFormat="1" ht="15.75" customHeight="1">
      <c r="A20" s="100"/>
      <c r="B20" s="100">
        <v>368653</v>
      </c>
      <c r="C20" s="97" t="s">
        <v>138</v>
      </c>
      <c r="D20" s="62" t="s">
        <v>157</v>
      </c>
      <c r="E20" s="106"/>
      <c r="F20" s="75">
        <v>0</v>
      </c>
      <c r="G20" s="137">
        <f t="shared" si="1"/>
        <v>0</v>
      </c>
      <c r="H20" s="133">
        <v>0.5</v>
      </c>
      <c r="I20" s="137">
        <f t="shared" si="2"/>
        <v>38</v>
      </c>
      <c r="J20" s="133" t="s">
        <v>447</v>
      </c>
      <c r="K20" s="137">
        <f t="shared" si="3"/>
        <v>0</v>
      </c>
      <c r="L20" s="133" t="s">
        <v>447</v>
      </c>
      <c r="M20" s="137">
        <f t="shared" si="4"/>
        <v>0</v>
      </c>
      <c r="N20" s="133" t="s">
        <v>447</v>
      </c>
      <c r="O20" s="137">
        <f t="shared" si="5"/>
        <v>0</v>
      </c>
      <c r="P20" s="133">
        <v>0</v>
      </c>
      <c r="Q20" s="137">
        <f t="shared" si="0"/>
        <v>0</v>
      </c>
      <c r="R20" s="140">
        <f t="shared" si="6"/>
        <v>38</v>
      </c>
      <c r="S20" s="135">
        <v>10</v>
      </c>
      <c r="T20" s="114">
        <f t="shared" si="7"/>
        <v>3.8</v>
      </c>
      <c r="U20" s="114">
        <f t="shared" si="8"/>
        <v>41.8</v>
      </c>
    </row>
    <row r="21" spans="1:21" s="62" customFormat="1" ht="15.75" customHeight="1">
      <c r="A21" s="100"/>
      <c r="B21" s="100">
        <v>368654</v>
      </c>
      <c r="C21" s="97" t="s">
        <v>138</v>
      </c>
      <c r="D21" s="62" t="s">
        <v>158</v>
      </c>
      <c r="E21" s="106"/>
      <c r="F21" s="75">
        <v>0</v>
      </c>
      <c r="G21" s="137">
        <f t="shared" si="1"/>
        <v>0</v>
      </c>
      <c r="H21" s="133">
        <v>0.5</v>
      </c>
      <c r="I21" s="137">
        <f t="shared" si="2"/>
        <v>38</v>
      </c>
      <c r="J21" s="133" t="s">
        <v>447</v>
      </c>
      <c r="K21" s="137">
        <f t="shared" si="3"/>
        <v>0</v>
      </c>
      <c r="L21" s="133" t="s">
        <v>447</v>
      </c>
      <c r="M21" s="137">
        <f t="shared" si="4"/>
        <v>0</v>
      </c>
      <c r="N21" s="133" t="s">
        <v>447</v>
      </c>
      <c r="O21" s="137">
        <f t="shared" si="5"/>
        <v>0</v>
      </c>
      <c r="P21" s="133">
        <v>0</v>
      </c>
      <c r="Q21" s="137">
        <f t="shared" si="0"/>
        <v>0</v>
      </c>
      <c r="R21" s="140">
        <f t="shared" si="6"/>
        <v>38</v>
      </c>
      <c r="S21" s="135">
        <v>10</v>
      </c>
      <c r="T21" s="114">
        <f t="shared" si="7"/>
        <v>3.8</v>
      </c>
      <c r="U21" s="114">
        <f t="shared" si="8"/>
        <v>41.8</v>
      </c>
    </row>
    <row r="22" spans="1:21" s="62" customFormat="1" ht="15.75" customHeight="1">
      <c r="A22" s="100"/>
      <c r="B22" s="100">
        <v>368655</v>
      </c>
      <c r="C22" s="97" t="s">
        <v>138</v>
      </c>
      <c r="D22" s="62" t="s">
        <v>159</v>
      </c>
      <c r="E22" s="106"/>
      <c r="F22" s="75">
        <v>0</v>
      </c>
      <c r="G22" s="137">
        <f t="shared" si="1"/>
        <v>0</v>
      </c>
      <c r="H22" s="133">
        <v>0.5</v>
      </c>
      <c r="I22" s="137">
        <f t="shared" si="2"/>
        <v>38</v>
      </c>
      <c r="J22" s="133" t="s">
        <v>447</v>
      </c>
      <c r="K22" s="137">
        <f t="shared" si="3"/>
        <v>0</v>
      </c>
      <c r="L22" s="133" t="s">
        <v>447</v>
      </c>
      <c r="M22" s="137">
        <f t="shared" si="4"/>
        <v>0</v>
      </c>
      <c r="N22" s="133" t="s">
        <v>447</v>
      </c>
      <c r="O22" s="137">
        <f t="shared" si="5"/>
        <v>0</v>
      </c>
      <c r="P22" s="133">
        <v>0</v>
      </c>
      <c r="Q22" s="137">
        <f t="shared" si="0"/>
        <v>0</v>
      </c>
      <c r="R22" s="140">
        <f t="shared" si="6"/>
        <v>38</v>
      </c>
      <c r="S22" s="135">
        <v>10</v>
      </c>
      <c r="T22" s="114">
        <f t="shared" si="7"/>
        <v>3.8</v>
      </c>
      <c r="U22" s="114">
        <f t="shared" si="8"/>
        <v>41.8</v>
      </c>
    </row>
    <row r="23" spans="1:21" s="62" customFormat="1" ht="15.75" customHeight="1">
      <c r="A23" s="100"/>
      <c r="B23" s="100">
        <v>368656</v>
      </c>
      <c r="C23" s="97" t="s">
        <v>138</v>
      </c>
      <c r="D23" s="62" t="s">
        <v>162</v>
      </c>
      <c r="E23" s="106"/>
      <c r="F23" s="75">
        <v>0</v>
      </c>
      <c r="G23" s="137">
        <f t="shared" si="1"/>
        <v>0</v>
      </c>
      <c r="H23" s="133">
        <v>0.5</v>
      </c>
      <c r="I23" s="137">
        <f t="shared" si="2"/>
        <v>38</v>
      </c>
      <c r="J23" s="133" t="s">
        <v>447</v>
      </c>
      <c r="K23" s="137">
        <f t="shared" si="3"/>
        <v>0</v>
      </c>
      <c r="L23" s="133" t="s">
        <v>447</v>
      </c>
      <c r="M23" s="137">
        <f t="shared" si="4"/>
        <v>0</v>
      </c>
      <c r="N23" s="133" t="s">
        <v>447</v>
      </c>
      <c r="O23" s="137">
        <f t="shared" si="5"/>
        <v>0</v>
      </c>
      <c r="P23" s="133">
        <v>0</v>
      </c>
      <c r="Q23" s="137">
        <f t="shared" si="0"/>
        <v>0</v>
      </c>
      <c r="R23" s="140">
        <f t="shared" si="6"/>
        <v>38</v>
      </c>
      <c r="S23" s="135">
        <v>10</v>
      </c>
      <c r="T23" s="114">
        <f t="shared" si="7"/>
        <v>3.8</v>
      </c>
      <c r="U23" s="114">
        <f t="shared" si="8"/>
        <v>41.8</v>
      </c>
    </row>
    <row r="24" spans="1:21" s="62" customFormat="1" ht="15.75" customHeight="1">
      <c r="A24" s="100"/>
      <c r="B24" s="100">
        <v>368657</v>
      </c>
      <c r="C24" s="97" t="s">
        <v>138</v>
      </c>
      <c r="D24" s="62" t="s">
        <v>163</v>
      </c>
      <c r="E24" s="106"/>
      <c r="F24" s="75">
        <v>0</v>
      </c>
      <c r="G24" s="137">
        <f t="shared" si="1"/>
        <v>0</v>
      </c>
      <c r="H24" s="133">
        <v>0.5</v>
      </c>
      <c r="I24" s="137">
        <f t="shared" si="2"/>
        <v>38</v>
      </c>
      <c r="J24" s="133" t="s">
        <v>447</v>
      </c>
      <c r="K24" s="137">
        <f t="shared" si="3"/>
        <v>0</v>
      </c>
      <c r="L24" s="133" t="s">
        <v>447</v>
      </c>
      <c r="M24" s="137">
        <f t="shared" si="4"/>
        <v>0</v>
      </c>
      <c r="N24" s="133" t="s">
        <v>447</v>
      </c>
      <c r="O24" s="137">
        <f t="shared" si="5"/>
        <v>0</v>
      </c>
      <c r="P24" s="133">
        <v>0</v>
      </c>
      <c r="Q24" s="137">
        <f t="shared" si="0"/>
        <v>0</v>
      </c>
      <c r="R24" s="140">
        <f t="shared" si="6"/>
        <v>38</v>
      </c>
      <c r="S24" s="135">
        <v>10</v>
      </c>
      <c r="T24" s="114">
        <f t="shared" si="7"/>
        <v>3.8</v>
      </c>
      <c r="U24" s="114">
        <f t="shared" si="8"/>
        <v>41.8</v>
      </c>
    </row>
    <row r="25" spans="1:21" s="62" customFormat="1" ht="15.75" customHeight="1">
      <c r="A25" s="100"/>
      <c r="B25" s="100">
        <v>368658</v>
      </c>
      <c r="C25" s="97" t="s">
        <v>138</v>
      </c>
      <c r="D25" s="62" t="s">
        <v>164</v>
      </c>
      <c r="E25" s="106"/>
      <c r="F25" s="75">
        <v>0</v>
      </c>
      <c r="G25" s="137">
        <f t="shared" si="1"/>
        <v>0</v>
      </c>
      <c r="H25" s="133">
        <v>0.5</v>
      </c>
      <c r="I25" s="137">
        <f t="shared" si="2"/>
        <v>38</v>
      </c>
      <c r="J25" s="133" t="s">
        <v>447</v>
      </c>
      <c r="K25" s="137">
        <f t="shared" si="3"/>
        <v>0</v>
      </c>
      <c r="L25" s="133" t="s">
        <v>447</v>
      </c>
      <c r="M25" s="137">
        <f t="shared" si="4"/>
        <v>0</v>
      </c>
      <c r="N25" s="133" t="s">
        <v>447</v>
      </c>
      <c r="O25" s="137">
        <f t="shared" si="5"/>
        <v>0</v>
      </c>
      <c r="P25" s="133">
        <v>0</v>
      </c>
      <c r="Q25" s="137">
        <f t="shared" si="0"/>
        <v>0</v>
      </c>
      <c r="R25" s="140">
        <f t="shared" si="6"/>
        <v>38</v>
      </c>
      <c r="S25" s="135">
        <v>10</v>
      </c>
      <c r="T25" s="114">
        <f t="shared" si="7"/>
        <v>3.8</v>
      </c>
      <c r="U25" s="114">
        <f t="shared" si="8"/>
        <v>41.8</v>
      </c>
    </row>
    <row r="26" spans="1:21" s="144" customFormat="1" ht="15.75" customHeight="1">
      <c r="A26" s="141"/>
      <c r="B26" s="142">
        <v>368271</v>
      </c>
      <c r="C26" s="143" t="s">
        <v>137</v>
      </c>
      <c r="D26" s="144" t="s">
        <v>496</v>
      </c>
      <c r="E26" s="145" t="s">
        <v>5</v>
      </c>
      <c r="F26" s="139">
        <f>SUM(F8:F25)</f>
        <v>4.199999999999999</v>
      </c>
      <c r="G26" s="137">
        <f>F26*G$6</f>
        <v>319.19999999999993</v>
      </c>
      <c r="H26" s="146">
        <f>SUM(H8:H25)</f>
        <v>4</v>
      </c>
      <c r="I26" s="137">
        <f>H26*I$6</f>
        <v>304</v>
      </c>
      <c r="J26" s="146">
        <f>SUM(J8:J25)</f>
        <v>4</v>
      </c>
      <c r="K26" s="137">
        <f t="shared" si="3"/>
        <v>160</v>
      </c>
      <c r="L26" s="146">
        <f>SUM(L8:L25)</f>
        <v>4</v>
      </c>
      <c r="M26" s="137">
        <f t="shared" si="4"/>
        <v>160</v>
      </c>
      <c r="N26" s="146">
        <f>SUM(N8:N25)</f>
        <v>4</v>
      </c>
      <c r="O26" s="137">
        <f t="shared" si="5"/>
        <v>160</v>
      </c>
      <c r="P26" s="146">
        <f>SUM(P8:P25)</f>
        <v>4</v>
      </c>
      <c r="Q26" s="137">
        <f>SUM(Q8:Q25)</f>
        <v>600</v>
      </c>
      <c r="R26" s="103">
        <f>SUM(R8:R25)</f>
        <v>1703.1999999999998</v>
      </c>
      <c r="S26" s="135">
        <v>10</v>
      </c>
      <c r="T26" s="114">
        <f>S26*R26/100</f>
        <v>170.32</v>
      </c>
      <c r="U26" s="114">
        <f>SUM(U8:U25)</f>
        <v>1873.5199999999998</v>
      </c>
    </row>
    <row r="27" ht="22.5" customHeight="1"/>
    <row r="28" spans="20:21" ht="22.5" customHeight="1">
      <c r="T28" s="148" t="s">
        <v>90</v>
      </c>
      <c r="U28" s="148" t="s">
        <v>91</v>
      </c>
    </row>
  </sheetData>
  <printOptions gridLines="1"/>
  <pageMargins left="0.75" right="0.49" top="1" bottom="1" header="0.6" footer="0.5"/>
  <pageSetup horizontalDpi="600" verticalDpi="600" orientation="landscape" paperSize="17" r:id="rId1"/>
  <headerFooter alignWithMargins="0">
    <oddFooter>&amp;LFile: uC 1.2, 2.1 Parts&amp;CPage &amp;P of &amp;N&amp;RUpdated: 7/27/00
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chester</dc:creator>
  <cp:keywords/>
  <dc:description/>
  <cp:lastModifiedBy>Nelson Chester</cp:lastModifiedBy>
  <cp:lastPrinted>2001-06-04T14:07:11Z</cp:lastPrinted>
  <dcterms:created xsi:type="dcterms:W3CDTF">2000-06-05T22:42:52Z</dcterms:created>
  <dcterms:modified xsi:type="dcterms:W3CDTF">2002-10-16T16:10:44Z</dcterms:modified>
  <cp:category/>
  <cp:version/>
  <cp:contentType/>
  <cp:contentStatus/>
</cp:coreProperties>
</file>