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Solar perf" sheetId="1" r:id="rId1"/>
    <sheet name="Cash flow" sheetId="2" r:id="rId2"/>
    <sheet name="Input guide" sheetId="3" r:id="rId3"/>
  </sheets>
  <definedNames/>
  <calcPr fullCalcOnLoad="1"/>
</workbook>
</file>

<file path=xl/sharedStrings.xml><?xml version="1.0" encoding="utf-8"?>
<sst xmlns="http://schemas.openxmlformats.org/spreadsheetml/2006/main" count="226" uniqueCount="154">
  <si>
    <t>Date</t>
  </si>
  <si>
    <t>(MMBTU)</t>
  </si>
  <si>
    <t>Total facility</t>
  </si>
  <si>
    <t>Gas usage</t>
  </si>
  <si>
    <t>Pool energy</t>
  </si>
  <si>
    <t>Resource</t>
  </si>
  <si>
    <t>Cost</t>
  </si>
  <si>
    <t>Cost of solar installation</t>
  </si>
  <si>
    <t>Total cost of solar installation</t>
  </si>
  <si>
    <t>years</t>
  </si>
  <si>
    <t>Domestic hot water load in facility</t>
  </si>
  <si>
    <t>sq feet</t>
  </si>
  <si>
    <t>Boiler efficiency</t>
  </si>
  <si>
    <t>Gas Usage</t>
  </si>
  <si>
    <t>Yellow cells are inputs</t>
  </si>
  <si>
    <t>NOTES</t>
  </si>
  <si>
    <t>Green cells are computations</t>
  </si>
  <si>
    <t>SRCC Y intercept for efficiency equation</t>
  </si>
  <si>
    <t>SRCC slope for efficiency equation</t>
  </si>
  <si>
    <t>Temp</t>
  </si>
  <si>
    <t>F</t>
  </si>
  <si>
    <t>Ave Hourly</t>
  </si>
  <si>
    <t>Solar Rad</t>
  </si>
  <si>
    <t>Sunlight</t>
  </si>
  <si>
    <t>Pool</t>
  </si>
  <si>
    <t xml:space="preserve">Solar </t>
  </si>
  <si>
    <t>efficiency</t>
  </si>
  <si>
    <t xml:space="preserve">Hours </t>
  </si>
  <si>
    <t>Developed by D. Menicucci, Feb 2005</t>
  </si>
  <si>
    <t>Collector footprint fill factor</t>
  </si>
  <si>
    <t>Area footprint required for collectors</t>
  </si>
  <si>
    <t>feet</t>
  </si>
  <si>
    <t>Solar</t>
  </si>
  <si>
    <t>Production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</si>
  <si>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</si>
  <si>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</si>
  <si>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</si>
  <si>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</si>
  <si>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</si>
  <si>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</si>
  <si>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</si>
  <si>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</si>
  <si>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</si>
  <si>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</si>
  <si>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</si>
  <si>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</si>
  <si>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Yrly Total</t>
  </si>
  <si>
    <t>MMBTU/month</t>
  </si>
  <si>
    <t>per sq ft of collector</t>
  </si>
  <si>
    <t>to heat</t>
  </si>
  <si>
    <t>Amb Temp</t>
  </si>
  <si>
    <t>during sol</t>
  </si>
  <si>
    <t>produc. C</t>
  </si>
  <si>
    <t>produc. F</t>
  </si>
  <si>
    <t>Product'n</t>
  </si>
  <si>
    <t>Month</t>
  </si>
  <si>
    <t>Sunrise</t>
  </si>
  <si>
    <t>Sunset</t>
  </si>
  <si>
    <t>Hrs of Sun</t>
  </si>
  <si>
    <t>to model</t>
  </si>
  <si>
    <t>Hrs sun</t>
  </si>
  <si>
    <t>Go to this site to compute the Sunrise/Sunset times for your location:</t>
  </si>
  <si>
    <t>Guide to Estimating the Hours of Sunlight to Input to the Performance Model (Solar Perf Worksheet)</t>
  </si>
  <si>
    <t>Go to this NREL site to Fetch the Temperature Data for you Site:</t>
  </si>
  <si>
    <t>Temp C</t>
  </si>
  <si>
    <t>Daily</t>
  </si>
  <si>
    <t>Max</t>
  </si>
  <si>
    <t>Ave temp</t>
  </si>
  <si>
    <t>for inputs</t>
  </si>
  <si>
    <r>
      <t>Note</t>
    </r>
    <r>
      <rPr>
        <sz val="9"/>
        <color indexed="10"/>
        <rFont val="Arial"/>
        <family val="2"/>
      </rPr>
      <t>: Goto</t>
    </r>
  </si>
  <si>
    <t>worksheet</t>
  </si>
  <si>
    <t>Input guide</t>
  </si>
  <si>
    <t xml:space="preserve"> </t>
  </si>
  <si>
    <t>These values</t>
  </si>
  <si>
    <t>auto-inputed</t>
  </si>
  <si>
    <t>to worksheet</t>
  </si>
  <si>
    <t>cashflow</t>
  </si>
  <si>
    <t>Assumptions:</t>
  </si>
  <si>
    <t>Discount rate:</t>
  </si>
  <si>
    <t>Income tax rate:</t>
  </si>
  <si>
    <t>Deprection schedule:</t>
  </si>
  <si>
    <t>per year</t>
  </si>
  <si>
    <t>Sales tax rate:</t>
  </si>
  <si>
    <t>Annual O&amp;M factor:</t>
  </si>
  <si>
    <t>of initial capital cost</t>
  </si>
  <si>
    <t xml:space="preserve">Sales </t>
  </si>
  <si>
    <t>O&amp;M</t>
  </si>
  <si>
    <t>Tax Effect</t>
  </si>
  <si>
    <t xml:space="preserve">Present </t>
  </si>
  <si>
    <t xml:space="preserve">Annual </t>
  </si>
  <si>
    <t>Tax</t>
  </si>
  <si>
    <t>of Deprec</t>
  </si>
  <si>
    <t>Worth</t>
  </si>
  <si>
    <t>Year</t>
  </si>
  <si>
    <t>Factor</t>
  </si>
  <si>
    <t>Totals</t>
  </si>
  <si>
    <t>Internal rate of return:</t>
  </si>
  <si>
    <t xml:space="preserve">Green Tag Sale </t>
  </si>
  <si>
    <t>year (straight line)</t>
  </si>
  <si>
    <t>Twenty Year Cash Flow Analysis</t>
  </si>
  <si>
    <t xml:space="preserve">Green Energy Credit Sale </t>
  </si>
  <si>
    <t>per MMBTU</t>
  </si>
  <si>
    <t>(One time sale)</t>
  </si>
  <si>
    <t>Sale</t>
  </si>
  <si>
    <t>Cash flow</t>
  </si>
  <si>
    <t>energy sales</t>
  </si>
  <si>
    <t>Total</t>
  </si>
  <si>
    <t>Cashflow</t>
  </si>
  <si>
    <t>Escalation of Annual O&amp;M cost:</t>
  </si>
  <si>
    <t>Discounted</t>
  </si>
  <si>
    <t>Cumulative</t>
  </si>
  <si>
    <t xml:space="preserve">Total </t>
  </si>
  <si>
    <t>Cum disc</t>
  </si>
  <si>
    <t>Performance degradation:</t>
  </si>
  <si>
    <t>Dimension of side of square area for collectors</t>
  </si>
  <si>
    <t>Solar Fraction (% of load served by solar system)</t>
  </si>
  <si>
    <t>Annual Prod</t>
  </si>
  <si>
    <t>Collector area</t>
  </si>
  <si>
    <t>This value</t>
  </si>
  <si>
    <t>Total Tax Credits:</t>
  </si>
  <si>
    <t>Capital</t>
  </si>
  <si>
    <t>Green</t>
  </si>
  <si>
    <t>Credit/tag</t>
  </si>
  <si>
    <t>of capital cost one time</t>
  </si>
  <si>
    <r>
      <t xml:space="preserve">System cost (from Sheet </t>
    </r>
    <r>
      <rPr>
        <i/>
        <sz val="10"/>
        <rFont val="Arial"/>
        <family val="2"/>
      </rPr>
      <t>Solar perf</t>
    </r>
    <r>
      <rPr>
        <sz val="10"/>
        <rFont val="Arial"/>
        <family val="0"/>
      </rPr>
      <t>):</t>
    </r>
  </si>
  <si>
    <r>
      <t xml:space="preserve">Sales price of </t>
    </r>
    <r>
      <rPr>
        <u val="single"/>
        <sz val="10"/>
        <rFont val="Arial"/>
        <family val="2"/>
      </rPr>
      <t>energy</t>
    </r>
    <r>
      <rPr>
        <sz val="10"/>
        <rFont val="Arial"/>
        <family val="0"/>
      </rPr>
      <t xml:space="preserve"> produced:</t>
    </r>
  </si>
  <si>
    <t>Escalation of energy sales price:</t>
  </si>
  <si>
    <t>Computations:</t>
  </si>
  <si>
    <t>Input Data:</t>
  </si>
  <si>
    <r>
      <t>(kWh/met</t>
    </r>
    <r>
      <rPr>
        <b/>
        <vertAlign val="superscript"/>
        <sz val="10"/>
        <rFont val="Arial"/>
        <family val="2"/>
      </rPr>
      <t>2/</t>
    </r>
    <r>
      <rPr>
        <b/>
        <sz val="10"/>
        <rFont val="Arial"/>
        <family val="2"/>
      </rPr>
      <t>dy)</t>
    </r>
  </si>
  <si>
    <r>
      <t>(MMBTU/ft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/dy)</t>
    </r>
  </si>
  <si>
    <r>
      <t>BTU/ft</t>
    </r>
    <r>
      <rPr>
        <b/>
        <vertAlign val="superscript"/>
        <sz val="10"/>
        <rFont val="Arial"/>
        <family val="2"/>
      </rPr>
      <t>2</t>
    </r>
  </si>
  <si>
    <r>
      <t>(MMBTU/ft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</si>
  <si>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Approx. Discounted Payback:</t>
  </si>
  <si>
    <t>Approx Simple payback:</t>
  </si>
  <si>
    <t>Tax credits</t>
  </si>
  <si>
    <t>Go to this SRCC website and seek the OG100 values for unglazed collectors.  Open the .pdf file.</t>
  </si>
  <si>
    <t>Find the section that lists all of the unglazed collectors by manufacturer (around page 12)</t>
  </si>
  <si>
    <t>The Y intercept and slope (BTU-F) will be included for certified unglazed collectors.</t>
  </si>
  <si>
    <t>Guide to Obtaining the Y intercept and Slope for the collector</t>
  </si>
  <si>
    <t>Guide to Estimating the Ambient Temperature to Input and Solar Radiation Data</t>
  </si>
  <si>
    <t>Go to the section labeled PDF formats/Individual PDFs and select your city.</t>
  </si>
  <si>
    <t>Solar radiation data are in the same table.  Select data for flat-plate collectors with tilt close to the the one that is planned</t>
  </si>
  <si>
    <t>Taxes and insurance</t>
  </si>
  <si>
    <t>of capital cost per year</t>
  </si>
  <si>
    <t>Escalation of Taxes/insurance</t>
  </si>
  <si>
    <t>% of capital cost financed</t>
  </si>
  <si>
    <t>Taxes and</t>
  </si>
  <si>
    <t xml:space="preserve">Financing </t>
  </si>
  <si>
    <t>Costs</t>
  </si>
  <si>
    <t>Finacing rate</t>
  </si>
  <si>
    <t>of capital costs</t>
  </si>
  <si>
    <t>Levelized energy cost:</t>
  </si>
  <si>
    <t>Solar Pool Economic Calculator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</si>
</sst>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000"/>
    <numFmt numFmtId="167" formatCode="0.00000"/>
    <numFmt numFmtId="168" formatCode="0.0"/>
    <numFmt numFmtId="169" formatCode="&quot;$&quot;#,##0.00"/>
    <numFmt numFmtId="170" formatCode=";;;"/>
    <numFmt numFmtId="171" formatCode="#,##0.000_);\(#,##0.000\)"/>
    <numFmt numFmtId="172" formatCode="0.000E+00"/>
    <numFmt numFmtId="173" formatCode="0000##"/>
    <numFmt numFmtId="174" formatCode="0###"/>
    <numFmt numFmtId="175" formatCode="###0"/>
    <numFmt numFmtId="176" formatCode="###000"/>
    <numFmt numFmtId="177" formatCode="000###"/>
    <numFmt numFmtId="178" formatCode="0___)"/>
    <numFmt numFmtId="179" formatCode="0_____)"/>
    <numFmt numFmtId="180" formatCode="_(&quot;$&quot;* #,##0__\)"/>
    <numFmt numFmtId="181" formatCode="_(&quot;$&quot;* #,##0__\);_(&quot;$&quot;* \(#,##0\);_(&quot;$&quot;* &quot;-&quot;__\);_(@_)"/>
    <numFmt numFmtId="182" formatCode="_(&quot;$&quot;#,##0.00_);_(&quot;$&quot;\ \(#,##0.00\);_(&quot;$&quot;\ &quot;-&quot;??_);_(@_)"/>
    <numFmt numFmtId="183" formatCode="_(&quot;$&quot;#,##0.00_);_(&quot;$&quot;\ \(#,##0.00\);_(&quot;$&quot;\ &quot;_&quot;??_);_(@_)"/>
    <numFmt numFmtId="184" formatCode="_(&quot;$&quot;#,##0.00_);_(&quot;$&quot;\ \(#,##0.00\);_(&quot;$&quot;\ &quot;0&quot;??_);_(@_)"/>
    <numFmt numFmtId="185" formatCode="#,##0.00;[Red]#,##0.00"/>
    <numFmt numFmtId="186" formatCode="&quot;$&quot;#,##0.00;[Red]&quot;$&quot;#,##0.00"/>
    <numFmt numFmtId="187" formatCode="&quot;$&quot;#,##0;[Red]&quot;$&quot;#,##0"/>
    <numFmt numFmtId="188" formatCode="0.0%"/>
    <numFmt numFmtId="189" formatCode="[$-409]h:mm\ AM/PM;@"/>
    <numFmt numFmtId="190" formatCode="h:mm;@"/>
    <numFmt numFmtId="191" formatCode="[$-409]h:mm:ss\ AM/PM"/>
    <numFmt numFmtId="192" formatCode="&quot;$&quot;#,##0.000"/>
    <numFmt numFmtId="193" formatCode="&quot;$&quot;#,##0"/>
    <numFmt numFmtId="194" formatCode="#,##0;[Red]#,##0"/>
    <numFmt numFmtId="195" formatCode="#,##0.000"/>
  </numFmts>
  <fonts count="1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/>
    </xf>
    <xf numFmtId="1" fontId="0" fillId="4" borderId="0" xfId="0" applyNumberFormat="1" applyFill="1" applyAlignment="1">
      <alignment horizontal="center"/>
    </xf>
    <xf numFmtId="168" fontId="0" fillId="3" borderId="0" xfId="0" applyNumberFormat="1" applyFill="1" applyAlignment="1" applyProtection="1">
      <alignment horizontal="center"/>
      <protection locked="0"/>
    </xf>
    <xf numFmtId="168" fontId="0" fillId="4" borderId="0" xfId="0" applyNumberFormat="1" applyFill="1" applyAlignment="1">
      <alignment horizontal="center"/>
    </xf>
    <xf numFmtId="172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4" borderId="0" xfId="0" applyNumberFormat="1" applyFont="1" applyFill="1" applyAlignment="1">
      <alignment horizontal="center"/>
    </xf>
    <xf numFmtId="179" fontId="0" fillId="3" borderId="0" xfId="0" applyNumberFormat="1" applyFill="1" applyAlignment="1" applyProtection="1">
      <alignment/>
      <protection locked="0"/>
    </xf>
    <xf numFmtId="179" fontId="0" fillId="4" borderId="0" xfId="0" applyNumberFormat="1" applyFill="1" applyAlignment="1">
      <alignment/>
    </xf>
    <xf numFmtId="171" fontId="0" fillId="0" borderId="0" xfId="0" applyNumberFormat="1" applyFill="1" applyAlignment="1" applyProtection="1">
      <alignment/>
      <protection locked="0"/>
    </xf>
    <xf numFmtId="179" fontId="3" fillId="4" borderId="0" xfId="0" applyNumberFormat="1" applyFont="1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90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68" fontId="0" fillId="4" borderId="0" xfId="0" applyNumberForma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2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193" fontId="0" fillId="4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/>
    </xf>
    <xf numFmtId="187" fontId="0" fillId="4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0" fontId="0" fillId="4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87" fontId="3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9" fontId="0" fillId="3" borderId="0" xfId="0" applyNumberFormat="1" applyFill="1" applyBorder="1" applyAlignment="1" applyProtection="1">
      <alignment/>
      <protection locked="0"/>
    </xf>
    <xf numFmtId="169" fontId="0" fillId="3" borderId="0" xfId="0" applyNumberForma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" fontId="0" fillId="4" borderId="0" xfId="0" applyNumberFormat="1" applyFill="1" applyBorder="1" applyAlignment="1" applyProtection="1">
      <alignment/>
      <protection/>
    </xf>
    <xf numFmtId="168" fontId="0" fillId="4" borderId="0" xfId="0" applyNumberFormat="1" applyFill="1" applyBorder="1" applyAlignment="1" applyProtection="1">
      <alignment/>
      <protection/>
    </xf>
    <xf numFmtId="5" fontId="0" fillId="4" borderId="0" xfId="0" applyNumberFormat="1" applyFill="1" applyBorder="1" applyAlignment="1">
      <alignment/>
    </xf>
    <xf numFmtId="9" fontId="0" fillId="4" borderId="8" xfId="0" applyNumberForma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0" xfId="20" applyAlignment="1">
      <alignment/>
    </xf>
    <xf numFmtId="193" fontId="0" fillId="3" borderId="0" xfId="0" applyNumberFormat="1" applyFill="1" applyBorder="1" applyAlignment="1" applyProtection="1">
      <alignment/>
      <protection locked="0"/>
    </xf>
    <xf numFmtId="189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95" fontId="0" fillId="3" borderId="8" xfId="0" applyNumberFormat="1" applyFill="1" applyBorder="1" applyAlignment="1" applyProtection="1">
      <alignment/>
      <protection locked="0"/>
    </xf>
    <xf numFmtId="171" fontId="0" fillId="3" borderId="0" xfId="0" applyNumberFormat="1" applyFill="1" applyBorder="1" applyAlignment="1" applyProtection="1">
      <alignment horizontal="right"/>
      <protection locked="0"/>
    </xf>
    <xf numFmtId="19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 applyProtection="1">
      <alignment/>
      <protection locked="0"/>
    </xf>
    <xf numFmtId="188" fontId="0" fillId="4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9" fontId="0" fillId="3" borderId="8" xfId="0" applyNumberFormat="1" applyFill="1" applyBorder="1" applyAlignment="1" applyProtection="1">
      <alignment/>
      <protection locked="0"/>
    </xf>
    <xf numFmtId="9" fontId="0" fillId="0" borderId="8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/>
    </xf>
    <xf numFmtId="8" fontId="0" fillId="4" borderId="8" xfId="0" applyNumberFormat="1" applyFill="1" applyBorder="1" applyAlignment="1">
      <alignment/>
    </xf>
    <xf numFmtId="1" fontId="0" fillId="3" borderId="10" xfId="0" applyNumberFormat="1" applyFill="1" applyBorder="1" applyAlignment="1" applyProtection="1">
      <alignment/>
      <protection locked="0"/>
    </xf>
    <xf numFmtId="188" fontId="0" fillId="3" borderId="0" xfId="0" applyNumberFormat="1" applyFill="1" applyBorder="1" applyAlignment="1" applyProtection="1">
      <alignment/>
      <protection locked="0"/>
    </xf>
    <xf numFmtId="188" fontId="0" fillId="3" borderId="8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A66"/>
  <sheetViews>
    <sheetView tabSelected="1" workbookViewId="0" topLeftCell="A1">
      <selection activeCell="F1" sqref="F1"/>
    </sheetView>
  </sheetViews>
  <sheetFormatPr defaultColWidth="9.140625" defaultRowHeight="12.75"/>
  <cols>
    <col min="1" max="1" width="1.28515625" style="0" customWidth="1"/>
    <col min="2" max="2" width="9.28125" style="0" customWidth="1"/>
    <col min="3" max="3" width="11.28125" style="0" customWidth="1"/>
    <col min="4" max="4" width="11.57421875" style="0" customWidth="1"/>
    <col min="5" max="5" width="13.421875" style="0" customWidth="1"/>
    <col min="6" max="6" width="13.7109375" style="0" customWidth="1"/>
    <col min="7" max="7" width="10.421875" style="0" customWidth="1"/>
    <col min="8" max="8" width="11.421875" style="0" customWidth="1"/>
    <col min="9" max="9" width="7.00390625" style="0" customWidth="1"/>
    <col min="10" max="10" width="10.8515625" style="0" customWidth="1"/>
    <col min="11" max="11" width="11.140625" style="0" customWidth="1"/>
    <col min="12" max="12" width="9.7109375" style="0" customWidth="1"/>
    <col min="13" max="13" width="11.140625" style="0" customWidth="1"/>
    <col min="14" max="14" width="11.57421875" style="0" customWidth="1"/>
    <col min="15" max="15" width="9.28125" style="0" customWidth="1"/>
    <col min="16" max="16" width="9.421875" style="0" customWidth="1"/>
  </cols>
  <sheetData>
    <row r="1" spans="2:16" s="1" customFormat="1" ht="18">
      <c r="B1" s="1" t="s">
        <v>153</v>
      </c>
      <c r="O1"/>
      <c r="P1"/>
    </row>
    <row r="2" spans="2:16" s="5" customFormat="1" ht="15">
      <c r="B2" s="5" t="s">
        <v>28</v>
      </c>
      <c r="O2"/>
      <c r="P2"/>
    </row>
    <row r="3" spans="2:3" ht="12.75">
      <c r="B3" s="6"/>
      <c r="C3" s="6"/>
    </row>
    <row r="4" spans="2:8" ht="12.75">
      <c r="B4" s="67" t="s">
        <v>128</v>
      </c>
      <c r="C4" s="68"/>
      <c r="D4" s="68"/>
      <c r="E4" s="70"/>
      <c r="F4" s="70"/>
      <c r="G4" s="70"/>
      <c r="H4" s="75"/>
    </row>
    <row r="5" spans="2:8" ht="12.75">
      <c r="B5" s="76" t="s">
        <v>10</v>
      </c>
      <c r="C5" s="55"/>
      <c r="D5" s="55"/>
      <c r="E5" s="55"/>
      <c r="F5" s="77">
        <v>2</v>
      </c>
      <c r="G5" s="55" t="s">
        <v>47</v>
      </c>
      <c r="H5" s="78"/>
    </row>
    <row r="6" spans="2:8" ht="12.75">
      <c r="B6" s="76" t="s">
        <v>29</v>
      </c>
      <c r="C6" s="55"/>
      <c r="D6" s="55"/>
      <c r="E6" s="55"/>
      <c r="F6" s="79">
        <v>0.6</v>
      </c>
      <c r="G6" s="55"/>
      <c r="H6" s="78"/>
    </row>
    <row r="7" spans="2:8" ht="12.75">
      <c r="B7" s="76" t="s">
        <v>117</v>
      </c>
      <c r="C7" s="55"/>
      <c r="D7" s="55"/>
      <c r="E7" s="55"/>
      <c r="F7" s="77">
        <v>4000</v>
      </c>
      <c r="G7" s="55" t="s">
        <v>11</v>
      </c>
      <c r="H7" s="78"/>
    </row>
    <row r="8" spans="2:12" ht="12.75">
      <c r="B8" s="76" t="s">
        <v>12</v>
      </c>
      <c r="C8" s="55"/>
      <c r="D8" s="55"/>
      <c r="E8" s="55"/>
      <c r="F8" s="79">
        <v>0.65</v>
      </c>
      <c r="G8" s="55"/>
      <c r="H8" s="78"/>
      <c r="J8" s="67" t="s">
        <v>15</v>
      </c>
      <c r="K8" s="68"/>
      <c r="L8" s="49"/>
    </row>
    <row r="9" spans="2:12" ht="12.75">
      <c r="B9" s="76" t="s">
        <v>7</v>
      </c>
      <c r="C9" s="55"/>
      <c r="D9" s="55"/>
      <c r="E9" s="55"/>
      <c r="F9" s="80">
        <v>15</v>
      </c>
      <c r="G9" s="55" t="s">
        <v>48</v>
      </c>
      <c r="H9" s="78"/>
      <c r="J9" s="7" t="s">
        <v>14</v>
      </c>
      <c r="K9" s="10"/>
      <c r="L9" s="69"/>
    </row>
    <row r="10" spans="2:12" ht="12.75">
      <c r="B10" s="76" t="s">
        <v>17</v>
      </c>
      <c r="C10" s="55"/>
      <c r="D10" s="55"/>
      <c r="E10" s="55"/>
      <c r="F10" s="98">
        <v>0.761</v>
      </c>
      <c r="G10" s="55"/>
      <c r="H10" s="78"/>
      <c r="J10" s="8" t="s">
        <v>16</v>
      </c>
      <c r="K10" s="9"/>
      <c r="L10" s="9"/>
    </row>
    <row r="11" spans="2:8" ht="12.75">
      <c r="B11" s="81" t="s">
        <v>18</v>
      </c>
      <c r="C11" s="82"/>
      <c r="D11" s="82"/>
      <c r="E11" s="82"/>
      <c r="F11" s="97">
        <v>-2.18</v>
      </c>
      <c r="G11" s="82"/>
      <c r="H11" s="71"/>
    </row>
    <row r="12" ht="9" customHeight="1">
      <c r="F12" s="22"/>
    </row>
    <row r="13" spans="2:7" ht="12.75" customHeight="1">
      <c r="B13" s="67" t="s">
        <v>127</v>
      </c>
      <c r="C13" s="68"/>
      <c r="D13" s="68"/>
      <c r="E13" s="70"/>
      <c r="F13" s="70"/>
      <c r="G13" s="75"/>
    </row>
    <row r="14" spans="2:7" ht="12.75">
      <c r="B14" s="76" t="s">
        <v>30</v>
      </c>
      <c r="C14" s="55"/>
      <c r="D14" s="55"/>
      <c r="E14" s="55"/>
      <c r="F14" s="83">
        <f>F7/F6</f>
        <v>6666.666666666667</v>
      </c>
      <c r="G14" s="78" t="s">
        <v>11</v>
      </c>
    </row>
    <row r="15" spans="2:7" ht="12.75">
      <c r="B15" s="76" t="s">
        <v>114</v>
      </c>
      <c r="C15" s="55"/>
      <c r="D15" s="55"/>
      <c r="E15" s="55"/>
      <c r="F15" s="84">
        <f>SQRT(F14)</f>
        <v>81.64965809277261</v>
      </c>
      <c r="G15" s="78" t="s">
        <v>31</v>
      </c>
    </row>
    <row r="16" spans="2:7" ht="12.75">
      <c r="B16" s="76" t="s">
        <v>8</v>
      </c>
      <c r="C16" s="55"/>
      <c r="D16" s="55"/>
      <c r="E16" s="55"/>
      <c r="F16" s="85">
        <f>F9*F7</f>
        <v>60000</v>
      </c>
      <c r="G16" s="78"/>
    </row>
    <row r="17" spans="2:7" ht="13.5" customHeight="1">
      <c r="B17" s="81" t="s">
        <v>115</v>
      </c>
      <c r="C17" s="82"/>
      <c r="D17" s="82"/>
      <c r="E17" s="82"/>
      <c r="F17" s="86">
        <f>N35/D35</f>
        <v>0.5194095761293661</v>
      </c>
      <c r="G17" s="71"/>
    </row>
    <row r="18" ht="13.5" customHeight="1"/>
    <row r="20" spans="2:131" s="3" customFormat="1" ht="12.75">
      <c r="B20" s="72"/>
      <c r="C20" s="72" t="s">
        <v>2</v>
      </c>
      <c r="D20" s="72" t="s">
        <v>4</v>
      </c>
      <c r="E20" s="72" t="s">
        <v>32</v>
      </c>
      <c r="F20" s="72" t="s">
        <v>32</v>
      </c>
      <c r="G20" s="72" t="s">
        <v>50</v>
      </c>
      <c r="H20" s="72" t="s">
        <v>50</v>
      </c>
      <c r="I20" s="72" t="s">
        <v>24</v>
      </c>
      <c r="J20" s="72" t="s">
        <v>54</v>
      </c>
      <c r="K20" s="72" t="s">
        <v>21</v>
      </c>
      <c r="L20" s="72" t="s">
        <v>25</v>
      </c>
      <c r="M20" s="72" t="s">
        <v>32</v>
      </c>
      <c r="N20" s="72" t="s">
        <v>32</v>
      </c>
      <c r="O20"/>
      <c r="P2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</row>
    <row r="21" spans="2:131" s="3" customFormat="1" ht="12.75">
      <c r="B21" s="72"/>
      <c r="C21" s="72" t="s">
        <v>3</v>
      </c>
      <c r="D21" s="72" t="s">
        <v>13</v>
      </c>
      <c r="E21" s="72" t="s">
        <v>5</v>
      </c>
      <c r="F21" s="72" t="s">
        <v>5</v>
      </c>
      <c r="G21" s="72" t="s">
        <v>51</v>
      </c>
      <c r="H21" s="72" t="s">
        <v>51</v>
      </c>
      <c r="I21" s="72" t="s">
        <v>19</v>
      </c>
      <c r="J21" s="72" t="s">
        <v>27</v>
      </c>
      <c r="K21" s="72" t="s">
        <v>22</v>
      </c>
      <c r="L21" s="72" t="s">
        <v>49</v>
      </c>
      <c r="M21" s="72" t="s">
        <v>33</v>
      </c>
      <c r="N21" s="72" t="s">
        <v>33</v>
      </c>
      <c r="O21"/>
      <c r="P2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</row>
    <row r="22" spans="2:131" s="3" customFormat="1" ht="14.25">
      <c r="B22" s="72" t="s">
        <v>0</v>
      </c>
      <c r="C22" s="72" t="s">
        <v>1</v>
      </c>
      <c r="D22" s="72" t="s">
        <v>1</v>
      </c>
      <c r="E22" s="72" t="s">
        <v>129</v>
      </c>
      <c r="F22" s="72" t="s">
        <v>130</v>
      </c>
      <c r="G22" s="72" t="s">
        <v>52</v>
      </c>
      <c r="H22" s="72" t="s">
        <v>53</v>
      </c>
      <c r="I22" s="72" t="s">
        <v>20</v>
      </c>
      <c r="J22" s="72" t="s">
        <v>23</v>
      </c>
      <c r="K22" s="72" t="s">
        <v>131</v>
      </c>
      <c r="L22" s="72" t="s">
        <v>26</v>
      </c>
      <c r="M22" s="72" t="s">
        <v>132</v>
      </c>
      <c r="N22" s="72" t="s">
        <v>1</v>
      </c>
      <c r="O22"/>
      <c r="P22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</row>
    <row r="23" spans="2:14" ht="12.75">
      <c r="B23" s="2" t="s">
        <v>34</v>
      </c>
      <c r="C23" s="20">
        <v>680</v>
      </c>
      <c r="D23" s="21">
        <f aca="true" t="shared" si="0" ref="D23:D34">C23-$F$5</f>
        <v>678</v>
      </c>
      <c r="E23" s="14">
        <v>5.9</v>
      </c>
      <c r="F23" s="16">
        <f>(E23*315.9)/1000000</f>
        <v>0.00186381</v>
      </c>
      <c r="G23" s="31">
        <f>'Input guide'!F28</f>
        <v>14.2</v>
      </c>
      <c r="H23" s="15">
        <f>CONVERT(G23,"C","F")</f>
        <v>57.56</v>
      </c>
      <c r="I23" s="14">
        <v>82</v>
      </c>
      <c r="J23" s="15">
        <f ca="1">CELL("contents",'Input guide'!F6)</f>
        <v>8.283333333333335</v>
      </c>
      <c r="K23" s="13">
        <f>(F23*1000000)/J23</f>
        <v>225.00724346076453</v>
      </c>
      <c r="L23" s="24">
        <f>$F$10+$F$11*((I23-H23)/K23)</f>
        <v>0.5242111785357233</v>
      </c>
      <c r="M23" s="16">
        <f>L23*F23</f>
        <v>0.0009770300366666665</v>
      </c>
      <c r="N23" s="15">
        <f aca="true" t="shared" si="1" ref="N23:N34">M23*$F$7*30.5</f>
        <v>119.1976644733333</v>
      </c>
    </row>
    <row r="24" spans="2:14" ht="12.75">
      <c r="B24" s="2" t="s">
        <v>35</v>
      </c>
      <c r="C24" s="20">
        <v>636</v>
      </c>
      <c r="D24" s="21">
        <f t="shared" si="0"/>
        <v>634</v>
      </c>
      <c r="E24" s="14">
        <v>6.4</v>
      </c>
      <c r="F24" s="16">
        <f aca="true" t="shared" si="2" ref="F24:F34">(E24*315.9)/1000000</f>
        <v>0.00202176</v>
      </c>
      <c r="G24" s="31">
        <f>'Input guide'!F29</f>
        <v>16.15</v>
      </c>
      <c r="H24" s="15">
        <f>CONVERT(G24,"C","F")</f>
        <v>61.06999999999999</v>
      </c>
      <c r="I24" s="14">
        <v>82</v>
      </c>
      <c r="J24" s="15">
        <f ca="1">CELL("contents",'Input guide'!F7)</f>
        <v>9.066666666666666</v>
      </c>
      <c r="K24" s="13">
        <f aca="true" t="shared" si="3" ref="K24:K34">(F24*1000000)/J24</f>
        <v>222.98823529411766</v>
      </c>
      <c r="L24" s="24">
        <f aca="true" t="shared" si="4" ref="L24:L34">$F$10+$F$11*((I24-H24)/K24)</f>
        <v>0.5563820301783264</v>
      </c>
      <c r="M24" s="16">
        <f aca="true" t="shared" si="5" ref="M24:M34">L24*F24</f>
        <v>0.0011248709333333332</v>
      </c>
      <c r="N24" s="15">
        <f t="shared" si="1"/>
        <v>137.23425386666665</v>
      </c>
    </row>
    <row r="25" spans="2:14" ht="12.75">
      <c r="B25" s="2" t="s">
        <v>36</v>
      </c>
      <c r="C25" s="20">
        <v>478</v>
      </c>
      <c r="D25" s="21">
        <f t="shared" si="0"/>
        <v>476</v>
      </c>
      <c r="E25" s="14">
        <v>6.6</v>
      </c>
      <c r="F25" s="16">
        <f t="shared" si="2"/>
        <v>0.0020849399999999995</v>
      </c>
      <c r="G25" s="31">
        <f>'Input guide'!F30</f>
        <v>18.75</v>
      </c>
      <c r="H25" s="15">
        <f>CONVERT(G25,"C","F")</f>
        <v>65.75</v>
      </c>
      <c r="I25" s="14">
        <v>82</v>
      </c>
      <c r="J25" s="15">
        <f ca="1">CELL("contents",'Input guide'!F8)</f>
        <v>9.966666666666665</v>
      </c>
      <c r="K25" s="13">
        <f t="shared" si="3"/>
        <v>209.19130434782608</v>
      </c>
      <c r="L25" s="24">
        <f t="shared" si="4"/>
        <v>0.5916573970154217</v>
      </c>
      <c r="M25" s="16">
        <f t="shared" si="5"/>
        <v>0.0012335701733333332</v>
      </c>
      <c r="N25" s="15">
        <f t="shared" si="1"/>
        <v>150.49556114666663</v>
      </c>
    </row>
    <row r="26" spans="2:14" ht="12.75">
      <c r="B26" s="2" t="s">
        <v>37</v>
      </c>
      <c r="C26" s="20">
        <v>269</v>
      </c>
      <c r="D26" s="21">
        <f t="shared" si="0"/>
        <v>267</v>
      </c>
      <c r="E26" s="14">
        <v>6.8</v>
      </c>
      <c r="F26" s="16">
        <f t="shared" si="2"/>
        <v>0.00214812</v>
      </c>
      <c r="G26" s="31">
        <f>'Input guide'!F31</f>
        <v>23.05</v>
      </c>
      <c r="H26" s="15">
        <f>CONVERT(G26,"C","F")</f>
        <v>73.49000000000001</v>
      </c>
      <c r="I26" s="14">
        <v>83</v>
      </c>
      <c r="J26" s="15">
        <f ca="1">CELL("contents",'Input guide'!F9)</f>
        <v>10.983333333333333</v>
      </c>
      <c r="K26" s="13">
        <f t="shared" si="3"/>
        <v>195.57996965098636</v>
      </c>
      <c r="L26" s="24">
        <f t="shared" si="4"/>
        <v>0.6549983473921384</v>
      </c>
      <c r="M26" s="16">
        <f t="shared" si="5"/>
        <v>0.0014070150500000002</v>
      </c>
      <c r="N26" s="15">
        <f t="shared" si="1"/>
        <v>171.65583610000004</v>
      </c>
    </row>
    <row r="27" spans="2:14" ht="12.75">
      <c r="B27" s="2" t="s">
        <v>38</v>
      </c>
      <c r="C27" s="20">
        <v>165</v>
      </c>
      <c r="D27" s="21">
        <f t="shared" si="0"/>
        <v>163</v>
      </c>
      <c r="E27" s="14">
        <v>6.4</v>
      </c>
      <c r="F27" s="16">
        <f t="shared" si="2"/>
        <v>0.00202176</v>
      </c>
      <c r="G27" s="31">
        <f>'Input guide'!F32</f>
        <v>27.75</v>
      </c>
      <c r="H27" s="15">
        <f>CONVERT(G27,"C","F")</f>
        <v>81.95</v>
      </c>
      <c r="I27" s="14">
        <v>83</v>
      </c>
      <c r="J27" s="15">
        <f ca="1">CELL("contents",'Input guide'!F10)</f>
        <v>11.816666666666666</v>
      </c>
      <c r="K27" s="13">
        <f t="shared" si="3"/>
        <v>171.09393511988716</v>
      </c>
      <c r="L27" s="24">
        <f t="shared" si="4"/>
        <v>0.7476213843383983</v>
      </c>
      <c r="M27" s="16">
        <f t="shared" si="5"/>
        <v>0.0015115110100000003</v>
      </c>
      <c r="N27" s="15">
        <f t="shared" si="1"/>
        <v>184.40434322000002</v>
      </c>
    </row>
    <row r="28" spans="2:14" ht="12.75">
      <c r="B28" s="2" t="s">
        <v>39</v>
      </c>
      <c r="C28" s="20">
        <v>2</v>
      </c>
      <c r="D28" s="21">
        <f t="shared" si="0"/>
        <v>0</v>
      </c>
      <c r="E28" s="14">
        <v>6.1</v>
      </c>
      <c r="F28" s="16">
        <f t="shared" si="2"/>
        <v>0.0019269899999999997</v>
      </c>
      <c r="G28" s="31">
        <f>'Input guide'!F33</f>
        <v>33.2</v>
      </c>
      <c r="H28" s="15">
        <f>CONVERT(G28,"C","F")</f>
        <v>91.76</v>
      </c>
      <c r="I28" s="14">
        <v>83</v>
      </c>
      <c r="J28" s="15">
        <f ca="1">CELL("contents",'Input guide'!F11)</f>
        <v>12.25</v>
      </c>
      <c r="K28" s="13">
        <f t="shared" si="3"/>
        <v>157.30530612244897</v>
      </c>
      <c r="L28" s="24">
        <f t="shared" si="4"/>
        <v>0.8823995921099748</v>
      </c>
      <c r="M28" s="16">
        <f t="shared" si="5"/>
        <v>0.00170037519</v>
      </c>
      <c r="N28" s="15">
        <f t="shared" si="1"/>
        <v>207.44577318</v>
      </c>
    </row>
    <row r="29" spans="2:14" ht="12.75">
      <c r="B29" s="2" t="s">
        <v>40</v>
      </c>
      <c r="C29" s="20">
        <v>2</v>
      </c>
      <c r="D29" s="21">
        <f t="shared" si="0"/>
        <v>0</v>
      </c>
      <c r="E29" s="14">
        <v>5.6</v>
      </c>
      <c r="F29" s="16">
        <f t="shared" si="2"/>
        <v>0.0017690399999999997</v>
      </c>
      <c r="G29" s="31">
        <f>'Input guide'!F34</f>
        <v>33.85</v>
      </c>
      <c r="H29" s="15">
        <f>CONVERT(G29,"C","F")</f>
        <v>92.93</v>
      </c>
      <c r="I29" s="14">
        <v>84</v>
      </c>
      <c r="J29" s="15">
        <f ca="1">CELL("contents",'Input guide'!F12)</f>
        <v>12.05</v>
      </c>
      <c r="K29" s="13">
        <f t="shared" si="3"/>
        <v>146.80829875518668</v>
      </c>
      <c r="L29" s="24">
        <f t="shared" si="4"/>
        <v>0.8936042203681094</v>
      </c>
      <c r="M29" s="16">
        <f t="shared" si="5"/>
        <v>0.00158082161</v>
      </c>
      <c r="N29" s="15">
        <f t="shared" si="1"/>
        <v>192.86023642</v>
      </c>
    </row>
    <row r="30" spans="2:14" ht="12.75">
      <c r="B30" s="2" t="s">
        <v>41</v>
      </c>
      <c r="C30" s="20">
        <v>2</v>
      </c>
      <c r="D30" s="21">
        <f t="shared" si="0"/>
        <v>0</v>
      </c>
      <c r="E30" s="14">
        <v>6</v>
      </c>
      <c r="F30" s="16">
        <f t="shared" si="2"/>
        <v>0.0018953999999999998</v>
      </c>
      <c r="G30" s="31">
        <f>'Input guide'!F35</f>
        <v>32.6</v>
      </c>
      <c r="H30" s="15">
        <f>CONVERT(G30,"C","F")</f>
        <v>90.68</v>
      </c>
      <c r="I30" s="14">
        <v>84</v>
      </c>
      <c r="J30" s="15">
        <f ca="1">CELL("contents",'Input guide'!F13)</f>
        <v>11.333333333333334</v>
      </c>
      <c r="K30" s="13">
        <f t="shared" si="3"/>
        <v>167.24117647058821</v>
      </c>
      <c r="L30" s="24">
        <f t="shared" si="4"/>
        <v>0.8480742499384476</v>
      </c>
      <c r="M30" s="16">
        <f t="shared" si="5"/>
        <v>0.0016074399333333334</v>
      </c>
      <c r="N30" s="15">
        <f t="shared" si="1"/>
        <v>196.10767186666666</v>
      </c>
    </row>
    <row r="31" spans="2:14" ht="12.75">
      <c r="B31" s="2" t="s">
        <v>42</v>
      </c>
      <c r="C31" s="20">
        <v>64</v>
      </c>
      <c r="D31" s="21">
        <f t="shared" si="0"/>
        <v>62</v>
      </c>
      <c r="E31" s="14">
        <v>6.6</v>
      </c>
      <c r="F31" s="16">
        <f t="shared" si="2"/>
        <v>0.0020849399999999995</v>
      </c>
      <c r="G31" s="31">
        <f>'Input guide'!F36</f>
        <v>30.5</v>
      </c>
      <c r="H31" s="15">
        <f>CONVERT(G31,"C","F")</f>
        <v>86.9</v>
      </c>
      <c r="I31" s="14">
        <v>83</v>
      </c>
      <c r="J31" s="15">
        <f ca="1">CELL("contents",'Input guide'!F14)</f>
        <v>10.350000000000001</v>
      </c>
      <c r="K31" s="13">
        <f t="shared" si="3"/>
        <v>201.4434782608695</v>
      </c>
      <c r="L31" s="24">
        <f t="shared" si="4"/>
        <v>0.8032053872053873</v>
      </c>
      <c r="M31" s="16">
        <f t="shared" si="5"/>
        <v>0.0016746350399999997</v>
      </c>
      <c r="N31" s="15">
        <f t="shared" si="1"/>
        <v>204.30547487999996</v>
      </c>
    </row>
    <row r="32" spans="2:14" ht="12.75">
      <c r="B32" s="2" t="s">
        <v>43</v>
      </c>
      <c r="C32" s="20">
        <v>255</v>
      </c>
      <c r="D32" s="21">
        <f t="shared" si="0"/>
        <v>253</v>
      </c>
      <c r="E32" s="14">
        <v>6.8</v>
      </c>
      <c r="F32" s="16">
        <f t="shared" si="2"/>
        <v>0.00214812</v>
      </c>
      <c r="G32" s="31">
        <f>'Input guide'!F37</f>
        <v>25.200000000000003</v>
      </c>
      <c r="H32" s="15">
        <f>CONVERT(G32,"C","F")</f>
        <v>77.36000000000001</v>
      </c>
      <c r="I32" s="14">
        <v>83</v>
      </c>
      <c r="J32" s="15">
        <f ca="1">CELL("contents",'Input guide'!F15)</f>
        <v>9.4</v>
      </c>
      <c r="K32" s="13">
        <f t="shared" si="3"/>
        <v>228.52340425531912</v>
      </c>
      <c r="L32" s="24">
        <f t="shared" si="4"/>
        <v>0.7071971956873919</v>
      </c>
      <c r="M32" s="16">
        <f t="shared" si="5"/>
        <v>0.0015191444400000002</v>
      </c>
      <c r="N32" s="15">
        <f t="shared" si="1"/>
        <v>185.33562168000003</v>
      </c>
    </row>
    <row r="33" spans="2:14" ht="12.75">
      <c r="B33" s="2" t="s">
        <v>44</v>
      </c>
      <c r="C33" s="20">
        <v>550</v>
      </c>
      <c r="D33" s="21">
        <f t="shared" si="0"/>
        <v>548</v>
      </c>
      <c r="E33" s="14">
        <v>6.2</v>
      </c>
      <c r="F33" s="16">
        <f t="shared" si="2"/>
        <v>0.00195858</v>
      </c>
      <c r="G33" s="31">
        <f>'Input guide'!F38</f>
        <v>18.85</v>
      </c>
      <c r="H33" s="15">
        <f>CONVERT(G33,"C","F")</f>
        <v>65.93</v>
      </c>
      <c r="I33" s="14">
        <v>82</v>
      </c>
      <c r="J33" s="15">
        <f ca="1">CELL("contents",'Input guide'!F16)</f>
        <v>8.5</v>
      </c>
      <c r="K33" s="13">
        <f t="shared" si="3"/>
        <v>230.42117647058825</v>
      </c>
      <c r="L33" s="24">
        <f t="shared" si="4"/>
        <v>0.6089627587333681</v>
      </c>
      <c r="M33" s="16">
        <f t="shared" si="5"/>
        <v>0.0011927022800000003</v>
      </c>
      <c r="N33" s="15">
        <f t="shared" si="1"/>
        <v>145.50967816000002</v>
      </c>
    </row>
    <row r="34" spans="2:14" ht="12.75">
      <c r="B34" s="2" t="s">
        <v>45</v>
      </c>
      <c r="C34" s="20">
        <v>786</v>
      </c>
      <c r="D34" s="21">
        <f t="shared" si="0"/>
        <v>784</v>
      </c>
      <c r="E34" s="14">
        <v>5.6</v>
      </c>
      <c r="F34" s="16">
        <f t="shared" si="2"/>
        <v>0.0017690399999999997</v>
      </c>
      <c r="G34" s="31">
        <f>'Input guide'!F39</f>
        <v>14.5</v>
      </c>
      <c r="H34" s="15">
        <f>CONVERT(G34,"C","F")</f>
        <v>58.1</v>
      </c>
      <c r="I34" s="14">
        <v>82</v>
      </c>
      <c r="J34" s="15">
        <f ca="1">CELL("contents",'Input guide'!F17)</f>
        <v>8.066666666666666</v>
      </c>
      <c r="K34" s="13">
        <f t="shared" si="3"/>
        <v>219.30247933884294</v>
      </c>
      <c r="L34" s="24">
        <f t="shared" si="4"/>
        <v>0.523419466678726</v>
      </c>
      <c r="M34" s="16">
        <f t="shared" si="5"/>
        <v>0.0009259499733333332</v>
      </c>
      <c r="N34" s="15">
        <f t="shared" si="1"/>
        <v>112.96589674666664</v>
      </c>
    </row>
    <row r="35" spans="2:16" s="4" customFormat="1" ht="12.75">
      <c r="B35" s="4" t="s">
        <v>46</v>
      </c>
      <c r="C35" s="23">
        <f>SUM(C23:C34)</f>
        <v>3889</v>
      </c>
      <c r="D35" s="23">
        <f>SUM(D23:D34)</f>
        <v>3865</v>
      </c>
      <c r="E35" s="34" t="s">
        <v>69</v>
      </c>
      <c r="F35" s="17"/>
      <c r="G35" s="34" t="s">
        <v>69</v>
      </c>
      <c r="H35" s="17"/>
      <c r="I35" s="17"/>
      <c r="J35" s="34" t="s">
        <v>69</v>
      </c>
      <c r="K35" s="17"/>
      <c r="L35" s="17"/>
      <c r="M35" s="18"/>
      <c r="N35" s="19">
        <f>SUM(N23:N34)</f>
        <v>2007.51801174</v>
      </c>
      <c r="O35"/>
      <c r="P35"/>
    </row>
    <row r="36" spans="5:14" ht="12.75">
      <c r="E36" s="32" t="s">
        <v>70</v>
      </c>
      <c r="G36" s="32" t="s">
        <v>70</v>
      </c>
      <c r="J36" s="32" t="s">
        <v>70</v>
      </c>
      <c r="N36" s="35" t="s">
        <v>118</v>
      </c>
    </row>
    <row r="37" spans="2:14" ht="12.75">
      <c r="B37" s="12"/>
      <c r="C37" s="12"/>
      <c r="D37" s="12"/>
      <c r="E37" s="36" t="s">
        <v>71</v>
      </c>
      <c r="F37" s="12"/>
      <c r="G37" s="36" t="s">
        <v>71</v>
      </c>
      <c r="H37" s="12"/>
      <c r="J37" s="36" t="s">
        <v>71</v>
      </c>
      <c r="N37" s="35" t="s">
        <v>74</v>
      </c>
    </row>
    <row r="38" spans="2:14" ht="12.75">
      <c r="B38" s="12"/>
      <c r="C38" s="12"/>
      <c r="D38" s="12"/>
      <c r="E38" s="33" t="s">
        <v>68</v>
      </c>
      <c r="F38" s="12"/>
      <c r="G38" s="33" t="s">
        <v>68</v>
      </c>
      <c r="H38" s="12"/>
      <c r="J38" s="33" t="s">
        <v>68</v>
      </c>
      <c r="N38" s="35" t="s">
        <v>75</v>
      </c>
    </row>
    <row r="39" spans="7:14" ht="12.75">
      <c r="G39" s="12"/>
      <c r="H39" s="12"/>
      <c r="N39" s="37" t="s">
        <v>76</v>
      </c>
    </row>
    <row r="40" spans="6:8" ht="12.75">
      <c r="F40" t="s">
        <v>72</v>
      </c>
      <c r="G40" s="12"/>
      <c r="H40" s="12"/>
    </row>
    <row r="41" spans="7:8" ht="12.75">
      <c r="G41" s="12"/>
      <c r="H41" s="12"/>
    </row>
    <row r="42" spans="7:8" ht="12.75">
      <c r="G42" s="12"/>
      <c r="H42" s="12"/>
    </row>
    <row r="43" spans="7:8" ht="12.75">
      <c r="G43" s="12"/>
      <c r="H43" s="12"/>
    </row>
    <row r="44" spans="7:8" ht="12.75">
      <c r="G44" s="12"/>
      <c r="H44" s="12"/>
    </row>
    <row r="45" spans="7:8" ht="12.75">
      <c r="G45" s="12"/>
      <c r="H45" s="12"/>
    </row>
    <row r="46" spans="7:8" ht="12.75">
      <c r="G46" s="12"/>
      <c r="H46" s="12"/>
    </row>
    <row r="47" spans="7:8" ht="12.75">
      <c r="G47" s="12"/>
      <c r="H47" s="12"/>
    </row>
    <row r="48" spans="7:8" ht="12.75">
      <c r="G48" s="12"/>
      <c r="H48" s="12"/>
    </row>
    <row r="49" spans="7:8" ht="12.75">
      <c r="G49" s="12"/>
      <c r="H49" s="12"/>
    </row>
    <row r="50" spans="7:8" ht="12.75">
      <c r="G50" s="12"/>
      <c r="H50" s="12"/>
    </row>
    <row r="51" spans="7:8" ht="12.75">
      <c r="G51" s="12"/>
      <c r="H51" s="12"/>
    </row>
    <row r="52" spans="7:8" ht="12.75">
      <c r="G52" s="12"/>
      <c r="H52" s="12"/>
    </row>
    <row r="53" spans="7:8" ht="12.75">
      <c r="G53" s="12"/>
      <c r="H53" s="12"/>
    </row>
    <row r="54" spans="7:8" ht="12.75">
      <c r="G54" s="12"/>
      <c r="H54" s="12"/>
    </row>
    <row r="55" spans="7:8" ht="12.75">
      <c r="G55" s="12"/>
      <c r="H55" s="12"/>
    </row>
    <row r="56" spans="7:8" ht="12.75">
      <c r="G56" s="12"/>
      <c r="H56" s="12"/>
    </row>
    <row r="57" spans="7:8" ht="12.75">
      <c r="G57" s="12"/>
      <c r="H57" s="12"/>
    </row>
    <row r="62" spans="2:5" ht="12.75">
      <c r="B62" s="12"/>
      <c r="C62" s="12"/>
      <c r="D62" s="12"/>
      <c r="E62" s="12"/>
    </row>
    <row r="63" spans="2:5" ht="12.75">
      <c r="B63" s="12"/>
      <c r="C63" s="12"/>
      <c r="D63" s="12"/>
      <c r="E63" s="12"/>
    </row>
    <row r="64" spans="2:5" ht="12.75">
      <c r="B64" s="12"/>
      <c r="C64" s="12"/>
      <c r="D64" s="12"/>
      <c r="E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</sheetData>
  <sheetProtection/>
  <dataValidations count="2">
    <dataValidation type="decimal" allowBlank="1" showInputMessage="1" showErrorMessage="1" sqref="F6">
      <formula1>0.001</formula1>
      <formula2>1</formula2>
    </dataValidation>
    <dataValidation type="decimal" allowBlank="1" showInputMessage="1" showErrorMessage="1" sqref="F8">
      <formula1>0.0001</formula1>
      <formula2>1</formula2>
    </dataValidation>
  </dataValidations>
  <printOptions/>
  <pageMargins left="0.75" right="0.75" top="0.5" bottom="0.5" header="0.5" footer="0.5"/>
  <pageSetup horizontalDpi="300" verticalDpi="300" orientation="landscape" paperSize="5" r:id="rId1"/>
  <ignoredErrors>
    <ignoredError sqref="G23 G24:G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140625" style="0" customWidth="1"/>
    <col min="3" max="3" width="11.7109375" style="0" customWidth="1"/>
    <col min="4" max="4" width="7.421875" style="0" customWidth="1"/>
    <col min="5" max="5" width="9.7109375" style="0" customWidth="1"/>
    <col min="6" max="6" width="10.7109375" style="0" customWidth="1"/>
    <col min="7" max="7" width="10.421875" style="0" customWidth="1"/>
    <col min="8" max="8" width="11.28125" style="0" customWidth="1"/>
    <col min="9" max="9" width="11.7109375" style="0" customWidth="1"/>
    <col min="10" max="10" width="9.00390625" style="0" customWidth="1"/>
    <col min="11" max="11" width="11.140625" style="0" customWidth="1"/>
    <col min="12" max="12" width="11.28125" style="0" hidden="1" customWidth="1"/>
    <col min="13" max="13" width="8.8515625" style="0" customWidth="1"/>
    <col min="14" max="14" width="10.57421875" style="0" customWidth="1"/>
    <col min="15" max="15" width="10.8515625" style="0" hidden="1" customWidth="1"/>
    <col min="16" max="16" width="10.00390625" style="0" customWidth="1"/>
    <col min="17" max="17" width="10.7109375" style="0" hidden="1" customWidth="1"/>
    <col min="18" max="18" width="8.8515625" style="0" customWidth="1"/>
    <col min="19" max="20" width="9.421875" style="0" customWidth="1"/>
    <col min="21" max="21" width="8.8515625" style="0" customWidth="1"/>
    <col min="23" max="16384" width="8.8515625" style="0" customWidth="1"/>
  </cols>
  <sheetData>
    <row r="1" spans="2:15" s="27" customFormat="1" ht="15.75">
      <c r="B1" s="27" t="s">
        <v>99</v>
      </c>
      <c r="O1" s="62"/>
    </row>
    <row r="2" spans="2:18" s="27" customFormat="1" ht="18.75" customHeight="1">
      <c r="B2" s="62"/>
      <c r="C2" s="62"/>
      <c r="D2" s="62"/>
      <c r="E2" s="62"/>
      <c r="F2" s="62"/>
      <c r="G2" s="62"/>
      <c r="H2" s="62"/>
      <c r="K2"/>
      <c r="L2"/>
      <c r="M2"/>
      <c r="N2"/>
      <c r="O2" s="55"/>
      <c r="Q2" s="62"/>
      <c r="R2" s="62"/>
    </row>
    <row r="3" spans="2:18" ht="12.75">
      <c r="B3" s="67" t="s">
        <v>77</v>
      </c>
      <c r="C3" s="68"/>
      <c r="D3" s="50"/>
      <c r="E3" s="50"/>
      <c r="F3" s="50"/>
      <c r="G3" s="50"/>
      <c r="H3" s="50"/>
      <c r="I3" s="50" t="s">
        <v>80</v>
      </c>
      <c r="J3" s="50"/>
      <c r="K3" s="50"/>
      <c r="L3" s="50"/>
      <c r="M3" s="108">
        <v>7</v>
      </c>
      <c r="N3" s="70" t="s">
        <v>9</v>
      </c>
      <c r="O3" s="70"/>
      <c r="P3" s="75"/>
      <c r="Q3" s="55"/>
      <c r="R3" s="55"/>
    </row>
    <row r="4" spans="2:18" ht="12.75">
      <c r="B4" s="48" t="s">
        <v>124</v>
      </c>
      <c r="C4" s="44"/>
      <c r="D4" s="44"/>
      <c r="E4" s="44"/>
      <c r="F4" s="47">
        <f ca="1">CELL("contents",'Solar perf'!F16)</f>
        <v>60000</v>
      </c>
      <c r="G4" s="99"/>
      <c r="H4" s="55"/>
      <c r="I4" s="44" t="s">
        <v>82</v>
      </c>
      <c r="J4" s="44"/>
      <c r="K4" s="44"/>
      <c r="L4" s="44"/>
      <c r="M4" s="109">
        <v>0.055</v>
      </c>
      <c r="N4" s="55"/>
      <c r="O4" s="44" t="s">
        <v>98</v>
      </c>
      <c r="P4" s="105"/>
      <c r="Q4" s="55"/>
      <c r="R4" s="55"/>
    </row>
    <row r="5" spans="2:18" ht="12.75">
      <c r="B5" s="48" t="s">
        <v>78</v>
      </c>
      <c r="C5" s="44"/>
      <c r="D5" s="44"/>
      <c r="E5" s="44"/>
      <c r="F5" s="79">
        <v>0.06</v>
      </c>
      <c r="G5" s="100"/>
      <c r="H5" s="44"/>
      <c r="I5" s="44" t="s">
        <v>83</v>
      </c>
      <c r="J5" s="44"/>
      <c r="K5" s="44"/>
      <c r="L5" s="44"/>
      <c r="M5" s="109">
        <v>0.04</v>
      </c>
      <c r="N5" s="55" t="s">
        <v>151</v>
      </c>
      <c r="O5" s="44"/>
      <c r="P5" s="105"/>
      <c r="Q5" s="55"/>
      <c r="R5" s="55"/>
    </row>
    <row r="6" spans="2:18" ht="12.75">
      <c r="B6" s="48" t="s">
        <v>100</v>
      </c>
      <c r="C6" s="44"/>
      <c r="D6" s="44"/>
      <c r="E6" s="44"/>
      <c r="F6" s="80">
        <v>1</v>
      </c>
      <c r="G6" s="44" t="s">
        <v>101</v>
      </c>
      <c r="H6" s="44"/>
      <c r="I6" s="44" t="s">
        <v>108</v>
      </c>
      <c r="J6" s="44"/>
      <c r="K6" s="44"/>
      <c r="L6" s="44"/>
      <c r="M6" s="109">
        <v>0.02</v>
      </c>
      <c r="N6" s="55" t="s">
        <v>81</v>
      </c>
      <c r="O6" s="44" t="s">
        <v>84</v>
      </c>
      <c r="P6" s="105"/>
      <c r="Q6" s="55"/>
      <c r="R6" s="55"/>
    </row>
    <row r="7" spans="2:18" ht="12.75">
      <c r="B7" s="48" t="s">
        <v>97</v>
      </c>
      <c r="C7" s="44"/>
      <c r="D7" s="44"/>
      <c r="E7" s="44"/>
      <c r="F7" s="94">
        <v>1000</v>
      </c>
      <c r="G7" s="44" t="s">
        <v>102</v>
      </c>
      <c r="H7" s="44"/>
      <c r="I7" s="44" t="s">
        <v>113</v>
      </c>
      <c r="J7" s="44"/>
      <c r="K7" s="44"/>
      <c r="L7" s="44"/>
      <c r="M7" s="109">
        <v>0.0025</v>
      </c>
      <c r="N7" s="55" t="s">
        <v>81</v>
      </c>
      <c r="O7" s="44" t="s">
        <v>81</v>
      </c>
      <c r="P7" s="105"/>
      <c r="Q7" s="55"/>
      <c r="R7" s="55"/>
    </row>
    <row r="8" spans="2:18" ht="12.75">
      <c r="B8" s="48" t="s">
        <v>119</v>
      </c>
      <c r="C8" s="44"/>
      <c r="D8" s="44"/>
      <c r="E8" s="44"/>
      <c r="F8" s="79">
        <v>0.1</v>
      </c>
      <c r="G8" s="44" t="s">
        <v>123</v>
      </c>
      <c r="H8" s="44"/>
      <c r="I8" s="44" t="s">
        <v>125</v>
      </c>
      <c r="J8" s="44"/>
      <c r="K8" s="44"/>
      <c r="L8" s="44"/>
      <c r="M8" s="80">
        <v>7</v>
      </c>
      <c r="N8" s="55" t="s">
        <v>101</v>
      </c>
      <c r="O8" s="44" t="s">
        <v>81</v>
      </c>
      <c r="P8" s="105"/>
      <c r="Q8" s="55"/>
      <c r="R8" s="55"/>
    </row>
    <row r="9" spans="2:18" ht="12.75">
      <c r="B9" s="48" t="s">
        <v>79</v>
      </c>
      <c r="C9" s="44"/>
      <c r="D9" s="44"/>
      <c r="E9" s="44"/>
      <c r="F9" s="79">
        <v>0.35</v>
      </c>
      <c r="G9" s="44"/>
      <c r="H9" s="44"/>
      <c r="I9" s="44" t="s">
        <v>126</v>
      </c>
      <c r="J9" s="44"/>
      <c r="K9" s="44"/>
      <c r="L9" s="44"/>
      <c r="M9" s="109">
        <v>0.0025</v>
      </c>
      <c r="N9" s="55" t="s">
        <v>81</v>
      </c>
      <c r="O9" s="44" t="s">
        <v>101</v>
      </c>
      <c r="P9" s="105"/>
      <c r="Q9" s="55"/>
      <c r="R9" s="55"/>
    </row>
    <row r="10" spans="2:18" ht="12.75">
      <c r="B10" s="48" t="s">
        <v>143</v>
      </c>
      <c r="C10" s="44"/>
      <c r="D10" s="44"/>
      <c r="E10" s="44"/>
      <c r="F10" s="79">
        <v>0.1</v>
      </c>
      <c r="G10" s="44" t="s">
        <v>144</v>
      </c>
      <c r="H10" s="44"/>
      <c r="I10" s="44" t="s">
        <v>146</v>
      </c>
      <c r="J10" s="44"/>
      <c r="K10" s="44"/>
      <c r="L10" s="44"/>
      <c r="M10" s="109">
        <v>0.5</v>
      </c>
      <c r="N10" s="55"/>
      <c r="O10" s="44"/>
      <c r="P10" s="105"/>
      <c r="Q10" s="55"/>
      <c r="R10" s="55"/>
    </row>
    <row r="11" spans="2:18" ht="12.75">
      <c r="B11" s="102" t="s">
        <v>145</v>
      </c>
      <c r="C11" s="41"/>
      <c r="D11" s="41"/>
      <c r="E11" s="41"/>
      <c r="F11" s="103">
        <v>0.01</v>
      </c>
      <c r="G11" s="104" t="s">
        <v>81</v>
      </c>
      <c r="H11" s="41"/>
      <c r="I11" s="41" t="s">
        <v>150</v>
      </c>
      <c r="J11" s="41"/>
      <c r="K11" s="41"/>
      <c r="L11" s="41"/>
      <c r="M11" s="110">
        <v>0.07</v>
      </c>
      <c r="N11" s="82" t="s">
        <v>81</v>
      </c>
      <c r="O11" s="41"/>
      <c r="P11" s="106"/>
      <c r="Q11" s="55"/>
      <c r="R11" s="55"/>
    </row>
    <row r="12" spans="2:18" ht="14.25" customHeight="1">
      <c r="B12" s="55"/>
      <c r="C12" s="55"/>
      <c r="D12" s="55"/>
      <c r="E12" s="55"/>
      <c r="F12" s="55"/>
      <c r="G12" s="55"/>
      <c r="H12" s="55"/>
      <c r="I12" s="55"/>
      <c r="O12" s="44" t="s">
        <v>81</v>
      </c>
      <c r="P12" s="44"/>
      <c r="Q12" s="55"/>
      <c r="R12" s="55"/>
    </row>
    <row r="13" spans="2:18" ht="12.75">
      <c r="B13" s="67" t="s">
        <v>127</v>
      </c>
      <c r="C13" s="87"/>
      <c r="D13" s="70"/>
      <c r="E13" s="70"/>
      <c r="F13" s="70"/>
      <c r="G13" s="70"/>
      <c r="H13" s="70"/>
      <c r="I13" s="70"/>
      <c r="J13" s="70"/>
      <c r="K13" s="50"/>
      <c r="L13" s="50"/>
      <c r="M13" s="70"/>
      <c r="N13" s="75"/>
      <c r="P13" s="55"/>
      <c r="Q13" s="55"/>
      <c r="R13" s="55"/>
    </row>
    <row r="14" spans="2:18" ht="12.75">
      <c r="B14" s="88" t="s">
        <v>96</v>
      </c>
      <c r="C14" s="73"/>
      <c r="D14" s="55"/>
      <c r="E14" s="101">
        <f>IRR(N20:N39,0.001)</f>
        <v>0.1872080244365584</v>
      </c>
      <c r="F14" s="73"/>
      <c r="G14" s="73"/>
      <c r="H14" s="55"/>
      <c r="I14" s="73" t="s">
        <v>134</v>
      </c>
      <c r="J14" s="73"/>
      <c r="K14" s="73"/>
      <c r="L14" s="55"/>
      <c r="M14" s="74">
        <f>MATCH(0,L20:L39,1)</f>
        <v>4</v>
      </c>
      <c r="N14" s="89" t="s">
        <v>9</v>
      </c>
      <c r="Q14" s="55"/>
      <c r="R14" s="55"/>
    </row>
    <row r="15" spans="2:18" ht="12.75">
      <c r="B15" s="81" t="s">
        <v>152</v>
      </c>
      <c r="C15" s="82"/>
      <c r="D15" s="82"/>
      <c r="E15" s="107">
        <f>NPV(F5,-SUM(C41,D41,G41,H41,J41))/P41</f>
        <v>6.561353607400702</v>
      </c>
      <c r="F15" s="82" t="s">
        <v>101</v>
      </c>
      <c r="G15" s="82"/>
      <c r="H15" s="82"/>
      <c r="I15" s="90" t="s">
        <v>133</v>
      </c>
      <c r="J15" s="90"/>
      <c r="K15" s="90"/>
      <c r="L15" s="82"/>
      <c r="M15" s="91">
        <f>MATCH(0,O20:O39,1)</f>
        <v>4</v>
      </c>
      <c r="N15" s="92" t="s">
        <v>9</v>
      </c>
      <c r="Q15" s="55"/>
      <c r="R15" s="55"/>
    </row>
    <row r="16" spans="17:18" ht="23.25" customHeight="1" thickBot="1">
      <c r="Q16" s="55"/>
      <c r="R16" s="55"/>
    </row>
    <row r="17" spans="1:38" s="38" customFormat="1" ht="12.75">
      <c r="A17" s="46"/>
      <c r="B17" s="53"/>
      <c r="C17" s="53"/>
      <c r="D17" s="53"/>
      <c r="E17" s="53" t="s">
        <v>121</v>
      </c>
      <c r="F17" s="53"/>
      <c r="G17" s="53"/>
      <c r="H17" s="53"/>
      <c r="I17" s="53"/>
      <c r="J17" s="53"/>
      <c r="K17" s="53"/>
      <c r="L17" s="53" t="s">
        <v>110</v>
      </c>
      <c r="M17" s="53" t="s">
        <v>88</v>
      </c>
      <c r="N17" s="53" t="s">
        <v>109</v>
      </c>
      <c r="O17" s="53" t="s">
        <v>112</v>
      </c>
      <c r="P17" s="53" t="s">
        <v>89</v>
      </c>
      <c r="Q17" s="53" t="s">
        <v>109</v>
      </c>
      <c r="R17" s="52"/>
      <c r="S17" s="52"/>
      <c r="T17" s="52"/>
      <c r="U17" s="52"/>
      <c r="V17" s="52"/>
      <c r="W17" s="52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39" customFormat="1" ht="12.75">
      <c r="A18" s="46"/>
      <c r="B18" s="53"/>
      <c r="C18" s="53" t="s">
        <v>120</v>
      </c>
      <c r="D18" s="53" t="s">
        <v>85</v>
      </c>
      <c r="E18" s="53" t="s">
        <v>122</v>
      </c>
      <c r="F18" s="53" t="s">
        <v>87</v>
      </c>
      <c r="G18" s="53" t="s">
        <v>148</v>
      </c>
      <c r="H18" s="53" t="s">
        <v>147</v>
      </c>
      <c r="I18" s="53" t="s">
        <v>107</v>
      </c>
      <c r="J18" s="53" t="s">
        <v>86</v>
      </c>
      <c r="K18" s="53" t="s">
        <v>106</v>
      </c>
      <c r="L18" s="53" t="s">
        <v>111</v>
      </c>
      <c r="M18" s="53" t="s">
        <v>92</v>
      </c>
      <c r="N18" s="53" t="s">
        <v>106</v>
      </c>
      <c r="O18" s="53" t="s">
        <v>106</v>
      </c>
      <c r="P18" s="53" t="s">
        <v>33</v>
      </c>
      <c r="Q18" s="53" t="s">
        <v>116</v>
      </c>
      <c r="R18" s="52"/>
      <c r="S18" s="52"/>
      <c r="T18" s="52"/>
      <c r="U18" s="52"/>
      <c r="V18" s="52"/>
      <c r="W18" s="52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40" customFormat="1" ht="13.5" thickBot="1">
      <c r="A19" s="46"/>
      <c r="B19" s="53" t="s">
        <v>93</v>
      </c>
      <c r="C19" s="53" t="s">
        <v>120</v>
      </c>
      <c r="D19" s="53" t="s">
        <v>90</v>
      </c>
      <c r="E19" s="53" t="s">
        <v>103</v>
      </c>
      <c r="F19" s="53" t="s">
        <v>91</v>
      </c>
      <c r="G19" s="53" t="s">
        <v>149</v>
      </c>
      <c r="H19" s="53" t="s">
        <v>135</v>
      </c>
      <c r="I19" s="53" t="s">
        <v>105</v>
      </c>
      <c r="J19" s="53" t="s">
        <v>6</v>
      </c>
      <c r="K19" s="53" t="s">
        <v>107</v>
      </c>
      <c r="L19" s="53" t="s">
        <v>107</v>
      </c>
      <c r="M19" s="53" t="s">
        <v>94</v>
      </c>
      <c r="N19" s="53" t="s">
        <v>107</v>
      </c>
      <c r="O19" s="53" t="s">
        <v>104</v>
      </c>
      <c r="P19" s="53" t="s">
        <v>1</v>
      </c>
      <c r="Q19" s="53" t="s">
        <v>1</v>
      </c>
      <c r="R19" s="52"/>
      <c r="S19" s="52"/>
      <c r="T19" s="52"/>
      <c r="U19" s="52"/>
      <c r="V19" s="52"/>
      <c r="W19" s="52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2:23" ht="12.75">
      <c r="B20" s="42">
        <v>1</v>
      </c>
      <c r="C20" s="51">
        <f>-(F4*(1-$M$10))</f>
        <v>-30000</v>
      </c>
      <c r="D20" s="51">
        <f>C20*M4</f>
        <v>-1650</v>
      </c>
      <c r="E20" s="51">
        <f>$F$7+($F$5*P20)</f>
        <v>1120.4510807044</v>
      </c>
      <c r="F20" s="51">
        <f aca="true" t="shared" si="0" ref="F20:F39">IF(B20&lt;=$M$3,($F$4/$M$3)*$F$9,0)</f>
        <v>2999.9999999999995</v>
      </c>
      <c r="G20" s="51">
        <f>PMT(M11,20,$F$4+C20)</f>
        <v>-2831.787772297671</v>
      </c>
      <c r="H20" s="51">
        <f>(F8*$F$4)-(F10*$F$4)</f>
        <v>0</v>
      </c>
      <c r="I20" s="51">
        <f>(P20*$M$8)*(1+$M$9)</f>
        <v>14087.75764738545</v>
      </c>
      <c r="J20" s="51">
        <f>-($F$4*$M$5)</f>
        <v>-2400</v>
      </c>
      <c r="K20" s="51">
        <f aca="true" t="shared" si="1" ref="K20:K39">SUM(C20:J20)</f>
        <v>-18673.57904420782</v>
      </c>
      <c r="L20" s="51">
        <f>K20</f>
        <v>-18673.57904420782</v>
      </c>
      <c r="M20" s="54">
        <f aca="true" t="shared" si="2" ref="M20:M39">1/((1+$F$5)^(B20-1))</f>
        <v>1</v>
      </c>
      <c r="N20" s="51">
        <f aca="true" t="shared" si="3" ref="N20:N39">M20*K20</f>
        <v>-18673.57904420782</v>
      </c>
      <c r="O20" s="51">
        <f>N20</f>
        <v>-18673.57904420782</v>
      </c>
      <c r="P20" s="43">
        <f ca="1">CELL("contents",'Solar perf'!$N$35)</f>
        <v>2007.51801174</v>
      </c>
      <c r="Q20" s="43">
        <f>P20</f>
        <v>2007.51801174</v>
      </c>
      <c r="R20" s="59"/>
      <c r="S20" s="60"/>
      <c r="T20" s="60"/>
      <c r="U20" s="45"/>
      <c r="V20" s="44"/>
      <c r="W20" s="45"/>
    </row>
    <row r="21" spans="2:23" ht="12.75">
      <c r="B21" s="42">
        <v>2</v>
      </c>
      <c r="C21" s="51">
        <v>0</v>
      </c>
      <c r="D21" s="51">
        <v>0</v>
      </c>
      <c r="E21" s="51">
        <f aca="true" t="shared" si="4" ref="E21:E39">($F$5*P21)</f>
        <v>120.149953002639</v>
      </c>
      <c r="F21" s="51">
        <f t="shared" si="0"/>
        <v>2999.9999999999995</v>
      </c>
      <c r="G21" s="51">
        <f>G20</f>
        <v>-2831.787772297671</v>
      </c>
      <c r="H21" s="51">
        <f>-(($F$10*$F$4)*((1+$F$11)^(B21-1)))</f>
        <v>-6060</v>
      </c>
      <c r="I21" s="51">
        <f aca="true" t="shared" si="5" ref="I21:I39">I20*(1+$M$9)</f>
        <v>14122.977041503913</v>
      </c>
      <c r="J21" s="51">
        <f aca="true" t="shared" si="6" ref="J21:J39">(1+$M$6)*J20</f>
        <v>-2448</v>
      </c>
      <c r="K21" s="51">
        <f t="shared" si="1"/>
        <v>5903.3392222088805</v>
      </c>
      <c r="L21" s="51">
        <f>L20+K21</f>
        <v>-12770.23982199894</v>
      </c>
      <c r="M21" s="54">
        <f t="shared" si="2"/>
        <v>0.9433962264150942</v>
      </c>
      <c r="N21" s="51">
        <f t="shared" si="3"/>
        <v>5569.1879454800755</v>
      </c>
      <c r="O21" s="51">
        <f>O20+N21</f>
        <v>-13104.391098727745</v>
      </c>
      <c r="P21" s="43">
        <f aca="true" t="shared" si="7" ref="P21:P39">P20-(P20*$M$7)</f>
        <v>2002.49921671065</v>
      </c>
      <c r="Q21" s="43">
        <f aca="true" t="shared" si="8" ref="Q21:Q39">P21*M21</f>
        <v>1889.1502044440092</v>
      </c>
      <c r="R21" s="59"/>
      <c r="S21" s="60"/>
      <c r="T21" s="60"/>
      <c r="U21" s="45"/>
      <c r="V21" s="44"/>
      <c r="W21" s="45"/>
    </row>
    <row r="22" spans="2:23" ht="12.75">
      <c r="B22" s="42">
        <v>3</v>
      </c>
      <c r="C22" s="51">
        <v>0</v>
      </c>
      <c r="D22" s="51">
        <v>0</v>
      </c>
      <c r="E22" s="51">
        <f t="shared" si="4"/>
        <v>119.84957812013239</v>
      </c>
      <c r="F22" s="51">
        <f t="shared" si="0"/>
        <v>2999.9999999999995</v>
      </c>
      <c r="G22" s="51">
        <f aca="true" t="shared" si="9" ref="G22:G39">G21</f>
        <v>-2831.787772297671</v>
      </c>
      <c r="H22" s="51">
        <f aca="true" t="shared" si="10" ref="H22:H39">-(($F$10*$F$4)*((1+$F$11)^(B22-1)))</f>
        <v>-6120.6</v>
      </c>
      <c r="I22" s="51">
        <f t="shared" si="5"/>
        <v>14158.284484107671</v>
      </c>
      <c r="J22" s="51">
        <f t="shared" si="6"/>
        <v>-2496.96</v>
      </c>
      <c r="K22" s="51">
        <f t="shared" si="1"/>
        <v>5828.786289930132</v>
      </c>
      <c r="L22" s="51">
        <f aca="true" t="shared" si="11" ref="L22:L39">L21+K22</f>
        <v>-6941.453532068809</v>
      </c>
      <c r="M22" s="54">
        <f t="shared" si="2"/>
        <v>0.8899964400142398</v>
      </c>
      <c r="N22" s="51">
        <f t="shared" si="3"/>
        <v>5187.599047641626</v>
      </c>
      <c r="O22" s="51">
        <f aca="true" t="shared" si="12" ref="O22:O39">O21+N22</f>
        <v>-7916.792051086119</v>
      </c>
      <c r="P22" s="43">
        <f t="shared" si="7"/>
        <v>1997.4929686688733</v>
      </c>
      <c r="Q22" s="43">
        <f t="shared" si="8"/>
        <v>1777.7616310687729</v>
      </c>
      <c r="R22" s="59"/>
      <c r="S22" s="60"/>
      <c r="T22" s="60"/>
      <c r="U22" s="45"/>
      <c r="V22" s="44"/>
      <c r="W22" s="45"/>
    </row>
    <row r="23" spans="2:23" ht="12.75">
      <c r="B23" s="42">
        <v>4</v>
      </c>
      <c r="C23" s="51">
        <v>0</v>
      </c>
      <c r="D23" s="51">
        <v>0</v>
      </c>
      <c r="E23" s="51">
        <f t="shared" si="4"/>
        <v>119.54995417483207</v>
      </c>
      <c r="F23" s="51">
        <f t="shared" si="0"/>
        <v>2999.9999999999995</v>
      </c>
      <c r="G23" s="51">
        <f t="shared" si="9"/>
        <v>-2831.787772297671</v>
      </c>
      <c r="H23" s="51">
        <f t="shared" si="10"/>
        <v>-6181.806</v>
      </c>
      <c r="I23" s="51">
        <f t="shared" si="5"/>
        <v>14193.68019531794</v>
      </c>
      <c r="J23" s="51">
        <f t="shared" si="6"/>
        <v>-2546.8992000000003</v>
      </c>
      <c r="K23" s="51">
        <f t="shared" si="1"/>
        <v>5752.737177195102</v>
      </c>
      <c r="L23" s="51">
        <f t="shared" si="11"/>
        <v>-1188.7163548737071</v>
      </c>
      <c r="M23" s="54">
        <f t="shared" si="2"/>
        <v>0.8396192830323016</v>
      </c>
      <c r="N23" s="51">
        <f t="shared" si="3"/>
        <v>4830.109064189818</v>
      </c>
      <c r="O23" s="51">
        <f t="shared" si="12"/>
        <v>-3086.6829868963005</v>
      </c>
      <c r="P23" s="43">
        <f t="shared" si="7"/>
        <v>1992.4992362472012</v>
      </c>
      <c r="Q23" s="43">
        <f t="shared" si="8"/>
        <v>1672.9407801802836</v>
      </c>
      <c r="R23" s="59"/>
      <c r="S23" s="60"/>
      <c r="T23" s="60"/>
      <c r="U23" s="45"/>
      <c r="V23" s="44"/>
      <c r="W23" s="45"/>
    </row>
    <row r="24" spans="2:23" ht="12.75">
      <c r="B24" s="42">
        <v>5</v>
      </c>
      <c r="C24" s="51">
        <v>0</v>
      </c>
      <c r="D24" s="51">
        <v>0</v>
      </c>
      <c r="E24" s="51">
        <f t="shared" si="4"/>
        <v>119.251079289395</v>
      </c>
      <c r="F24" s="51">
        <f t="shared" si="0"/>
        <v>2999.9999999999995</v>
      </c>
      <c r="G24" s="51">
        <f t="shared" si="9"/>
        <v>-2831.787772297671</v>
      </c>
      <c r="H24" s="51">
        <f t="shared" si="10"/>
        <v>-6243.62406</v>
      </c>
      <c r="I24" s="51">
        <f t="shared" si="5"/>
        <v>14229.164395806234</v>
      </c>
      <c r="J24" s="51">
        <f t="shared" si="6"/>
        <v>-2597.8371840000004</v>
      </c>
      <c r="K24" s="51">
        <f t="shared" si="1"/>
        <v>5675.166458797958</v>
      </c>
      <c r="L24" s="51">
        <f t="shared" si="11"/>
        <v>4486.4501039242505</v>
      </c>
      <c r="M24" s="54">
        <f t="shared" si="2"/>
        <v>0.7920936632380204</v>
      </c>
      <c r="N24" s="51">
        <f t="shared" si="3"/>
        <v>4495.263389834819</v>
      </c>
      <c r="O24" s="51">
        <f t="shared" si="12"/>
        <v>1408.580402938518</v>
      </c>
      <c r="P24" s="43">
        <f t="shared" si="7"/>
        <v>1987.5179881565832</v>
      </c>
      <c r="Q24" s="43">
        <f t="shared" si="8"/>
        <v>1574.3004039904085</v>
      </c>
      <c r="R24" s="59"/>
      <c r="S24" s="60"/>
      <c r="T24" s="60"/>
      <c r="U24" s="45"/>
      <c r="V24" s="44"/>
      <c r="W24" s="45"/>
    </row>
    <row r="25" spans="2:23" ht="12.75">
      <c r="B25" s="42">
        <v>6</v>
      </c>
      <c r="C25" s="51">
        <v>0</v>
      </c>
      <c r="D25" s="51">
        <v>0</v>
      </c>
      <c r="E25" s="51">
        <f t="shared" si="4"/>
        <v>118.9529515911715</v>
      </c>
      <c r="F25" s="51">
        <f t="shared" si="0"/>
        <v>2999.9999999999995</v>
      </c>
      <c r="G25" s="51">
        <f t="shared" si="9"/>
        <v>-2831.787772297671</v>
      </c>
      <c r="H25" s="51">
        <f t="shared" si="10"/>
        <v>-6306.060300599999</v>
      </c>
      <c r="I25" s="51">
        <f t="shared" si="5"/>
        <v>14264.737306795749</v>
      </c>
      <c r="J25" s="51">
        <f t="shared" si="6"/>
        <v>-2649.7939276800007</v>
      </c>
      <c r="K25" s="51">
        <f t="shared" si="1"/>
        <v>5596.048257809249</v>
      </c>
      <c r="L25" s="51">
        <f t="shared" si="11"/>
        <v>10082.498361733498</v>
      </c>
      <c r="M25" s="54">
        <f t="shared" si="2"/>
        <v>0.7472581728660569</v>
      </c>
      <c r="N25" s="51">
        <f t="shared" si="3"/>
        <v>4181.69279640082</v>
      </c>
      <c r="O25" s="51">
        <f t="shared" si="12"/>
        <v>5590.273199339338</v>
      </c>
      <c r="P25" s="43">
        <f t="shared" si="7"/>
        <v>1982.5491931861918</v>
      </c>
      <c r="Q25" s="43">
        <f t="shared" si="8"/>
        <v>1481.476087717389</v>
      </c>
      <c r="R25" s="59"/>
      <c r="S25" s="60"/>
      <c r="T25" s="60"/>
      <c r="U25" s="45"/>
      <c r="V25" s="44"/>
      <c r="W25" s="45"/>
    </row>
    <row r="26" spans="2:23" ht="12.75">
      <c r="B26" s="42">
        <v>7</v>
      </c>
      <c r="C26" s="51">
        <v>0</v>
      </c>
      <c r="D26" s="51">
        <v>0</v>
      </c>
      <c r="E26" s="51">
        <f t="shared" si="4"/>
        <v>118.65556921219358</v>
      </c>
      <c r="F26" s="51">
        <f t="shared" si="0"/>
        <v>2999.9999999999995</v>
      </c>
      <c r="G26" s="51">
        <f t="shared" si="9"/>
        <v>-2831.787772297671</v>
      </c>
      <c r="H26" s="51">
        <f t="shared" si="10"/>
        <v>-6369.120903606001</v>
      </c>
      <c r="I26" s="51">
        <f t="shared" si="5"/>
        <v>14300.399150062738</v>
      </c>
      <c r="J26" s="51">
        <f t="shared" si="6"/>
        <v>-2702.7898062336008</v>
      </c>
      <c r="K26" s="51">
        <f t="shared" si="1"/>
        <v>5515.356237137659</v>
      </c>
      <c r="L26" s="51">
        <f t="shared" si="11"/>
        <v>15597.854598871158</v>
      </c>
      <c r="M26" s="54">
        <f t="shared" si="2"/>
        <v>0.7049605404396763</v>
      </c>
      <c r="N26" s="51">
        <f t="shared" si="3"/>
        <v>3888.1085136499037</v>
      </c>
      <c r="O26" s="51">
        <f t="shared" si="12"/>
        <v>9478.381712989241</v>
      </c>
      <c r="P26" s="43">
        <f t="shared" si="7"/>
        <v>1977.5928202032264</v>
      </c>
      <c r="Q26" s="43">
        <f t="shared" si="8"/>
        <v>1394.12490330009</v>
      </c>
      <c r="R26" s="59"/>
      <c r="S26" s="60"/>
      <c r="T26" s="60"/>
      <c r="U26" s="45"/>
      <c r="V26" s="44"/>
      <c r="W26" s="45"/>
    </row>
    <row r="27" spans="2:23" ht="12.75">
      <c r="B27" s="42">
        <v>8</v>
      </c>
      <c r="C27" s="51">
        <v>0</v>
      </c>
      <c r="D27" s="51">
        <v>0</v>
      </c>
      <c r="E27" s="51">
        <f t="shared" si="4"/>
        <v>118.3589302891631</v>
      </c>
      <c r="F27" s="51">
        <f t="shared" si="0"/>
        <v>0</v>
      </c>
      <c r="G27" s="51">
        <f t="shared" si="9"/>
        <v>-2831.787772297671</v>
      </c>
      <c r="H27" s="51">
        <f t="shared" si="10"/>
        <v>-6432.812112642059</v>
      </c>
      <c r="I27" s="51">
        <f t="shared" si="5"/>
        <v>14336.150147937895</v>
      </c>
      <c r="J27" s="51">
        <f t="shared" si="6"/>
        <v>-2756.845602358273</v>
      </c>
      <c r="K27" s="51">
        <f t="shared" si="1"/>
        <v>2433.063590929056</v>
      </c>
      <c r="L27" s="51">
        <f t="shared" si="11"/>
        <v>18030.918189800213</v>
      </c>
      <c r="M27" s="54">
        <f t="shared" si="2"/>
        <v>0.665057113622336</v>
      </c>
      <c r="N27" s="51">
        <f t="shared" si="3"/>
        <v>1618.126249042874</v>
      </c>
      <c r="O27" s="51">
        <f t="shared" si="12"/>
        <v>11096.507962032116</v>
      </c>
      <c r="P27" s="43">
        <f t="shared" si="7"/>
        <v>1972.6488381527183</v>
      </c>
      <c r="Q27" s="43">
        <f t="shared" si="8"/>
        <v>1311.9241424923014</v>
      </c>
      <c r="R27" s="59"/>
      <c r="S27" s="60"/>
      <c r="T27" s="60"/>
      <c r="U27" s="45"/>
      <c r="V27" s="44"/>
      <c r="W27" s="45"/>
    </row>
    <row r="28" spans="2:23" ht="12.75">
      <c r="B28" s="42">
        <v>9</v>
      </c>
      <c r="C28" s="51">
        <v>0</v>
      </c>
      <c r="D28" s="51">
        <v>0</v>
      </c>
      <c r="E28" s="51">
        <f t="shared" si="4"/>
        <v>118.0630329634402</v>
      </c>
      <c r="F28" s="51">
        <f t="shared" si="0"/>
        <v>0</v>
      </c>
      <c r="G28" s="51">
        <f t="shared" si="9"/>
        <v>-2831.787772297671</v>
      </c>
      <c r="H28" s="51">
        <f t="shared" si="10"/>
        <v>-6497.140233768481</v>
      </c>
      <c r="I28" s="51">
        <f t="shared" si="5"/>
        <v>14371.990523307739</v>
      </c>
      <c r="J28" s="51">
        <f t="shared" si="6"/>
        <v>-2811.9825144054385</v>
      </c>
      <c r="K28" s="51">
        <f t="shared" si="1"/>
        <v>2349.143035799588</v>
      </c>
      <c r="L28" s="51">
        <f t="shared" si="11"/>
        <v>20380.061225599802</v>
      </c>
      <c r="M28" s="54">
        <f t="shared" si="2"/>
        <v>0.6274123713418265</v>
      </c>
      <c r="N28" s="51">
        <f t="shared" si="3"/>
        <v>1473.8814027121566</v>
      </c>
      <c r="O28" s="51">
        <f t="shared" si="12"/>
        <v>12570.389364744273</v>
      </c>
      <c r="P28" s="43">
        <f t="shared" si="7"/>
        <v>1967.7172160573366</v>
      </c>
      <c r="Q28" s="43">
        <f t="shared" si="8"/>
        <v>1234.5701246566707</v>
      </c>
      <c r="R28" s="59"/>
      <c r="S28" s="60"/>
      <c r="T28" s="60"/>
      <c r="U28" s="45"/>
      <c r="V28" s="44"/>
      <c r="W28" s="45"/>
    </row>
    <row r="29" spans="2:23" ht="12.75">
      <c r="B29" s="42">
        <v>10</v>
      </c>
      <c r="C29" s="51">
        <v>0</v>
      </c>
      <c r="D29" s="51">
        <v>0</v>
      </c>
      <c r="E29" s="51">
        <f t="shared" si="4"/>
        <v>117.76787538103159</v>
      </c>
      <c r="F29" s="51">
        <f t="shared" si="0"/>
        <v>0</v>
      </c>
      <c r="G29" s="51">
        <f t="shared" si="9"/>
        <v>-2831.787772297671</v>
      </c>
      <c r="H29" s="51">
        <f t="shared" si="10"/>
        <v>-6562.111636106167</v>
      </c>
      <c r="I29" s="51">
        <f t="shared" si="5"/>
        <v>14407.920499616008</v>
      </c>
      <c r="J29" s="51">
        <f t="shared" si="6"/>
        <v>-2868.2221646935473</v>
      </c>
      <c r="K29" s="51">
        <f t="shared" si="1"/>
        <v>2263.5668018996544</v>
      </c>
      <c r="L29" s="51">
        <f t="shared" si="11"/>
        <v>22643.628027499457</v>
      </c>
      <c r="M29" s="54">
        <f t="shared" si="2"/>
        <v>0.591898463530025</v>
      </c>
      <c r="N29" s="51">
        <f t="shared" si="3"/>
        <v>1339.8017121419778</v>
      </c>
      <c r="O29" s="51">
        <f t="shared" si="12"/>
        <v>13910.19107688625</v>
      </c>
      <c r="P29" s="43">
        <f t="shared" si="7"/>
        <v>1962.7979230171932</v>
      </c>
      <c r="Q29" s="43">
        <f t="shared" si="8"/>
        <v>1161.7770748538007</v>
      </c>
      <c r="R29" s="59"/>
      <c r="S29" s="60"/>
      <c r="T29" s="60"/>
      <c r="U29" s="45"/>
      <c r="V29" s="44"/>
      <c r="W29" s="45"/>
    </row>
    <row r="30" spans="2:23" ht="12.75">
      <c r="B30" s="42">
        <v>11</v>
      </c>
      <c r="C30" s="51">
        <v>0</v>
      </c>
      <c r="D30" s="51">
        <v>0</v>
      </c>
      <c r="E30" s="51">
        <f t="shared" si="4"/>
        <v>117.47345569257901</v>
      </c>
      <c r="F30" s="51">
        <f t="shared" si="0"/>
        <v>0</v>
      </c>
      <c r="G30" s="51">
        <f t="shared" si="9"/>
        <v>-2831.787772297671</v>
      </c>
      <c r="H30" s="51">
        <f t="shared" si="10"/>
        <v>-6627.732752467228</v>
      </c>
      <c r="I30" s="51">
        <f t="shared" si="5"/>
        <v>14443.940300865048</v>
      </c>
      <c r="J30" s="51">
        <f t="shared" si="6"/>
        <v>-2925.586607987418</v>
      </c>
      <c r="K30" s="51">
        <f t="shared" si="1"/>
        <v>2176.30662380531</v>
      </c>
      <c r="L30" s="51">
        <f t="shared" si="11"/>
        <v>24819.934651304768</v>
      </c>
      <c r="M30" s="54">
        <f t="shared" si="2"/>
        <v>0.5583947769151179</v>
      </c>
      <c r="N30" s="51">
        <f t="shared" si="3"/>
        <v>1215.2382516986595</v>
      </c>
      <c r="O30" s="51">
        <f t="shared" si="12"/>
        <v>15125.42932858491</v>
      </c>
      <c r="P30" s="43">
        <f t="shared" si="7"/>
        <v>1957.8909282096502</v>
      </c>
      <c r="Q30" s="43">
        <f t="shared" si="8"/>
        <v>1093.2760680817605</v>
      </c>
      <c r="R30" s="59"/>
      <c r="S30" s="60"/>
      <c r="T30" s="60"/>
      <c r="U30" s="45"/>
      <c r="V30" s="44"/>
      <c r="W30" s="45"/>
    </row>
    <row r="31" spans="2:23" ht="12.75">
      <c r="B31" s="42">
        <v>12</v>
      </c>
      <c r="C31" s="51">
        <v>0</v>
      </c>
      <c r="D31" s="51">
        <v>0</v>
      </c>
      <c r="E31" s="51">
        <f t="shared" si="4"/>
        <v>117.17977205334755</v>
      </c>
      <c r="F31" s="51">
        <f t="shared" si="0"/>
        <v>0</v>
      </c>
      <c r="G31" s="51">
        <f t="shared" si="9"/>
        <v>-2831.787772297671</v>
      </c>
      <c r="H31" s="51">
        <f t="shared" si="10"/>
        <v>-6694.010079991899</v>
      </c>
      <c r="I31" s="51">
        <f t="shared" si="5"/>
        <v>14480.05015161721</v>
      </c>
      <c r="J31" s="51">
        <f t="shared" si="6"/>
        <v>-2984.0983401471667</v>
      </c>
      <c r="K31" s="51">
        <f t="shared" si="1"/>
        <v>2087.3337312338217</v>
      </c>
      <c r="L31" s="51">
        <f t="shared" si="11"/>
        <v>26907.26838253859</v>
      </c>
      <c r="M31" s="54">
        <f t="shared" si="2"/>
        <v>0.5267875253916205</v>
      </c>
      <c r="N31" s="51">
        <f t="shared" si="3"/>
        <v>1099.581370943123</v>
      </c>
      <c r="O31" s="51">
        <f t="shared" si="12"/>
        <v>16225.010699528033</v>
      </c>
      <c r="P31" s="43">
        <f t="shared" si="7"/>
        <v>1952.996200889126</v>
      </c>
      <c r="Q31" s="43">
        <f t="shared" si="8"/>
        <v>1028.8140357656189</v>
      </c>
      <c r="R31" s="59"/>
      <c r="S31" s="60"/>
      <c r="T31" s="60"/>
      <c r="U31" s="45"/>
      <c r="V31" s="44"/>
      <c r="W31" s="45"/>
    </row>
    <row r="32" spans="2:23" ht="12.75">
      <c r="B32" s="42">
        <v>13</v>
      </c>
      <c r="C32" s="51">
        <v>0</v>
      </c>
      <c r="D32" s="51">
        <v>0</v>
      </c>
      <c r="E32" s="51">
        <f t="shared" si="4"/>
        <v>116.88682262321419</v>
      </c>
      <c r="F32" s="51">
        <f t="shared" si="0"/>
        <v>0</v>
      </c>
      <c r="G32" s="51">
        <f t="shared" si="9"/>
        <v>-2831.787772297671</v>
      </c>
      <c r="H32" s="51">
        <f t="shared" si="10"/>
        <v>-6760.950180791819</v>
      </c>
      <c r="I32" s="51">
        <f t="shared" si="5"/>
        <v>14516.250276996252</v>
      </c>
      <c r="J32" s="51">
        <f t="shared" si="6"/>
        <v>-3043.78030695011</v>
      </c>
      <c r="K32" s="51">
        <f t="shared" si="1"/>
        <v>1996.6188395798667</v>
      </c>
      <c r="L32" s="51">
        <f t="shared" si="11"/>
        <v>28903.887222118457</v>
      </c>
      <c r="M32" s="54">
        <f t="shared" si="2"/>
        <v>0.4969693635770005</v>
      </c>
      <c r="N32" s="51">
        <f t="shared" si="3"/>
        <v>992.2583940118557</v>
      </c>
      <c r="O32" s="51">
        <f t="shared" si="12"/>
        <v>17217.26909353989</v>
      </c>
      <c r="P32" s="43">
        <f t="shared" si="7"/>
        <v>1948.1137103869032</v>
      </c>
      <c r="Q32" s="43">
        <f t="shared" si="8"/>
        <v>968.1528308266084</v>
      </c>
      <c r="R32" s="59"/>
      <c r="S32" s="60"/>
      <c r="T32" s="60"/>
      <c r="U32" s="45"/>
      <c r="V32" s="44"/>
      <c r="W32" s="45"/>
    </row>
    <row r="33" spans="2:23" ht="12.75">
      <c r="B33" s="42">
        <v>14</v>
      </c>
      <c r="C33" s="51">
        <v>0</v>
      </c>
      <c r="D33" s="51">
        <v>0</v>
      </c>
      <c r="E33" s="51">
        <f t="shared" si="4"/>
        <v>116.59460556665616</v>
      </c>
      <c r="F33" s="51">
        <f t="shared" si="0"/>
        <v>0</v>
      </c>
      <c r="G33" s="51">
        <f t="shared" si="9"/>
        <v>-2831.787772297671</v>
      </c>
      <c r="H33" s="51">
        <f t="shared" si="10"/>
        <v>-6828.559682599737</v>
      </c>
      <c r="I33" s="51">
        <f t="shared" si="5"/>
        <v>14552.540902688743</v>
      </c>
      <c r="J33" s="51">
        <f t="shared" si="6"/>
        <v>-3104.6559130891123</v>
      </c>
      <c r="K33" s="51">
        <f t="shared" si="1"/>
        <v>1904.1321402688795</v>
      </c>
      <c r="L33" s="51">
        <f t="shared" si="11"/>
        <v>30808.01936238734</v>
      </c>
      <c r="M33" s="54">
        <f t="shared" si="2"/>
        <v>0.4688390222424533</v>
      </c>
      <c r="N33" s="51">
        <f t="shared" si="3"/>
        <v>892.7314508640914</v>
      </c>
      <c r="O33" s="51">
        <f t="shared" si="12"/>
        <v>18110.00054440398</v>
      </c>
      <c r="P33" s="43">
        <f t="shared" si="7"/>
        <v>1943.243426110936</v>
      </c>
      <c r="Q33" s="43">
        <f t="shared" si="8"/>
        <v>911.0683478769263</v>
      </c>
      <c r="R33" s="59"/>
      <c r="S33" s="60"/>
      <c r="T33" s="60"/>
      <c r="U33" s="45"/>
      <c r="V33" s="44"/>
      <c r="W33" s="45"/>
    </row>
    <row r="34" spans="2:23" ht="12.75">
      <c r="B34" s="42">
        <v>15</v>
      </c>
      <c r="C34" s="51">
        <v>0</v>
      </c>
      <c r="D34" s="51">
        <v>0</v>
      </c>
      <c r="E34" s="51">
        <f t="shared" si="4"/>
        <v>116.30311905273953</v>
      </c>
      <c r="F34" s="51">
        <f t="shared" si="0"/>
        <v>0</v>
      </c>
      <c r="G34" s="51">
        <f t="shared" si="9"/>
        <v>-2831.787772297671</v>
      </c>
      <c r="H34" s="51">
        <f t="shared" si="10"/>
        <v>-6896.8452794257355</v>
      </c>
      <c r="I34" s="51">
        <f t="shared" si="5"/>
        <v>14588.922254945464</v>
      </c>
      <c r="J34" s="51">
        <f t="shared" si="6"/>
        <v>-3166.7490313508947</v>
      </c>
      <c r="K34" s="51">
        <f t="shared" si="1"/>
        <v>1809.8432909239023</v>
      </c>
      <c r="L34" s="51">
        <f t="shared" si="11"/>
        <v>32617.86265331124</v>
      </c>
      <c r="M34" s="54">
        <f t="shared" si="2"/>
        <v>0.4423009643796729</v>
      </c>
      <c r="N34" s="51">
        <f t="shared" si="3"/>
        <v>800.4954329517229</v>
      </c>
      <c r="O34" s="51">
        <f t="shared" si="12"/>
        <v>18910.495977355706</v>
      </c>
      <c r="P34" s="43">
        <f t="shared" si="7"/>
        <v>1938.3853175456588</v>
      </c>
      <c r="Q34" s="43">
        <f t="shared" si="8"/>
        <v>857.3496952898435</v>
      </c>
      <c r="R34" s="59"/>
      <c r="S34" s="60"/>
      <c r="T34" s="60"/>
      <c r="U34" s="45"/>
      <c r="V34" s="44"/>
      <c r="W34" s="45"/>
    </row>
    <row r="35" spans="2:23" ht="12.75">
      <c r="B35" s="42">
        <v>16</v>
      </c>
      <c r="C35" s="51">
        <v>0</v>
      </c>
      <c r="D35" s="51">
        <v>0</v>
      </c>
      <c r="E35" s="51">
        <f t="shared" si="4"/>
        <v>116.01236125510768</v>
      </c>
      <c r="F35" s="51">
        <f t="shared" si="0"/>
        <v>0</v>
      </c>
      <c r="G35" s="51">
        <f t="shared" si="9"/>
        <v>-2831.787772297671</v>
      </c>
      <c r="H35" s="51">
        <f t="shared" si="10"/>
        <v>-6965.813732219991</v>
      </c>
      <c r="I35" s="51">
        <f t="shared" si="5"/>
        <v>14625.394560582827</v>
      </c>
      <c r="J35" s="51">
        <f t="shared" si="6"/>
        <v>-3230.0840119779127</v>
      </c>
      <c r="K35" s="51">
        <f t="shared" si="1"/>
        <v>1713.72140534236</v>
      </c>
      <c r="L35" s="51">
        <f t="shared" si="11"/>
        <v>34331.5840586536</v>
      </c>
      <c r="M35" s="54">
        <f t="shared" si="2"/>
        <v>0.41726506073554037</v>
      </c>
      <c r="N35" s="51">
        <f t="shared" si="3"/>
        <v>715.0760662839755</v>
      </c>
      <c r="O35" s="51">
        <f t="shared" si="12"/>
        <v>19625.57204363968</v>
      </c>
      <c r="P35" s="43">
        <f t="shared" si="7"/>
        <v>1933.5393542517947</v>
      </c>
      <c r="Q35" s="43">
        <f t="shared" si="8"/>
        <v>806.7984160864327</v>
      </c>
      <c r="R35" s="59"/>
      <c r="S35" s="60"/>
      <c r="T35" s="60"/>
      <c r="U35" s="45"/>
      <c r="V35" s="44"/>
      <c r="W35" s="45"/>
    </row>
    <row r="36" spans="2:23" ht="12.75">
      <c r="B36" s="42">
        <v>17</v>
      </c>
      <c r="C36" s="51">
        <v>0</v>
      </c>
      <c r="D36" s="51">
        <v>0</v>
      </c>
      <c r="E36" s="51">
        <f t="shared" si="4"/>
        <v>115.72233035196992</v>
      </c>
      <c r="F36" s="51">
        <f t="shared" si="0"/>
        <v>0</v>
      </c>
      <c r="G36" s="51">
        <f t="shared" si="9"/>
        <v>-2831.787772297671</v>
      </c>
      <c r="H36" s="51">
        <f t="shared" si="10"/>
        <v>-7035.4718695421925</v>
      </c>
      <c r="I36" s="51">
        <f t="shared" si="5"/>
        <v>14661.958046984282</v>
      </c>
      <c r="J36" s="51">
        <f t="shared" si="6"/>
        <v>-3294.685692217471</v>
      </c>
      <c r="K36" s="51">
        <f t="shared" si="1"/>
        <v>1615.735043278918</v>
      </c>
      <c r="L36" s="51">
        <f t="shared" si="11"/>
        <v>35947.31910193252</v>
      </c>
      <c r="M36" s="54">
        <f t="shared" si="2"/>
        <v>0.39364628371277405</v>
      </c>
      <c r="N36" s="51">
        <f t="shared" si="3"/>
        <v>636.0280952512443</v>
      </c>
      <c r="O36" s="51">
        <f t="shared" si="12"/>
        <v>20261.600138890924</v>
      </c>
      <c r="P36" s="43">
        <f t="shared" si="7"/>
        <v>1928.7055058661654</v>
      </c>
      <c r="Q36" s="43">
        <f t="shared" si="8"/>
        <v>759.2277547605819</v>
      </c>
      <c r="R36" s="59"/>
      <c r="S36" s="60"/>
      <c r="T36" s="60"/>
      <c r="U36" s="45"/>
      <c r="V36" s="44"/>
      <c r="W36" s="45"/>
    </row>
    <row r="37" spans="2:23" ht="12.75">
      <c r="B37" s="42">
        <v>18</v>
      </c>
      <c r="C37" s="51">
        <v>0</v>
      </c>
      <c r="D37" s="51">
        <v>0</v>
      </c>
      <c r="E37" s="51">
        <f t="shared" si="4"/>
        <v>115.43302452609</v>
      </c>
      <c r="F37" s="51">
        <f t="shared" si="0"/>
        <v>0</v>
      </c>
      <c r="G37" s="51">
        <f t="shared" si="9"/>
        <v>-2831.787772297671</v>
      </c>
      <c r="H37" s="51">
        <f t="shared" si="10"/>
        <v>-7105.826588237615</v>
      </c>
      <c r="I37" s="51">
        <f t="shared" si="5"/>
        <v>14698.612942101741</v>
      </c>
      <c r="J37" s="51">
        <f t="shared" si="6"/>
        <v>-3360.5794060618205</v>
      </c>
      <c r="K37" s="51">
        <f t="shared" si="1"/>
        <v>1515.8522000307244</v>
      </c>
      <c r="L37" s="51">
        <f t="shared" si="11"/>
        <v>37463.171301963244</v>
      </c>
      <c r="M37" s="54">
        <f t="shared" si="2"/>
        <v>0.37136441859695657</v>
      </c>
      <c r="N37" s="51">
        <f t="shared" si="3"/>
        <v>562.9335709433275</v>
      </c>
      <c r="O37" s="51">
        <f t="shared" si="12"/>
        <v>20824.533709834253</v>
      </c>
      <c r="P37" s="43">
        <f t="shared" si="7"/>
        <v>1923.8837421015</v>
      </c>
      <c r="Q37" s="43">
        <f t="shared" si="8"/>
        <v>714.4619673336607</v>
      </c>
      <c r="R37" s="59"/>
      <c r="S37" s="60"/>
      <c r="T37" s="60"/>
      <c r="U37" s="45"/>
      <c r="V37" s="44"/>
      <c r="W37" s="45"/>
    </row>
    <row r="38" spans="2:23" ht="12.75">
      <c r="B38" s="42">
        <v>19</v>
      </c>
      <c r="C38" s="51">
        <v>0</v>
      </c>
      <c r="D38" s="51">
        <v>0</v>
      </c>
      <c r="E38" s="51">
        <f t="shared" si="4"/>
        <v>115.14444196477477</v>
      </c>
      <c r="F38" s="51">
        <f t="shared" si="0"/>
        <v>0</v>
      </c>
      <c r="G38" s="51">
        <f t="shared" si="9"/>
        <v>-2831.787772297671</v>
      </c>
      <c r="H38" s="51">
        <f t="shared" si="10"/>
        <v>-7176.884854119991</v>
      </c>
      <c r="I38" s="51">
        <f t="shared" si="5"/>
        <v>14735.359474456995</v>
      </c>
      <c r="J38" s="51">
        <f t="shared" si="6"/>
        <v>-3427.790994183057</v>
      </c>
      <c r="K38" s="51">
        <f t="shared" si="1"/>
        <v>1414.0402958210502</v>
      </c>
      <c r="L38" s="51">
        <f t="shared" si="11"/>
        <v>38877.21159778429</v>
      </c>
      <c r="M38" s="54">
        <f t="shared" si="2"/>
        <v>0.35034379112920433</v>
      </c>
      <c r="N38" s="51">
        <f t="shared" si="3"/>
        <v>495.4002380474083</v>
      </c>
      <c r="O38" s="51">
        <f t="shared" si="12"/>
        <v>21319.933947881662</v>
      </c>
      <c r="P38" s="43">
        <f t="shared" si="7"/>
        <v>1919.0740327462463</v>
      </c>
      <c r="Q38" s="43">
        <f t="shared" si="8"/>
        <v>672.3356720899308</v>
      </c>
      <c r="R38" s="59"/>
      <c r="S38" s="60"/>
      <c r="T38" s="60"/>
      <c r="U38" s="45"/>
      <c r="V38" s="44"/>
      <c r="W38" s="45"/>
    </row>
    <row r="39" spans="2:23" ht="12.75">
      <c r="B39" s="42">
        <v>20</v>
      </c>
      <c r="C39" s="51">
        <v>0</v>
      </c>
      <c r="D39" s="51">
        <v>0</v>
      </c>
      <c r="E39" s="51">
        <f t="shared" si="4"/>
        <v>114.85658085986283</v>
      </c>
      <c r="F39" s="51">
        <f t="shared" si="0"/>
        <v>0</v>
      </c>
      <c r="G39" s="51">
        <f t="shared" si="9"/>
        <v>-2831.787772297671</v>
      </c>
      <c r="H39" s="51">
        <f t="shared" si="10"/>
        <v>-7248.6537026611895</v>
      </c>
      <c r="I39" s="51">
        <f t="shared" si="5"/>
        <v>14772.197873143135</v>
      </c>
      <c r="J39" s="51">
        <f t="shared" si="6"/>
        <v>-3496.3468140667183</v>
      </c>
      <c r="K39" s="51">
        <f t="shared" si="1"/>
        <v>1310.266164977419</v>
      </c>
      <c r="L39" s="51">
        <f t="shared" si="11"/>
        <v>40187.47776276171</v>
      </c>
      <c r="M39" s="54">
        <f t="shared" si="2"/>
        <v>0.3305130104992493</v>
      </c>
      <c r="N39" s="51">
        <f t="shared" si="3"/>
        <v>433.0600147419928</v>
      </c>
      <c r="O39" s="51">
        <f t="shared" si="12"/>
        <v>21752.993962623656</v>
      </c>
      <c r="P39" s="43">
        <f t="shared" si="7"/>
        <v>1914.2763476643806</v>
      </c>
      <c r="Q39" s="43">
        <f t="shared" si="8"/>
        <v>632.693238594062</v>
      </c>
      <c r="R39" s="59"/>
      <c r="S39" s="60"/>
      <c r="T39" s="60"/>
      <c r="U39" s="45"/>
      <c r="V39" s="44"/>
      <c r="W39" s="45"/>
    </row>
    <row r="40" spans="2:23" ht="6" customHeight="1">
      <c r="B40" s="4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6"/>
      <c r="N40" s="51"/>
      <c r="O40" s="51"/>
      <c r="P40" s="43"/>
      <c r="Q40" s="43"/>
      <c r="R40" s="44"/>
      <c r="S40" s="44"/>
      <c r="T40" s="44"/>
      <c r="U40" s="44"/>
      <c r="V40" s="44"/>
      <c r="W40" s="44"/>
    </row>
    <row r="41" spans="2:23" s="4" customFormat="1" ht="12.75">
      <c r="B41" s="63" t="s">
        <v>95</v>
      </c>
      <c r="C41" s="64">
        <f aca="true" t="shared" si="13" ref="C41:K41">SUM(C20:C39)</f>
        <v>-30000</v>
      </c>
      <c r="D41" s="64">
        <f t="shared" si="13"/>
        <v>-1650</v>
      </c>
      <c r="E41" s="64">
        <f t="shared" si="13"/>
        <v>3352.6565186747403</v>
      </c>
      <c r="F41" s="64">
        <f t="shared" si="13"/>
        <v>20999.999999999996</v>
      </c>
      <c r="G41" s="64">
        <f>SUM(G20:G39)</f>
        <v>-56635.75544595341</v>
      </c>
      <c r="H41" s="64">
        <f t="shared" si="13"/>
        <v>-126114.0239687801</v>
      </c>
      <c r="I41" s="64">
        <f t="shared" si="13"/>
        <v>288548.28817622305</v>
      </c>
      <c r="J41" s="64">
        <f t="shared" si="13"/>
        <v>-58313.68751740254</v>
      </c>
      <c r="K41" s="64">
        <f t="shared" si="13"/>
        <v>40187.47776276171</v>
      </c>
      <c r="L41" s="64"/>
      <c r="M41" s="65"/>
      <c r="N41" s="64">
        <f>SUM(N20:N39)</f>
        <v>21752.993962623656</v>
      </c>
      <c r="O41" s="64"/>
      <c r="P41" s="58">
        <f>SUM(P20:P39)</f>
        <v>39210.94197791234</v>
      </c>
      <c r="Q41" s="58">
        <f>SUM(Q20:Q39)</f>
        <v>23949.721391149153</v>
      </c>
      <c r="R41" s="57"/>
      <c r="S41" s="57"/>
      <c r="T41" s="57"/>
      <c r="U41" s="57"/>
      <c r="V41" s="61"/>
      <c r="W41" s="57"/>
    </row>
    <row r="42" spans="2:23" s="6" customFormat="1" ht="12.75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W42" s="45"/>
    </row>
    <row r="43" spans="6:18" ht="12.75">
      <c r="F43" s="66"/>
      <c r="G43" s="66"/>
      <c r="H43" s="66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6:18" ht="12.75">
      <c r="F44" s="66"/>
      <c r="G44" s="66"/>
      <c r="H44" s="66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6:18" ht="12.75">
      <c r="F45" s="66"/>
      <c r="G45" s="66"/>
      <c r="H45" s="66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6:18" ht="12.75">
      <c r="F46" s="66"/>
      <c r="G46" s="66"/>
      <c r="H46" s="66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2:18" ht="12.7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</sheetData>
  <sheetProtection/>
  <printOptions/>
  <pageMargins left="0.5" right="0.5" top="0.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" sqref="A3"/>
    </sheetView>
  </sheetViews>
  <sheetFormatPr defaultColWidth="9.140625" defaultRowHeight="12.75"/>
  <cols>
    <col min="1" max="8" width="16.7109375" style="0" customWidth="1"/>
  </cols>
  <sheetData>
    <row r="1" s="27" customFormat="1" ht="15.75">
      <c r="A1" s="27" t="s">
        <v>62</v>
      </c>
    </row>
    <row r="2" spans="1:9" ht="12.75">
      <c r="A2" t="s">
        <v>61</v>
      </c>
      <c r="I2" s="93"/>
    </row>
    <row r="3" spans="4:6" ht="12.75">
      <c r="D3" s="25"/>
      <c r="F3" s="35" t="s">
        <v>73</v>
      </c>
    </row>
    <row r="4" spans="4:6" ht="12.75">
      <c r="D4" s="25"/>
      <c r="F4" s="35" t="s">
        <v>74</v>
      </c>
    </row>
    <row r="5" spans="1:8" ht="12.75">
      <c r="A5" t="s">
        <v>55</v>
      </c>
      <c r="B5" t="s">
        <v>56</v>
      </c>
      <c r="C5" t="s">
        <v>57</v>
      </c>
      <c r="D5" s="25" t="s">
        <v>58</v>
      </c>
      <c r="E5" t="s">
        <v>60</v>
      </c>
      <c r="F5" s="35" t="s">
        <v>59</v>
      </c>
      <c r="H5" s="93" t="str">
        <f>HYPERLINK("http://aa.usno.navy.mil/data/docs/RS_OneDay.html","Sunrise/Sunset computer")</f>
        <v>Sunrise/Sunset computer</v>
      </c>
    </row>
    <row r="6" spans="1:6" ht="12.75">
      <c r="A6" t="s">
        <v>34</v>
      </c>
      <c r="B6" s="95">
        <v>0.3090277777777778</v>
      </c>
      <c r="C6" s="95">
        <v>0.2375</v>
      </c>
      <c r="D6" s="28">
        <f>(C6+0.5)-B6</f>
        <v>0.42847222222222225</v>
      </c>
      <c r="E6" s="26">
        <f>(D6*24)-2</f>
        <v>8.283333333333335</v>
      </c>
      <c r="F6" s="15">
        <f ca="1">CELL("contents",E6)</f>
        <v>8.283333333333335</v>
      </c>
    </row>
    <row r="7" spans="1:6" ht="12.75">
      <c r="A7" t="s">
        <v>35</v>
      </c>
      <c r="B7" s="95">
        <v>0.29583333333333334</v>
      </c>
      <c r="C7" s="95">
        <v>0.2569444444444445</v>
      </c>
      <c r="D7" s="28">
        <f aca="true" t="shared" si="0" ref="D7:D17">(C7+0.5)-B7</f>
        <v>0.4611111111111111</v>
      </c>
      <c r="E7" s="26">
        <f aca="true" t="shared" si="1" ref="E7:E17">(D7*24)-2</f>
        <v>9.066666666666666</v>
      </c>
      <c r="F7" s="15">
        <f aca="true" ca="1" t="shared" si="2" ref="F7:F17">CELL("contents",E7)</f>
        <v>9.066666666666666</v>
      </c>
    </row>
    <row r="8" spans="1:6" ht="12.75">
      <c r="A8" t="s">
        <v>36</v>
      </c>
      <c r="B8" s="95">
        <v>0.2736111111111111</v>
      </c>
      <c r="C8" s="95">
        <v>0.2722222222222222</v>
      </c>
      <c r="D8" s="28">
        <f t="shared" si="0"/>
        <v>0.49861111111111106</v>
      </c>
      <c r="E8" s="26">
        <f t="shared" si="1"/>
        <v>9.966666666666665</v>
      </c>
      <c r="F8" s="15">
        <f ca="1" t="shared" si="2"/>
        <v>9.966666666666665</v>
      </c>
    </row>
    <row r="9" spans="1:6" ht="12.75">
      <c r="A9" t="s">
        <v>37</v>
      </c>
      <c r="B9" s="95">
        <v>0.24583333333333335</v>
      </c>
      <c r="C9" s="95">
        <v>0.28680555555555554</v>
      </c>
      <c r="D9" s="28">
        <f t="shared" si="0"/>
        <v>0.5409722222222222</v>
      </c>
      <c r="E9" s="26">
        <f t="shared" si="1"/>
        <v>10.983333333333333</v>
      </c>
      <c r="F9" s="15">
        <f ca="1" t="shared" si="2"/>
        <v>10.983333333333333</v>
      </c>
    </row>
    <row r="10" spans="1:6" ht="12.75">
      <c r="A10" t="s">
        <v>38</v>
      </c>
      <c r="B10" s="95">
        <v>0.2263888888888889</v>
      </c>
      <c r="C10" s="95">
        <v>0.3020833333333333</v>
      </c>
      <c r="D10" s="28">
        <f t="shared" si="0"/>
        <v>0.5756944444444444</v>
      </c>
      <c r="E10" s="26">
        <f t="shared" si="1"/>
        <v>11.816666666666666</v>
      </c>
      <c r="F10" s="15">
        <f ca="1" t="shared" si="2"/>
        <v>11.816666666666666</v>
      </c>
    </row>
    <row r="11" spans="1:6" ht="12.75">
      <c r="A11" t="s">
        <v>39</v>
      </c>
      <c r="B11" s="95">
        <v>0.22013888888888888</v>
      </c>
      <c r="C11" s="95">
        <v>0.3138888888888889</v>
      </c>
      <c r="D11" s="28">
        <f t="shared" si="0"/>
        <v>0.59375</v>
      </c>
      <c r="E11" s="26">
        <f t="shared" si="1"/>
        <v>12.25</v>
      </c>
      <c r="F11" s="15">
        <f ca="1" t="shared" si="2"/>
        <v>12.25</v>
      </c>
    </row>
    <row r="12" spans="1:6" ht="12.75">
      <c r="A12" t="s">
        <v>40</v>
      </c>
      <c r="B12" s="95">
        <v>0.22777777777777777</v>
      </c>
      <c r="C12" s="95">
        <v>0.31319444444444444</v>
      </c>
      <c r="D12" s="28">
        <f t="shared" si="0"/>
        <v>0.5854166666666667</v>
      </c>
      <c r="E12" s="26">
        <f t="shared" si="1"/>
        <v>12.05</v>
      </c>
      <c r="F12" s="15">
        <f ca="1" t="shared" si="2"/>
        <v>12.05</v>
      </c>
    </row>
    <row r="13" spans="1:6" ht="12.75">
      <c r="A13" t="s">
        <v>41</v>
      </c>
      <c r="B13" s="95">
        <v>0.24166666666666667</v>
      </c>
      <c r="C13" s="95">
        <v>0.2972222222222222</v>
      </c>
      <c r="D13" s="28">
        <f t="shared" si="0"/>
        <v>0.5555555555555556</v>
      </c>
      <c r="E13" s="26">
        <f t="shared" si="1"/>
        <v>11.333333333333334</v>
      </c>
      <c r="F13" s="15">
        <f ca="1" t="shared" si="2"/>
        <v>11.333333333333334</v>
      </c>
    </row>
    <row r="14" spans="1:6" ht="12.75">
      <c r="A14" t="s">
        <v>42</v>
      </c>
      <c r="B14" s="95">
        <v>0.2555555555555556</v>
      </c>
      <c r="C14" s="95">
        <v>0.2701388888888889</v>
      </c>
      <c r="D14" s="28">
        <f t="shared" si="0"/>
        <v>0.5145833333333334</v>
      </c>
      <c r="E14" s="26">
        <f t="shared" si="1"/>
        <v>10.350000000000001</v>
      </c>
      <c r="F14" s="15">
        <f ca="1" t="shared" si="2"/>
        <v>10.350000000000001</v>
      </c>
    </row>
    <row r="15" spans="1:6" ht="12.75">
      <c r="A15" t="s">
        <v>43</v>
      </c>
      <c r="B15" s="95">
        <v>0.26875</v>
      </c>
      <c r="C15" s="95">
        <v>0.24375</v>
      </c>
      <c r="D15" s="28">
        <f t="shared" si="0"/>
        <v>0.47500000000000003</v>
      </c>
      <c r="E15" s="26">
        <f t="shared" si="1"/>
        <v>9.4</v>
      </c>
      <c r="F15" s="15">
        <f ca="1" t="shared" si="2"/>
        <v>9.4</v>
      </c>
    </row>
    <row r="16" spans="1:6" ht="12.75">
      <c r="A16" t="s">
        <v>44</v>
      </c>
      <c r="B16" s="95">
        <v>0.28680555555555554</v>
      </c>
      <c r="C16" s="95">
        <v>0.22430555555555556</v>
      </c>
      <c r="D16" s="28">
        <f t="shared" si="0"/>
        <v>0.4375</v>
      </c>
      <c r="E16" s="26">
        <f t="shared" si="1"/>
        <v>8.5</v>
      </c>
      <c r="F16" s="15">
        <f ca="1" t="shared" si="2"/>
        <v>8.5</v>
      </c>
    </row>
    <row r="17" spans="1:6" ht="12.75">
      <c r="A17" t="s">
        <v>45</v>
      </c>
      <c r="B17" s="95">
        <v>0.3034722222222222</v>
      </c>
      <c r="C17" s="95">
        <v>0.22291666666666665</v>
      </c>
      <c r="D17" s="28">
        <f t="shared" si="0"/>
        <v>0.41944444444444445</v>
      </c>
      <c r="E17" s="26">
        <f t="shared" si="1"/>
        <v>8.066666666666666</v>
      </c>
      <c r="F17" s="15">
        <f ca="1" t="shared" si="2"/>
        <v>8.066666666666666</v>
      </c>
    </row>
    <row r="20" s="27" customFormat="1" ht="15.75">
      <c r="A20" s="27" t="s">
        <v>140</v>
      </c>
    </row>
    <row r="21" spans="1:8" ht="12.75">
      <c r="A21" t="s">
        <v>63</v>
      </c>
      <c r="H21" s="93" t="str">
        <f>HYPERLINK("http://rredc.nrel.gov/solar/pubs/redbook/","NREL Solar Data")</f>
        <v>NREL Solar Data</v>
      </c>
    </row>
    <row r="22" spans="1:9" ht="12.75">
      <c r="A22" t="s">
        <v>141</v>
      </c>
      <c r="I22" t="s">
        <v>72</v>
      </c>
    </row>
    <row r="23" ht="12.75">
      <c r="A23" t="s">
        <v>142</v>
      </c>
    </row>
    <row r="25" spans="2:6" ht="12.75">
      <c r="B25" s="29" t="s">
        <v>65</v>
      </c>
      <c r="C25" s="29"/>
      <c r="F25" s="35" t="s">
        <v>73</v>
      </c>
    </row>
    <row r="26" spans="2:6" ht="12.75">
      <c r="B26" s="29" t="s">
        <v>66</v>
      </c>
      <c r="C26" s="29"/>
      <c r="F26" s="35" t="s">
        <v>74</v>
      </c>
    </row>
    <row r="27" spans="1:6" ht="12.75">
      <c r="A27" t="s">
        <v>55</v>
      </c>
      <c r="B27" s="29" t="s">
        <v>64</v>
      </c>
      <c r="C27" s="29" t="s">
        <v>64</v>
      </c>
      <c r="E27" t="s">
        <v>67</v>
      </c>
      <c r="F27" s="35" t="s">
        <v>59</v>
      </c>
    </row>
    <row r="28" spans="1:6" ht="12.75">
      <c r="A28" t="s">
        <v>34</v>
      </c>
      <c r="B28" s="96">
        <v>17.7</v>
      </c>
      <c r="C28" s="96">
        <v>10.7</v>
      </c>
      <c r="D28" s="29"/>
      <c r="E28" s="30">
        <f>AVERAGE(B28:C28)</f>
        <v>14.2</v>
      </c>
      <c r="F28" s="15">
        <f ca="1">CELL("contents",E28)</f>
        <v>14.2</v>
      </c>
    </row>
    <row r="29" spans="1:6" ht="12.75">
      <c r="A29" t="s">
        <v>35</v>
      </c>
      <c r="B29" s="96">
        <v>19.9</v>
      </c>
      <c r="C29" s="96">
        <v>12.4</v>
      </c>
      <c r="D29" s="29"/>
      <c r="E29" s="30">
        <f aca="true" t="shared" si="3" ref="E29:E39">AVERAGE(B29:C29)</f>
        <v>16.15</v>
      </c>
      <c r="F29" s="15">
        <f aca="true" ca="1" t="shared" si="4" ref="F29:F39">CELL("contents",E29)</f>
        <v>16.15</v>
      </c>
    </row>
    <row r="30" spans="1:6" ht="12.75">
      <c r="A30" t="s">
        <v>36</v>
      </c>
      <c r="B30" s="96">
        <v>22.7</v>
      </c>
      <c r="C30" s="96">
        <v>14.8</v>
      </c>
      <c r="D30" s="29"/>
      <c r="E30" s="30">
        <f t="shared" si="3"/>
        <v>18.75</v>
      </c>
      <c r="F30" s="15">
        <f ca="1" t="shared" si="4"/>
        <v>18.75</v>
      </c>
    </row>
    <row r="31" spans="1:6" ht="12.75">
      <c r="A31" t="s">
        <v>37</v>
      </c>
      <c r="B31" s="96">
        <v>27.3</v>
      </c>
      <c r="C31" s="96">
        <v>18.8</v>
      </c>
      <c r="D31" s="29"/>
      <c r="E31" s="30">
        <f t="shared" si="3"/>
        <v>23.05</v>
      </c>
      <c r="F31" s="15">
        <f ca="1" t="shared" si="4"/>
        <v>23.05</v>
      </c>
    </row>
    <row r="32" spans="1:6" ht="12.75">
      <c r="A32" t="s">
        <v>38</v>
      </c>
      <c r="B32" s="96">
        <v>32.2</v>
      </c>
      <c r="C32" s="96">
        <v>23.3</v>
      </c>
      <c r="D32" s="29"/>
      <c r="E32" s="30">
        <f t="shared" si="3"/>
        <v>27.75</v>
      </c>
      <c r="F32" s="15">
        <f ca="1" t="shared" si="4"/>
        <v>27.75</v>
      </c>
    </row>
    <row r="33" spans="1:6" ht="12.75">
      <c r="A33" t="s">
        <v>39</v>
      </c>
      <c r="B33" s="96">
        <v>37.6</v>
      </c>
      <c r="C33" s="96">
        <v>28.8</v>
      </c>
      <c r="D33" s="29"/>
      <c r="E33" s="30">
        <f t="shared" si="3"/>
        <v>33.2</v>
      </c>
      <c r="F33" s="15">
        <f ca="1" t="shared" si="4"/>
        <v>33.2</v>
      </c>
    </row>
    <row r="34" spans="1:6" ht="12.75">
      <c r="A34" t="s">
        <v>40</v>
      </c>
      <c r="B34" s="96">
        <v>37.4</v>
      </c>
      <c r="C34" s="96">
        <v>30.3</v>
      </c>
      <c r="D34" s="29"/>
      <c r="E34" s="30">
        <f t="shared" si="3"/>
        <v>33.85</v>
      </c>
      <c r="F34" s="15">
        <f ca="1" t="shared" si="4"/>
        <v>33.85</v>
      </c>
    </row>
    <row r="35" spans="1:6" ht="12.75">
      <c r="A35" t="s">
        <v>41</v>
      </c>
      <c r="B35" s="96">
        <v>36</v>
      </c>
      <c r="C35" s="96">
        <v>29.2</v>
      </c>
      <c r="D35" s="29"/>
      <c r="E35" s="30">
        <f t="shared" si="3"/>
        <v>32.6</v>
      </c>
      <c r="F35" s="15">
        <f ca="1" t="shared" si="4"/>
        <v>32.6</v>
      </c>
    </row>
    <row r="36" spans="1:6" ht="12.75">
      <c r="A36" t="s">
        <v>42</v>
      </c>
      <c r="B36" s="96">
        <v>34.1</v>
      </c>
      <c r="C36" s="96">
        <v>26.9</v>
      </c>
      <c r="D36" s="29"/>
      <c r="E36" s="30">
        <f t="shared" si="3"/>
        <v>30.5</v>
      </c>
      <c r="F36" s="15">
        <f ca="1" t="shared" si="4"/>
        <v>30.5</v>
      </c>
    </row>
    <row r="37" spans="1:6" ht="12.75">
      <c r="A37" t="s">
        <v>43</v>
      </c>
      <c r="B37" s="96">
        <v>29.1</v>
      </c>
      <c r="C37" s="96">
        <v>21.3</v>
      </c>
      <c r="D37" s="29"/>
      <c r="E37" s="30">
        <f t="shared" si="3"/>
        <v>25.200000000000003</v>
      </c>
      <c r="F37" s="15">
        <f ca="1" t="shared" si="4"/>
        <v>25.200000000000003</v>
      </c>
    </row>
    <row r="38" spans="1:6" ht="12.75">
      <c r="A38" t="s">
        <v>44</v>
      </c>
      <c r="B38" s="96">
        <v>22.6</v>
      </c>
      <c r="C38" s="96">
        <v>15.1</v>
      </c>
      <c r="D38" s="29"/>
      <c r="E38" s="30">
        <f t="shared" si="3"/>
        <v>18.85</v>
      </c>
      <c r="F38" s="15">
        <f ca="1" t="shared" si="4"/>
        <v>18.85</v>
      </c>
    </row>
    <row r="39" spans="1:6" ht="12.75">
      <c r="A39" t="s">
        <v>45</v>
      </c>
      <c r="B39" s="96">
        <v>17.9</v>
      </c>
      <c r="C39" s="96">
        <v>11.1</v>
      </c>
      <c r="D39" s="29"/>
      <c r="E39" s="30">
        <f t="shared" si="3"/>
        <v>14.5</v>
      </c>
      <c r="F39" s="15">
        <f ca="1" t="shared" si="4"/>
        <v>14.5</v>
      </c>
    </row>
    <row r="41" spans="1:7" ht="15.75">
      <c r="A41" s="27" t="s">
        <v>139</v>
      </c>
      <c r="B41" s="27"/>
      <c r="C41" s="27"/>
      <c r="D41" s="27"/>
      <c r="E41" s="27"/>
      <c r="F41" s="27"/>
      <c r="G41" s="27"/>
    </row>
    <row r="42" spans="1:11" ht="12.75">
      <c r="A42" t="s">
        <v>136</v>
      </c>
      <c r="H42" s="93" t="str">
        <f>HYPERLINK("http://www.solar-rating.org/SUMMARY/Dirsum_20041102.pdf","SRCC ratings")</f>
        <v>SRCC ratings</v>
      </c>
      <c r="K42" s="93"/>
    </row>
    <row r="43" ht="12.75">
      <c r="A43" t="s">
        <v>137</v>
      </c>
    </row>
    <row r="44" ht="12.75">
      <c r="A44" t="s">
        <v>138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dfmenic</dc:creator>
  <cp:keywords/>
  <dc:description/>
  <cp:lastModifiedBy>jwstrac</cp:lastModifiedBy>
  <cp:lastPrinted>2005-02-28T02:55:28Z</cp:lastPrinted>
  <dcterms:created xsi:type="dcterms:W3CDTF">2003-06-21T20:00:49Z</dcterms:created>
  <dcterms:modified xsi:type="dcterms:W3CDTF">2005-09-16T14:06:19Z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