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320" yWindow="2580" windowWidth="15320" windowHeight="2260" activeTab="0"/>
  </bookViews>
  <sheets>
    <sheet name="Overhead Calculator" sheetId="1" r:id="rId1"/>
    <sheet name="OH Keys - Spcl Matl" sheetId="2" r:id="rId2"/>
    <sheet name="Rates" sheetId="3" r:id="rId3"/>
  </sheets>
  <definedNames>
    <definedName name="OHKeys_Lookup">'Rates'!$A$4:$M$38</definedName>
    <definedName name="OHKeys_Match">'Rates'!$A$4:$A$38</definedName>
    <definedName name="_xlnm.Print_Area" localSheetId="0">'Overhead Calculator'!$A$6:$F$33</definedName>
    <definedName name="_xlnm.Print_Area" localSheetId="2">'Rates'!$A$1:$M$38</definedName>
    <definedName name="_xlnm.Print_Titles" localSheetId="0">'Overhead Calculator'!$6:$9</definedName>
    <definedName name="ValidData">'Rates'!$A$4:$A$38</definedName>
    <definedName name="wrn.All._.OH._.Keys." hidden="1">{#N/A,"XSTAND",TRUE,"Overhead Calculator";#N/A,"XCAPBJ",TRUE,"Overhead Calculator";#N/A,"XCAPIT",TRUE,"Overhead Calculator";#N/A,"XCCORD",TRUE,"Overhead Calculator";#N/A,"XEMLOC",TRUE,"Overhead Calculator";#N/A,"XEMREM",TRUE,"Overhead Calculator";#N/A,"XENMGT",TRUE,"Overhead Calculator";#N/A,"XEXEMP",TRUE,"Overhead Calculator";#N/A,"XLDLOC",TRUE,"Overhead Calculator";#N/A,"XLDRD",TRUE,"Overhead Calculator";#N/A,"XLDREM",TRUE,"Overhead Calculator";#N/A,"XLOCAL",TRUE,"Overhead Calculator";#N/A,"XLOWFO",TRUE,"Overhead Calculator";#N/A,"XREMOT",TRUE,"Overhead Calculator";#N/A,"XRMSNS",TRUE,"Overhead Calculator";#N/A,"XRMWFO",TRUE,"Overhead Calculator";#N/A,"XSNS",TRUE,"Overhead Calculator";#N/A,"XWFO",TRUE,"Overhead Calculator"}</definedName>
    <definedName name="Z_8890B30A_B3F9_11D4_AB69_000A277B5EB0_.wvu.PrintArea" localSheetId="0" hidden="1">'Overhead Calculator'!$A$6:$F$33</definedName>
    <definedName name="Z_8890B30A_B3F9_11D4_AB69_000A277B5EB0_.wvu.PrintTitles" localSheetId="0" hidden="1">'Overhead Calculator'!$6:$9</definedName>
  </definedNames>
  <calcPr fullCalcOnLoad="1"/>
</workbook>
</file>

<file path=xl/comments3.xml><?xml version="1.0" encoding="utf-8"?>
<comments xmlns="http://schemas.openxmlformats.org/spreadsheetml/2006/main">
  <authors>
    <author>uym</author>
  </authors>
  <commentList>
    <comment ref="F3" authorId="0">
      <text>
        <r>
          <rPr>
            <b/>
            <sz val="8"/>
            <rFont val="Tahoma"/>
            <family val="0"/>
          </rPr>
          <t>uym:</t>
        </r>
        <r>
          <rPr>
            <sz val="8"/>
            <rFont val="Tahoma"/>
            <family val="0"/>
          </rPr>
          <t xml:space="preserve">
Rates that are the same as G&amp;A have been "whited out."
</t>
        </r>
      </text>
    </comment>
  </commentList>
</comments>
</file>

<file path=xl/sharedStrings.xml><?xml version="1.0" encoding="utf-8"?>
<sst xmlns="http://schemas.openxmlformats.org/spreadsheetml/2006/main" count="125" uniqueCount="109">
  <si>
    <t>FY 2007 Overhead Calculator &amp; Composite Rates</t>
  </si>
  <si>
    <r>
      <t xml:space="preserve">(1) G&amp;A applied on the first </t>
    </r>
    <r>
      <rPr>
        <u val="single"/>
        <sz val="10"/>
        <rFont val="Helv"/>
        <family val="0"/>
      </rPr>
      <t>$35K per PO per lifetime effective 10/1/06</t>
    </r>
  </si>
  <si>
    <t>XSNCWF</t>
  </si>
  <si>
    <t>SNS Construction WFO</t>
  </si>
  <si>
    <t>Overhead Rates as of 10/06/2006</t>
  </si>
  <si>
    <t>XSNCON</t>
  </si>
  <si>
    <t>Calculator Updated 11/1/2006 for Business Rule changes.</t>
  </si>
  <si>
    <t>Includes XLDRD, XITER AND a new key for XSNCON and XSNCWF</t>
  </si>
  <si>
    <t>Disting./Collab. Scientists</t>
  </si>
  <si>
    <t>G&amp;A Base</t>
  </si>
  <si>
    <t>Total Overhead</t>
  </si>
  <si>
    <r>
      <t xml:space="preserve">Materials </t>
    </r>
    <r>
      <rPr>
        <vertAlign val="superscript"/>
        <sz val="10"/>
        <rFont val="Helv"/>
        <family val="0"/>
      </rPr>
      <t>(1)</t>
    </r>
  </si>
  <si>
    <r>
      <t xml:space="preserve">SubK - Task </t>
    </r>
    <r>
      <rPr>
        <vertAlign val="superscript"/>
        <sz val="10"/>
        <rFont val="Helv"/>
        <family val="0"/>
      </rPr>
      <t>(2)</t>
    </r>
  </si>
  <si>
    <r>
      <t xml:space="preserve">SubK - Staff Augmentation </t>
    </r>
    <r>
      <rPr>
        <vertAlign val="superscript"/>
        <sz val="10"/>
        <rFont val="Helv"/>
        <family val="0"/>
      </rPr>
      <t>(3)</t>
    </r>
  </si>
  <si>
    <t>(3) Subcontracts using cost element 43000630.</t>
  </si>
  <si>
    <t>Composite Rate</t>
  </si>
  <si>
    <r>
      <t xml:space="preserve">DATA ENTRY ALLOWED IN </t>
    </r>
    <r>
      <rPr>
        <b/>
        <u val="single"/>
        <sz val="24"/>
        <color indexed="12"/>
        <rFont val="Helv"/>
        <family val="0"/>
      </rPr>
      <t>BLUE</t>
    </r>
  </si>
  <si>
    <t>WFO/Fee Base</t>
  </si>
  <si>
    <t>XCAPBJ</t>
  </si>
  <si>
    <t>BJC: Grandfathered Capital</t>
  </si>
  <si>
    <t>XCAPIT</t>
  </si>
  <si>
    <t>Grandfathered Capital</t>
  </si>
  <si>
    <t>XCCORD</t>
  </si>
  <si>
    <t>XEMLOC</t>
  </si>
  <si>
    <t>BJC: Local Off-site</t>
  </si>
  <si>
    <t>XEMREM</t>
  </si>
  <si>
    <t>BJC: Remote Off-site</t>
  </si>
  <si>
    <t>XENMGT</t>
  </si>
  <si>
    <t>BJC</t>
  </si>
  <si>
    <t>XEXEMP</t>
  </si>
  <si>
    <t>Exempt</t>
  </si>
  <si>
    <t>XLOCAL</t>
  </si>
  <si>
    <t>Local Off-site</t>
  </si>
  <si>
    <t>XLOWFO</t>
  </si>
  <si>
    <t>WFO Program: Local Off-site</t>
  </si>
  <si>
    <t>XREMOT</t>
  </si>
  <si>
    <t>Remote Off-site</t>
  </si>
  <si>
    <t>XRMSNS</t>
  </si>
  <si>
    <t>SNS Program: Remote Off-site</t>
  </si>
  <si>
    <t>XRMWFO</t>
  </si>
  <si>
    <t>WFO Program: Remote Off-site</t>
  </si>
  <si>
    <t>XSNS</t>
  </si>
  <si>
    <t>XSTAND</t>
  </si>
  <si>
    <t>XWFO</t>
  </si>
  <si>
    <t>OH Key</t>
  </si>
  <si>
    <t>Description</t>
  </si>
  <si>
    <t>LaborBurden</t>
  </si>
  <si>
    <t>MaterialHandling</t>
  </si>
  <si>
    <t>SubcontractAdminist</t>
  </si>
  <si>
    <t>General&amp;Administra</t>
  </si>
  <si>
    <t>ManagementFee</t>
  </si>
  <si>
    <t>Select Overhead Key ----&gt;</t>
  </si>
  <si>
    <t>Effort</t>
  </si>
  <si>
    <t>Standard / Full</t>
  </si>
  <si>
    <t>Base Cost / Invoice Amount</t>
  </si>
  <si>
    <t>Rates Used in Current Calculations</t>
  </si>
  <si>
    <t>FringeBenefits</t>
  </si>
  <si>
    <t>WFO Security</t>
  </si>
  <si>
    <t>XGOVLO</t>
  </si>
  <si>
    <t>WFO Other DOE: Local Off-site</t>
  </si>
  <si>
    <t>XGOVRM</t>
  </si>
  <si>
    <t>WFO Other DOE: Remote Off-site</t>
  </si>
  <si>
    <t>XGOVTR</t>
  </si>
  <si>
    <t>WFO Other DOE</t>
  </si>
  <si>
    <t>XUTFMS</t>
  </si>
  <si>
    <t>XY12</t>
  </si>
  <si>
    <t>Y-12</t>
  </si>
  <si>
    <t>XY12LO</t>
  </si>
  <si>
    <t>Y-12: Local Off-site</t>
  </si>
  <si>
    <t>XY12RM</t>
  </si>
  <si>
    <t>Y-12: Remote Off-site</t>
  </si>
  <si>
    <t>Work for Others</t>
  </si>
  <si>
    <t>XCONST</t>
  </si>
  <si>
    <t>Construction</t>
  </si>
  <si>
    <t>XRMCAP</t>
  </si>
  <si>
    <t>Remote Capital</t>
  </si>
  <si>
    <t>XSNSWF</t>
  </si>
  <si>
    <t>SNS WFO</t>
  </si>
  <si>
    <t>Legacy Tax</t>
  </si>
  <si>
    <t>XCNMS</t>
  </si>
  <si>
    <t>Cntr  for Nanophase</t>
  </si>
  <si>
    <t>XMSF</t>
  </si>
  <si>
    <t>Travel</t>
  </si>
  <si>
    <t>Material G&amp;A</t>
  </si>
  <si>
    <t>N/A</t>
  </si>
  <si>
    <t>Subcontract G&amp;A</t>
  </si>
  <si>
    <t>G&amp;A</t>
  </si>
  <si>
    <t>(2) G&amp;A of 1.1% applied to subcontracts using cost element 43000670.</t>
  </si>
  <si>
    <t>Travel G&amp;A</t>
  </si>
  <si>
    <r>
      <t>Note</t>
    </r>
    <r>
      <rPr>
        <b/>
        <sz val="10"/>
        <rFont val="Helv"/>
        <family val="0"/>
      </rPr>
      <t>:</t>
    </r>
    <r>
      <rPr>
        <sz val="10"/>
        <rFont val="Helv"/>
        <family val="0"/>
      </rPr>
      <t xml:space="preserve">  Capital &amp; construction activities that were planned and budgeted prior to FY04 will be grandfathered at the FY03 </t>
    </r>
  </si>
  <si>
    <t xml:space="preserve">               Material Handling rules.</t>
  </si>
  <si>
    <t>XDHS</t>
  </si>
  <si>
    <t>XDHSLO</t>
  </si>
  <si>
    <t>XDHSRM</t>
  </si>
  <si>
    <t>Dept. of Homeland Sec.</t>
  </si>
  <si>
    <t>Dept. of Homeland Sec.-Local</t>
  </si>
  <si>
    <t>Dept. of Homeland Sec.-Remote</t>
  </si>
  <si>
    <t>OH WBSs, CCs &amp; Internal Orders</t>
  </si>
  <si>
    <t>XCAPCO</t>
  </si>
  <si>
    <t>Grandfathered Capital-FY03</t>
  </si>
  <si>
    <t>G&amp;A Exempt</t>
  </si>
  <si>
    <t>Matl G&amp;A</t>
  </si>
  <si>
    <t>XLDRD</t>
  </si>
  <si>
    <t xml:space="preserve">LDRD </t>
  </si>
  <si>
    <t>LDRD</t>
  </si>
  <si>
    <t>XITER</t>
  </si>
  <si>
    <t>ITER</t>
  </si>
  <si>
    <t>SNS Construction</t>
  </si>
  <si>
    <t xml:space="preserve">SNS Program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</si>
</sst>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
    <numFmt numFmtId="166" formatCode="0.000%"/>
    <numFmt numFmtId="167" formatCode="0.0000%"/>
    <numFmt numFmtId="168" formatCode="0.00000%"/>
    <numFmt numFmtId="169" formatCode="_(* #,##0_);_(* \(#,##0\);_(* &quot;&quot;_);_(@_)"/>
    <numFmt numFmtId="170" formatCode="0.0%;;_(* &quot;-&quot;??_)"/>
    <numFmt numFmtId="171" formatCode="0.00%;;_(* &quot;-&quot;??_)"/>
    <numFmt numFmtId="172" formatCode="#,##0.0_);[Red]\(#,##0.0\)"/>
    <numFmt numFmtId="173" formatCode="0.000%;;_(* &quot;-&quot;??_)"/>
  </numFmts>
  <fonts count="26">
    <font>
      <sz val="10"/>
      <name val="Helv"/>
      <family val="0"/>
    </font>
    <font>
      <b/>
      <sz val="9"/>
      <name val="Geneva"/>
      <family val="0"/>
    </font>
    <font>
      <i/>
      <sz val="9"/>
      <name val="Geneva"/>
      <family val="0"/>
    </font>
    <font>
      <b/>
      <i/>
      <sz val="9"/>
      <name val="Geneva"/>
      <family val="0"/>
    </font>
    <font>
      <sz val="9"/>
      <name val="Geneva"/>
      <family val="0"/>
    </font>
    <font>
      <b/>
      <sz val="12"/>
      <name val="Helv"/>
      <family val="0"/>
    </font>
    <font>
      <b/>
      <sz val="10"/>
      <name val="Helv"/>
      <family val="0"/>
    </font>
    <font>
      <sz val="10"/>
      <color indexed="12"/>
      <name val="Helv"/>
      <family val="0"/>
    </font>
    <font>
      <b/>
      <sz val="18"/>
      <name val="Helv"/>
      <family val="0"/>
    </font>
    <font>
      <sz val="18"/>
      <name val="Helv"/>
      <family val="0"/>
    </font>
    <font>
      <b/>
      <sz val="14"/>
      <name val="Helv"/>
      <family val="0"/>
    </font>
    <font>
      <b/>
      <u val="single"/>
      <sz val="24"/>
      <name val="Helv"/>
      <family val="0"/>
    </font>
    <font>
      <b/>
      <u val="single"/>
      <sz val="24"/>
      <color indexed="12"/>
      <name val="Helv"/>
      <family val="0"/>
    </font>
    <font>
      <u val="single"/>
      <sz val="10"/>
      <color indexed="12"/>
      <name val="Helv"/>
      <family val="0"/>
    </font>
    <font>
      <u val="single"/>
      <sz val="10"/>
      <color indexed="36"/>
      <name val="Helv"/>
      <family val="0"/>
    </font>
    <font>
      <b/>
      <sz val="14"/>
      <color indexed="12"/>
      <name val="Helv"/>
      <family val="0"/>
    </font>
    <font>
      <vertAlign val="superscript"/>
      <sz val="10"/>
      <name val="Helv"/>
      <family val="0"/>
    </font>
    <font>
      <u val="single"/>
      <sz val="10"/>
      <name val="Helv"/>
      <family val="0"/>
    </font>
    <font>
      <sz val="12"/>
      <name val="Helv"/>
      <family val="0"/>
    </font>
    <font>
      <b/>
      <sz val="12"/>
      <color indexed="10"/>
      <name val="Helv"/>
      <family val="0"/>
    </font>
    <font>
      <b/>
      <u val="single"/>
      <sz val="10"/>
      <name val="Helv"/>
      <family val="0"/>
    </font>
    <font>
      <sz val="8"/>
      <name val="Helv"/>
      <family val="0"/>
    </font>
    <font>
      <sz val="10"/>
      <color indexed="9"/>
      <name val="Helv"/>
      <family val="0"/>
    </font>
    <font>
      <sz val="8"/>
      <name val="Tahoma"/>
      <family val="0"/>
    </font>
    <font>
      <b/>
      <sz val="8"/>
      <name val="Tahoma"/>
      <family val="0"/>
    </font>
    <font>
      <b/>
      <sz val="8"/>
      <name val="Helv"/>
      <family val="2"/>
    </font>
  </fonts>
  <fills count="3">
    <fill>
      <patternFill/>
    </fill>
    <fill>
      <patternFill patternType="gray125"/>
    </fill>
    <fill>
      <patternFill patternType="solid">
        <fgColor indexed="13"/>
        <bgColor indexed="64"/>
      </patternFill>
    </fill>
  </fills>
  <borders count="2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thin"/>
    </border>
    <border>
      <left style="thick"/>
      <right style="thin"/>
      <top style="thick"/>
      <bottom style="thick"/>
    </border>
    <border>
      <left style="thin"/>
      <right style="thin"/>
      <top style="thick"/>
      <bottom style="thick"/>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color indexed="63"/>
      </bottom>
    </border>
    <border>
      <left style="thin"/>
      <right>
        <color indexed="63"/>
      </right>
      <top style="thick"/>
      <bottom style="thick"/>
    </border>
    <border>
      <left style="thin"/>
      <right style="thick"/>
      <top style="thick"/>
      <bottom style="thick"/>
    </border>
    <border>
      <left style="thin"/>
      <right style="thin"/>
      <top style="thin"/>
      <bottom style="medium"/>
    </border>
    <border>
      <left style="thin"/>
      <right>
        <color indexed="63"/>
      </right>
      <top>
        <color indexed="63"/>
      </top>
      <bottom style="thin"/>
    </border>
  </borders>
  <cellStyleXfs count="23">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5"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4" fillId="0" borderId="0" applyFont="0" applyFill="0" applyBorder="0" applyAlignment="0" applyProtection="0"/>
  </cellStyleXfs>
  <cellXfs count="89">
    <xf numFmtId="38" fontId="0" fillId="0" borderId="0" xfId="0" applyAlignment="1">
      <alignment/>
    </xf>
    <xf numFmtId="38" fontId="6" fillId="0" borderId="0" xfId="0" applyFont="1" applyAlignment="1">
      <alignment/>
    </xf>
    <xf numFmtId="38" fontId="0" fillId="0" borderId="0" xfId="0" applyAlignment="1">
      <alignment horizontal="left" indent="1"/>
    </xf>
    <xf numFmtId="38" fontId="8" fillId="0" borderId="0" xfId="0" applyFont="1" applyAlignment="1">
      <alignment/>
    </xf>
    <xf numFmtId="38" fontId="9" fillId="0" borderId="0" xfId="0" applyFont="1" applyAlignment="1">
      <alignment/>
    </xf>
    <xf numFmtId="165" fontId="0" fillId="0" borderId="0" xfId="22" applyNumberFormat="1" applyBorder="1" applyAlignment="1">
      <alignment/>
    </xf>
    <xf numFmtId="38" fontId="0" fillId="0" borderId="0" xfId="0" applyAlignment="1">
      <alignment horizontal="left"/>
    </xf>
    <xf numFmtId="38" fontId="10" fillId="0" borderId="0" xfId="0" applyFont="1" applyAlignment="1">
      <alignment/>
    </xf>
    <xf numFmtId="38" fontId="5" fillId="0" borderId="0" xfId="0" applyFont="1" applyAlignment="1">
      <alignment horizontal="right"/>
    </xf>
    <xf numFmtId="165" fontId="0" fillId="0" borderId="1" xfId="22" applyNumberFormat="1" applyBorder="1" applyAlignment="1">
      <alignment/>
    </xf>
    <xf numFmtId="169" fontId="0" fillId="0" borderId="2" xfId="0" applyNumberFormat="1" applyBorder="1" applyAlignment="1">
      <alignment/>
    </xf>
    <xf numFmtId="169" fontId="0" fillId="0" borderId="0" xfId="0" applyNumberFormat="1" applyAlignment="1">
      <alignment/>
    </xf>
    <xf numFmtId="171" fontId="0" fillId="0" borderId="0" xfId="22" applyNumberFormat="1" applyAlignment="1">
      <alignment/>
    </xf>
    <xf numFmtId="38" fontId="11" fillId="2" borderId="0" xfId="0" applyFont="1" applyFill="1" applyAlignment="1">
      <alignment horizontal="centerContinuous"/>
    </xf>
    <xf numFmtId="38" fontId="0" fillId="2" borderId="0" xfId="0" applyFill="1" applyAlignment="1">
      <alignment horizontal="centerContinuous"/>
    </xf>
    <xf numFmtId="38" fontId="19" fillId="0" borderId="0" xfId="0" applyFont="1" applyAlignment="1">
      <alignment/>
    </xf>
    <xf numFmtId="38" fontId="15" fillId="0" borderId="0" xfId="0" applyFont="1" applyAlignment="1" applyProtection="1">
      <alignment/>
      <protection locked="0"/>
    </xf>
    <xf numFmtId="169" fontId="7" fillId="0" borderId="0" xfId="0" applyNumberFormat="1" applyFont="1" applyAlignment="1" applyProtection="1">
      <alignment/>
      <protection locked="0"/>
    </xf>
    <xf numFmtId="169" fontId="7" fillId="0" borderId="3" xfId="0" applyNumberFormat="1" applyFont="1" applyBorder="1" applyAlignment="1" applyProtection="1">
      <alignment/>
      <protection locked="0"/>
    </xf>
    <xf numFmtId="169" fontId="0" fillId="0" borderId="4" xfId="0" applyNumberFormat="1" applyBorder="1" applyAlignment="1">
      <alignment/>
    </xf>
    <xf numFmtId="169" fontId="0" fillId="0" borderId="3" xfId="0" applyNumberFormat="1" applyBorder="1" applyAlignment="1">
      <alignment/>
    </xf>
    <xf numFmtId="38" fontId="0" fillId="0" borderId="3" xfId="0" applyBorder="1" applyAlignment="1">
      <alignment/>
    </xf>
    <xf numFmtId="165" fontId="0" fillId="0" borderId="5" xfId="22" applyNumberFormat="1" applyBorder="1" applyAlignment="1">
      <alignment/>
    </xf>
    <xf numFmtId="169" fontId="7" fillId="0" borderId="6" xfId="0" applyNumberFormat="1" applyFont="1" applyBorder="1" applyAlignment="1" applyProtection="1">
      <alignment/>
      <protection locked="0"/>
    </xf>
    <xf numFmtId="169" fontId="0" fillId="0" borderId="6" xfId="0" applyNumberFormat="1" applyBorder="1" applyAlignment="1" quotePrefix="1">
      <alignment/>
    </xf>
    <xf numFmtId="169" fontId="0" fillId="0" borderId="7" xfId="0" applyNumberFormat="1" applyBorder="1" applyAlignment="1">
      <alignment/>
    </xf>
    <xf numFmtId="169" fontId="0" fillId="0" borderId="6" xfId="0" applyNumberFormat="1" applyBorder="1" applyAlignment="1">
      <alignment/>
    </xf>
    <xf numFmtId="38" fontId="0" fillId="0" borderId="6" xfId="0" applyBorder="1" applyAlignment="1">
      <alignment/>
    </xf>
    <xf numFmtId="165" fontId="0" fillId="0" borderId="8" xfId="22" applyNumberFormat="1" applyBorder="1" applyAlignment="1">
      <alignment/>
    </xf>
    <xf numFmtId="38" fontId="0" fillId="0" borderId="4" xfId="0" applyBorder="1" applyAlignment="1">
      <alignment horizontal="right"/>
    </xf>
    <xf numFmtId="38" fontId="0" fillId="0" borderId="7" xfId="0" applyBorder="1" applyAlignment="1">
      <alignment horizontal="right"/>
    </xf>
    <xf numFmtId="10" fontId="0" fillId="0" borderId="0" xfId="22" applyNumberFormat="1" applyAlignment="1">
      <alignment horizontal="right"/>
    </xf>
    <xf numFmtId="38" fontId="0" fillId="0" borderId="9" xfId="0" applyBorder="1" applyAlignment="1">
      <alignment/>
    </xf>
    <xf numFmtId="10" fontId="7" fillId="0" borderId="9" xfId="22" applyNumberFormat="1" applyFont="1" applyBorder="1" applyAlignment="1">
      <alignment/>
    </xf>
    <xf numFmtId="10" fontId="0" fillId="0" borderId="9" xfId="22" applyNumberFormat="1" applyBorder="1" applyAlignment="1">
      <alignment/>
    </xf>
    <xf numFmtId="38" fontId="4" fillId="0" borderId="9" xfId="0" applyFont="1" applyBorder="1" applyAlignment="1">
      <alignment/>
    </xf>
    <xf numFmtId="38" fontId="0" fillId="0" borderId="7" xfId="0" applyBorder="1" applyAlignment="1">
      <alignment/>
    </xf>
    <xf numFmtId="10" fontId="7" fillId="0" borderId="7" xfId="22" applyNumberFormat="1" applyFont="1" applyBorder="1" applyAlignment="1">
      <alignment/>
    </xf>
    <xf numFmtId="10" fontId="0" fillId="0" borderId="7" xfId="22" applyNumberFormat="1" applyBorder="1" applyAlignment="1">
      <alignment/>
    </xf>
    <xf numFmtId="38" fontId="0" fillId="0" borderId="10" xfId="0" applyBorder="1" applyAlignment="1">
      <alignment/>
    </xf>
    <xf numFmtId="38" fontId="0" fillId="0" borderId="11" xfId="0" applyBorder="1" applyAlignment="1">
      <alignment/>
    </xf>
    <xf numFmtId="38" fontId="0" fillId="0" borderId="12" xfId="0" applyBorder="1" applyAlignment="1">
      <alignment/>
    </xf>
    <xf numFmtId="10" fontId="7" fillId="0" borderId="13" xfId="22" applyNumberFormat="1" applyFont="1" applyBorder="1" applyAlignment="1">
      <alignment/>
    </xf>
    <xf numFmtId="38" fontId="0" fillId="0" borderId="14" xfId="0" applyBorder="1" applyAlignment="1">
      <alignment/>
    </xf>
    <xf numFmtId="10" fontId="0" fillId="0" borderId="15" xfId="22" applyNumberFormat="1" applyBorder="1" applyAlignment="1">
      <alignment/>
    </xf>
    <xf numFmtId="38" fontId="0" fillId="0" borderId="16" xfId="0" applyBorder="1" applyAlignment="1">
      <alignment/>
    </xf>
    <xf numFmtId="38" fontId="0" fillId="0" borderId="17" xfId="0" applyBorder="1" applyAlignment="1">
      <alignment/>
    </xf>
    <xf numFmtId="10" fontId="0" fillId="0" borderId="17" xfId="22" applyNumberFormat="1" applyBorder="1" applyAlignment="1">
      <alignment/>
    </xf>
    <xf numFmtId="10" fontId="0" fillId="0" borderId="18" xfId="22" applyNumberFormat="1" applyBorder="1" applyAlignment="1">
      <alignment/>
    </xf>
    <xf numFmtId="10" fontId="0" fillId="0" borderId="9" xfId="22" applyNumberFormat="1" applyFont="1" applyBorder="1" applyAlignment="1">
      <alignment/>
    </xf>
    <xf numFmtId="169" fontId="0" fillId="0" borderId="0" xfId="0" applyNumberFormat="1" applyBorder="1" applyAlignment="1">
      <alignment/>
    </xf>
    <xf numFmtId="169" fontId="7" fillId="0" borderId="19" xfId="0" applyNumberFormat="1" applyFont="1" applyBorder="1" applyAlignment="1" applyProtection="1">
      <alignment/>
      <protection locked="0"/>
    </xf>
    <xf numFmtId="10" fontId="0" fillId="0" borderId="11" xfId="22" applyNumberFormat="1" applyBorder="1" applyAlignment="1">
      <alignment horizontal="center"/>
    </xf>
    <xf numFmtId="10" fontId="0" fillId="0" borderId="11" xfId="22" applyNumberFormat="1" applyFont="1" applyBorder="1" applyAlignment="1">
      <alignment horizontal="center"/>
    </xf>
    <xf numFmtId="10" fontId="0" fillId="0" borderId="20" xfId="22" applyNumberFormat="1" applyBorder="1" applyAlignment="1">
      <alignment horizontal="center"/>
    </xf>
    <xf numFmtId="10" fontId="0" fillId="0" borderId="21" xfId="22" applyNumberFormat="1" applyBorder="1" applyAlignment="1">
      <alignment horizontal="center"/>
    </xf>
    <xf numFmtId="169" fontId="7" fillId="0" borderId="4" xfId="0" applyNumberFormat="1" applyFont="1" applyBorder="1" applyAlignment="1">
      <alignment/>
    </xf>
    <xf numFmtId="169" fontId="7" fillId="0" borderId="7" xfId="0" applyNumberFormat="1" applyFont="1" applyBorder="1" applyAlignment="1">
      <alignment/>
    </xf>
    <xf numFmtId="169" fontId="7" fillId="0" borderId="2" xfId="0" applyNumberFormat="1" applyFont="1" applyBorder="1" applyAlignment="1">
      <alignment/>
    </xf>
    <xf numFmtId="38" fontId="20" fillId="0" borderId="0" xfId="0" applyFont="1" applyAlignment="1">
      <alignment/>
    </xf>
    <xf numFmtId="10" fontId="0" fillId="0" borderId="22" xfId="22" applyNumberFormat="1" applyBorder="1" applyAlignment="1">
      <alignment/>
    </xf>
    <xf numFmtId="10" fontId="0" fillId="0" borderId="0" xfId="22" applyNumberFormat="1" applyFont="1" applyAlignment="1">
      <alignment horizontal="right"/>
    </xf>
    <xf numFmtId="10" fontId="0" fillId="0" borderId="15" xfId="22" applyNumberFormat="1" applyFont="1" applyBorder="1" applyAlignment="1">
      <alignment/>
    </xf>
    <xf numFmtId="10" fontId="22" fillId="0" borderId="7" xfId="22" applyNumberFormat="1" applyFont="1" applyBorder="1" applyAlignment="1">
      <alignment/>
    </xf>
    <xf numFmtId="10" fontId="22" fillId="0" borderId="22" xfId="22" applyNumberFormat="1" applyFont="1" applyBorder="1" applyAlignment="1">
      <alignment/>
    </xf>
    <xf numFmtId="38" fontId="0" fillId="0" borderId="14" xfId="0" applyFill="1" applyBorder="1" applyAlignment="1">
      <alignment/>
    </xf>
    <xf numFmtId="38" fontId="0" fillId="0" borderId="9" xfId="0" applyFill="1" applyBorder="1" applyAlignment="1">
      <alignment/>
    </xf>
    <xf numFmtId="10" fontId="0" fillId="0" borderId="9" xfId="22" applyNumberFormat="1" applyFill="1" applyBorder="1" applyAlignment="1">
      <alignment/>
    </xf>
    <xf numFmtId="38" fontId="0" fillId="0" borderId="0" xfId="0" applyFill="1" applyAlignment="1">
      <alignment/>
    </xf>
    <xf numFmtId="172" fontId="0" fillId="0" borderId="0" xfId="0" applyNumberFormat="1" applyAlignment="1">
      <alignment/>
    </xf>
    <xf numFmtId="10" fontId="7" fillId="0" borderId="9" xfId="22" applyNumberFormat="1" applyFont="1" applyFill="1" applyBorder="1" applyAlignment="1">
      <alignment/>
    </xf>
    <xf numFmtId="10" fontId="7" fillId="0" borderId="15" xfId="22" applyNumberFormat="1" applyFont="1" applyFill="1" applyBorder="1" applyAlignment="1">
      <alignment/>
    </xf>
    <xf numFmtId="38" fontId="0" fillId="0" borderId="7" xfId="0" applyBorder="1" applyAlignment="1">
      <alignment horizontal="center" wrapText="1"/>
    </xf>
    <xf numFmtId="38" fontId="0" fillId="0" borderId="7" xfId="0" applyBorder="1" applyAlignment="1">
      <alignment horizontal="right" wrapText="1"/>
    </xf>
    <xf numFmtId="10" fontId="0" fillId="0" borderId="9" xfId="22" applyNumberFormat="1" applyFont="1" applyFill="1" applyBorder="1" applyAlignment="1">
      <alignment/>
    </xf>
    <xf numFmtId="40" fontId="0" fillId="0" borderId="0" xfId="0" applyNumberFormat="1" applyAlignment="1">
      <alignment/>
    </xf>
    <xf numFmtId="170" fontId="0" fillId="0" borderId="0" xfId="22" applyNumberFormat="1" applyAlignment="1">
      <alignment/>
    </xf>
    <xf numFmtId="10" fontId="7" fillId="0" borderId="23" xfId="22" applyNumberFormat="1" applyFont="1" applyFill="1" applyBorder="1" applyAlignment="1">
      <alignment/>
    </xf>
    <xf numFmtId="10" fontId="7" fillId="0" borderId="13" xfId="22" applyNumberFormat="1" applyFont="1" applyFill="1" applyBorder="1" applyAlignment="1">
      <alignment/>
    </xf>
    <xf numFmtId="10" fontId="0" fillId="0" borderId="11" xfId="22" applyNumberFormat="1" applyFont="1" applyFill="1" applyBorder="1" applyAlignment="1">
      <alignment horizontal="center"/>
    </xf>
    <xf numFmtId="10" fontId="7" fillId="0" borderId="7" xfId="22" applyNumberFormat="1" applyFont="1" applyFill="1" applyBorder="1" applyAlignment="1">
      <alignment/>
    </xf>
    <xf numFmtId="10" fontId="0" fillId="0" borderId="22" xfId="22" applyNumberFormat="1" applyFont="1" applyFill="1" applyBorder="1" applyAlignment="1">
      <alignment/>
    </xf>
    <xf numFmtId="10" fontId="0" fillId="0" borderId="22" xfId="22" applyNumberFormat="1" applyFill="1" applyBorder="1" applyAlignment="1">
      <alignment/>
    </xf>
    <xf numFmtId="10" fontId="0" fillId="0" borderId="0" xfId="22" applyNumberFormat="1" applyFill="1" applyBorder="1" applyAlignment="1">
      <alignment/>
    </xf>
    <xf numFmtId="10" fontId="0" fillId="0" borderId="0" xfId="22" applyNumberFormat="1" applyFont="1" applyFill="1" applyAlignment="1">
      <alignment horizontal="right"/>
    </xf>
    <xf numFmtId="171" fontId="0" fillId="0" borderId="0" xfId="22" applyNumberFormat="1" applyFill="1" applyAlignment="1">
      <alignment/>
    </xf>
    <xf numFmtId="10" fontId="22" fillId="0" borderId="7" xfId="22" applyNumberFormat="1" applyFont="1" applyFill="1" applyBorder="1" applyAlignment="1">
      <alignment/>
    </xf>
    <xf numFmtId="165" fontId="0" fillId="0" borderId="15" xfId="22" applyNumberFormat="1" applyFill="1" applyBorder="1" applyAlignment="1">
      <alignment/>
    </xf>
    <xf numFmtId="10" fontId="0" fillId="0" borderId="0" xfId="22" applyNumberFormat="1" applyFill="1" applyAlignment="1">
      <alignment horizontal="right"/>
    </xf>
  </cellXfs>
  <cellStyles count="9">
    <cellStyle name="Normal" xfId="0"/>
    <cellStyle name="Account" xfId="15"/>
    <cellStyle name="Comma" xfId="16"/>
    <cellStyle name="Comma [0]"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95250</xdr:rowOff>
    </xdr:from>
    <xdr:to>
      <xdr:col>6</xdr:col>
      <xdr:colOff>28575</xdr:colOff>
      <xdr:row>53</xdr:row>
      <xdr:rowOff>123825</xdr:rowOff>
    </xdr:to>
    <xdr:sp>
      <xdr:nvSpPr>
        <xdr:cNvPr id="1" name="TextBox 4"/>
        <xdr:cNvSpPr txBox="1">
          <a:spLocks noChangeArrowheads="1"/>
        </xdr:cNvSpPr>
      </xdr:nvSpPr>
      <xdr:spPr>
        <a:xfrm>
          <a:off x="0" y="6543675"/>
          <a:ext cx="6781800" cy="2619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Helv"/>
              <a:ea typeface="Helv"/>
              <a:cs typeface="Helv"/>
            </a:rPr>
            <a:t>
Overhead Key values for each WBS may be obtained via SAP by one of the following methods:
        a)  Use the CJ03 transaction, enter the WBS number and click the "Structure" button.  Click on the                
        "Control" tab to reveal the overhead keys.
        b)  Use  the ZKCO transaction, enter your WBS number and execute the report. Then click on
        the WBS number on the resulting report to get a list of all WBS attributes.
To change the cost element on a PO - use transaction ZM96 once the PO has reached the 35K limit.  If you have questions as to what cost element to change chnage to - please contact the OH manager.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37"/>
  <sheetViews>
    <sheetView tabSelected="1" zoomScale="200" zoomScaleNormal="200" workbookViewId="0" topLeftCell="A1">
      <selection activeCell="J21" sqref="J21"/>
    </sheetView>
  </sheetViews>
  <sheetFormatPr defaultColWidth="11.421875" defaultRowHeight="12.75"/>
  <cols>
    <col min="1" max="1" width="27.8515625" style="0" customWidth="1"/>
    <col min="2" max="4" width="13.8515625" style="0" customWidth="1"/>
    <col min="5" max="5" width="15.8515625" style="0" customWidth="1"/>
    <col min="6" max="6" width="16.00390625" style="0" customWidth="1"/>
    <col min="7" max="16384" width="8.8515625" style="0" customWidth="1"/>
  </cols>
  <sheetData>
    <row r="1" spans="1:6" ht="27.75">
      <c r="A1" s="13" t="s">
        <v>16</v>
      </c>
      <c r="B1" s="14"/>
      <c r="C1" s="14"/>
      <c r="D1" s="14"/>
      <c r="E1" s="14"/>
      <c r="F1" s="14"/>
    </row>
    <row r="3" ht="12">
      <c r="A3" s="1" t="s">
        <v>6</v>
      </c>
    </row>
    <row r="4" ht="12">
      <c r="A4" s="1" t="str">
        <f>Rates!A1</f>
        <v>Overhead Rates as of 10/06/2006</v>
      </c>
    </row>
    <row r="6" s="4" customFormat="1" ht="18.75">
      <c r="A6" s="3" t="s">
        <v>0</v>
      </c>
    </row>
    <row r="7" s="4" customFormat="1" ht="18.75">
      <c r="A7" s="3"/>
    </row>
    <row r="8" spans="2:4" s="4" customFormat="1" ht="18.75">
      <c r="B8" s="8" t="s">
        <v>51</v>
      </c>
      <c r="C8" s="16" t="s">
        <v>42</v>
      </c>
      <c r="D8" s="7" t="str">
        <f>IF(ISNA(MATCH(C8,OHKeys_Match,0)),"OH Key Not Specified","-   "&amp;VLOOKUP(C8,OHKeys_Lookup,2,0))</f>
        <v>-   Standard / Full</v>
      </c>
    </row>
    <row r="10" spans="2:6" ht="28.5" customHeight="1">
      <c r="B10" s="29" t="s">
        <v>52</v>
      </c>
      <c r="C10" s="30" t="s">
        <v>11</v>
      </c>
      <c r="D10" s="30" t="s">
        <v>12</v>
      </c>
      <c r="E10" s="72" t="s">
        <v>13</v>
      </c>
      <c r="F10" s="73" t="s">
        <v>82</v>
      </c>
    </row>
    <row r="11" spans="1:6" ht="15.75" customHeight="1">
      <c r="A11" t="s">
        <v>54</v>
      </c>
      <c r="B11" s="18">
        <v>100000</v>
      </c>
      <c r="C11" s="23">
        <v>100000</v>
      </c>
      <c r="D11" s="23">
        <v>100000</v>
      </c>
      <c r="E11" s="17">
        <v>100000</v>
      </c>
      <c r="F11" s="51">
        <v>100000</v>
      </c>
    </row>
    <row r="12" spans="2:6" ht="12">
      <c r="B12" s="56"/>
      <c r="C12" s="57"/>
      <c r="D12" s="57"/>
      <c r="E12" s="58"/>
      <c r="F12" s="57"/>
    </row>
    <row r="13" spans="2:6" ht="12">
      <c r="B13" s="20"/>
      <c r="C13" s="26"/>
      <c r="D13" s="26"/>
      <c r="E13" s="11"/>
      <c r="F13" s="26"/>
    </row>
    <row r="14" spans="1:6" ht="12">
      <c r="A14" t="s">
        <v>9</v>
      </c>
      <c r="B14" s="20">
        <f>B11</f>
        <v>100000</v>
      </c>
      <c r="C14" s="24">
        <f>IF(ISNA(MATCH(C8,'OH Keys - Spcl Matl'!A:A,0)),IF(C11&gt;35000,ROUND(35000,0),ROUND(C11,2)),IF(C11&gt;100000,ROUND(100000,0),ROUND(C11,2)))</f>
        <v>35000</v>
      </c>
      <c r="D14" s="26">
        <f>D11</f>
        <v>100000</v>
      </c>
      <c r="E14" s="11">
        <f>E11</f>
        <v>100000</v>
      </c>
      <c r="F14" s="26">
        <f>F11</f>
        <v>100000</v>
      </c>
    </row>
    <row r="15" spans="1:6" ht="12">
      <c r="A15" s="2" t="s">
        <v>86</v>
      </c>
      <c r="B15" s="20">
        <f>ROUND(B14*Rates!$H$42,0)</f>
        <v>28000</v>
      </c>
      <c r="C15" s="20">
        <f>ROUND(C14*Rates!$F$42,0)</f>
        <v>9800</v>
      </c>
      <c r="D15" s="26">
        <f>ROUND(D14*Rates!$G$42,0)</f>
        <v>1100</v>
      </c>
      <c r="E15" s="11">
        <f>ROUND(E14*Rates!$H$42,0)</f>
        <v>28000</v>
      </c>
      <c r="F15" s="26">
        <f>ROUND(F14*Rates!$J$42,0)</f>
        <v>8000</v>
      </c>
    </row>
    <row r="16" spans="1:6" ht="12">
      <c r="A16" s="2" t="str">
        <f>"Legacy Tax @ "&amp;TEXT(Rates!L42,"0.00%;;")</f>
        <v>Legacy Tax @ 4.80%</v>
      </c>
      <c r="B16" s="20">
        <f>ROUND(B14*Rates!$L$42,0)</f>
        <v>4800</v>
      </c>
      <c r="C16" s="20">
        <f>(ROUND(C14*Rates!$L$42,0))</f>
        <v>1680</v>
      </c>
      <c r="D16" s="26"/>
      <c r="E16" s="11">
        <f>ROUND(E14*Rates!$L$42,0)</f>
        <v>4800</v>
      </c>
      <c r="F16" s="26"/>
    </row>
    <row r="17" spans="1:6" ht="12">
      <c r="A17" s="2" t="str">
        <f>"LDRD Tax @ "&amp;TEXT(Rates!I42,"0.00%;;")</f>
        <v>LDRD Tax @ 6.00%</v>
      </c>
      <c r="B17" s="20">
        <f>ROUND(B14*Rates!$I$42,0)</f>
        <v>6000</v>
      </c>
      <c r="C17" s="20">
        <f>(ROUND(C14*Rates!$I$42,0))</f>
        <v>2100</v>
      </c>
      <c r="D17" s="26"/>
      <c r="E17" s="11">
        <f>ROUND(E14*Rates!$I$42,0)</f>
        <v>6000</v>
      </c>
      <c r="F17" s="26"/>
    </row>
    <row r="18" spans="1:6" ht="12">
      <c r="A18" s="2"/>
      <c r="B18" s="20"/>
      <c r="C18" s="20"/>
      <c r="D18" s="26"/>
      <c r="E18" s="50"/>
      <c r="F18" s="26"/>
    </row>
    <row r="19" spans="1:6" ht="12">
      <c r="A19" s="2"/>
      <c r="B19" s="20"/>
      <c r="C19" s="26"/>
      <c r="D19" s="26"/>
      <c r="E19" s="11"/>
      <c r="F19" s="26"/>
    </row>
    <row r="20" spans="1:6" ht="12">
      <c r="A20" s="6" t="s">
        <v>17</v>
      </c>
      <c r="B20" s="20">
        <f>B11</f>
        <v>100000</v>
      </c>
      <c r="C20" s="26">
        <f>C11</f>
        <v>100000</v>
      </c>
      <c r="D20" s="26">
        <f>D11</f>
        <v>100000</v>
      </c>
      <c r="E20" s="11">
        <f>E11</f>
        <v>100000</v>
      </c>
      <c r="F20" s="26">
        <f>F11</f>
        <v>100000</v>
      </c>
    </row>
    <row r="21" spans="1:6" ht="12">
      <c r="A21" s="2" t="str">
        <f>"WFO Security @ "&amp;TEXT(Rates!K42,"0.00%;;")</f>
        <v>WFO Security @ </v>
      </c>
      <c r="B21" s="20">
        <f>ROUND(B20*Rates!$K$42,0)</f>
        <v>0</v>
      </c>
      <c r="C21" s="26">
        <f>ROUND(C20*Rates!$K$42,0)</f>
        <v>0</v>
      </c>
      <c r="D21" s="26">
        <f>ROUND(D20*Rates!$K$42,0)</f>
        <v>0</v>
      </c>
      <c r="E21" s="11">
        <f>ROUND(E20*Rates!$K$42,0)</f>
        <v>0</v>
      </c>
      <c r="F21" s="26">
        <f>ROUND(F20*Rates!$K$42,0)</f>
        <v>0</v>
      </c>
    </row>
    <row r="22" spans="1:6" ht="12">
      <c r="A22" s="2" t="str">
        <f>"Fee @ "&amp;TEXT(Rates!$M$42,"0.0%;;")</f>
        <v>Fee @ 2.9%</v>
      </c>
      <c r="B22" s="68">
        <f>ROUND(B20*Rates!$M$42,0)</f>
        <v>2900</v>
      </c>
      <c r="C22" s="26">
        <f>ROUND(C20*Rates!$M$42,0)</f>
        <v>2900</v>
      </c>
      <c r="D22" s="26">
        <f>ROUND(D20*Rates!$M$42,0)</f>
        <v>2900</v>
      </c>
      <c r="E22" s="11">
        <f>ROUND(E20*Rates!$M$42,0)</f>
        <v>2900</v>
      </c>
      <c r="F22" s="26">
        <f>ROUND(F20*Rates!$M$42,0)</f>
        <v>2900</v>
      </c>
    </row>
    <row r="23" spans="2:6" ht="12">
      <c r="B23" s="19"/>
      <c r="C23" s="25"/>
      <c r="D23" s="25"/>
      <c r="E23" s="10"/>
      <c r="F23" s="25"/>
    </row>
    <row r="24" spans="1:6" ht="12">
      <c r="A24" s="2" t="s">
        <v>10</v>
      </c>
      <c r="B24" s="20">
        <f>B15+B16+B21+B22+B17</f>
        <v>41700</v>
      </c>
      <c r="C24" s="20">
        <f>C15+C16+C21+C22+C17</f>
        <v>16480</v>
      </c>
      <c r="D24" s="20">
        <f>D15+D16+D21+D22+D17</f>
        <v>4000</v>
      </c>
      <c r="E24" s="20">
        <f>E15+E16+E21+E22+E17</f>
        <v>41700</v>
      </c>
      <c r="F24" s="20">
        <f>F15+F16+F21+F22+F17</f>
        <v>10900</v>
      </c>
    </row>
    <row r="25" spans="2:6" ht="12">
      <c r="B25" s="21"/>
      <c r="C25" s="27"/>
      <c r="D25" s="27"/>
      <c r="F25" s="27"/>
    </row>
    <row r="26" spans="1:6" ht="12.75" thickBot="1">
      <c r="A26" t="s">
        <v>15</v>
      </c>
      <c r="B26" s="22">
        <f>ROUND(B24/B11,3)</f>
        <v>0.417</v>
      </c>
      <c r="C26" s="28">
        <f>ROUND(C24/C11,3)</f>
        <v>0.165</v>
      </c>
      <c r="D26" s="28">
        <f>ROUND(D24/D11,3)</f>
        <v>0.04</v>
      </c>
      <c r="E26" s="9">
        <f>ROUND(E24/E11,3)</f>
        <v>0.417</v>
      </c>
      <c r="F26" s="28">
        <f>ROUND(F24/F11,3)</f>
        <v>0.109</v>
      </c>
    </row>
    <row r="27" spans="2:5" ht="12.75" thickTop="1">
      <c r="B27" s="5"/>
      <c r="C27" s="5"/>
      <c r="D27" s="5"/>
      <c r="E27" s="5"/>
    </row>
    <row r="29" ht="12">
      <c r="A29" t="s">
        <v>1</v>
      </c>
    </row>
    <row r="30" ht="12">
      <c r="A30" t="s">
        <v>87</v>
      </c>
    </row>
    <row r="31" ht="12">
      <c r="A31" t="s">
        <v>14</v>
      </c>
    </row>
    <row r="33" ht="12">
      <c r="A33" s="59" t="s">
        <v>89</v>
      </c>
    </row>
    <row r="34" ht="12">
      <c r="A34" t="s">
        <v>90</v>
      </c>
    </row>
    <row r="35" ht="12.75">
      <c r="A35" s="15"/>
    </row>
    <row r="36" ht="12.75">
      <c r="A36" s="15"/>
    </row>
    <row r="37" ht="12.75">
      <c r="A37" s="15"/>
    </row>
  </sheetData>
  <sheetProtection password="80A9" sheet="1" objects="1" scenarios="1"/>
  <dataValidations count="1">
    <dataValidation type="list" showInputMessage="1" showErrorMessage="1" promptTitle="Overhead Key" prompt="&#10;Select the desired Overhead Key to be used in all calculations." sqref="C8">
      <formula1>ValidData</formula1>
    </dataValidation>
  </dataValidations>
  <printOptions horizontalCentered="1"/>
  <pageMargins left="0" right="0" top="1" bottom="1" header="0.5" footer="0.5"/>
  <pageSetup blackAndWhite="1" firstPageNumber="35" useFirstPageNumber="1" orientation="portrait" scale="95"/>
  <headerFooter alignWithMargins="0">
    <oddFooter>&amp;L&amp;"Geneva,Regular"mwh&amp;C&amp;R</oddFooter>
  </headerFooter>
  <drawing r:id="rId1"/>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11.421875" defaultRowHeight="12.75"/>
  <cols>
    <col min="1" max="16384" width="9.00390625" style="0" customWidth="1"/>
  </cols>
  <sheetData>
    <row r="1" ht="12">
      <c r="A1" t="s">
        <v>98</v>
      </c>
    </row>
    <row r="2" ht="12">
      <c r="A2" t="s">
        <v>79</v>
      </c>
    </row>
    <row r="3" ht="12">
      <c r="A3" t="s">
        <v>37</v>
      </c>
    </row>
    <row r="4" ht="12">
      <c r="A4" t="s">
        <v>41</v>
      </c>
    </row>
    <row r="5" ht="12">
      <c r="A5" t="s">
        <v>76</v>
      </c>
    </row>
  </sheetData>
  <sheetProtection password="DC41"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75" zoomScaleNormal="75" workbookViewId="0" topLeftCell="A1">
      <selection activeCell="D1" sqref="D1"/>
    </sheetView>
  </sheetViews>
  <sheetFormatPr defaultColWidth="11.421875" defaultRowHeight="12.75"/>
  <cols>
    <col min="1" max="1" width="11.421875" style="0" customWidth="1"/>
    <col min="2" max="2" width="29.8515625" style="0" bestFit="1" customWidth="1"/>
    <col min="3" max="3" width="12.140625" style="0" bestFit="1" customWidth="1"/>
    <col min="4" max="4" width="13.421875" style="0" bestFit="1" customWidth="1"/>
    <col min="5" max="5" width="13.421875" style="0" hidden="1" customWidth="1"/>
    <col min="6" max="6" width="16.140625" style="0" bestFit="1" customWidth="1"/>
    <col min="7" max="7" width="17.421875" style="0" customWidth="1"/>
    <col min="8" max="8" width="16.00390625" style="68" bestFit="1" customWidth="1"/>
    <col min="9" max="9" width="16.00390625" style="68" customWidth="1"/>
    <col min="10" max="10" width="16.00390625" style="68" bestFit="1" customWidth="1"/>
    <col min="11" max="11" width="12.8515625" style="0" bestFit="1" customWidth="1"/>
    <col min="12" max="12" width="11.140625" style="0" bestFit="1" customWidth="1"/>
    <col min="13" max="13" width="15.8515625" style="0" bestFit="1" customWidth="1"/>
  </cols>
  <sheetData>
    <row r="1" spans="1:4" ht="19.5" customHeight="1">
      <c r="A1" s="7" t="s">
        <v>4</v>
      </c>
      <c r="D1" t="s">
        <v>7</v>
      </c>
    </row>
    <row r="2" ht="19.5" customHeight="1" thickBot="1"/>
    <row r="3" spans="1:13" ht="19.5" customHeight="1" thickBot="1" thickTop="1">
      <c r="A3" s="39" t="s">
        <v>44</v>
      </c>
      <c r="B3" s="40" t="s">
        <v>45</v>
      </c>
      <c r="C3" s="52" t="s">
        <v>46</v>
      </c>
      <c r="D3" s="52" t="s">
        <v>56</v>
      </c>
      <c r="E3" s="53" t="s">
        <v>83</v>
      </c>
      <c r="F3" s="53" t="s">
        <v>101</v>
      </c>
      <c r="G3" s="53" t="s">
        <v>85</v>
      </c>
      <c r="H3" s="79" t="s">
        <v>86</v>
      </c>
      <c r="I3" s="79" t="s">
        <v>104</v>
      </c>
      <c r="J3" s="79" t="s">
        <v>88</v>
      </c>
      <c r="K3" s="52" t="s">
        <v>57</v>
      </c>
      <c r="L3" s="54" t="s">
        <v>78</v>
      </c>
      <c r="M3" s="55" t="s">
        <v>50</v>
      </c>
    </row>
    <row r="4" spans="1:13" ht="19.5" customHeight="1" thickTop="1">
      <c r="A4" s="41" t="s">
        <v>18</v>
      </c>
      <c r="B4" s="36" t="s">
        <v>19</v>
      </c>
      <c r="C4" s="37">
        <v>0.025</v>
      </c>
      <c r="D4" s="37">
        <v>0.35</v>
      </c>
      <c r="E4" s="38"/>
      <c r="F4" s="63">
        <f>H4</f>
        <v>0.045</v>
      </c>
      <c r="G4" s="38"/>
      <c r="H4" s="80">
        <v>0.045</v>
      </c>
      <c r="I4" s="80"/>
      <c r="J4" s="80">
        <v>0.08</v>
      </c>
      <c r="K4" s="38"/>
      <c r="L4" s="77">
        <v>0.048</v>
      </c>
      <c r="M4" s="78">
        <v>0.029</v>
      </c>
    </row>
    <row r="5" spans="1:15" ht="19.5" customHeight="1">
      <c r="A5" s="41" t="s">
        <v>98</v>
      </c>
      <c r="B5" s="36" t="s">
        <v>99</v>
      </c>
      <c r="C5" s="34">
        <f aca="true" t="shared" si="0" ref="C5:C15">$C$4</f>
        <v>0.025</v>
      </c>
      <c r="D5" s="34">
        <f aca="true" t="shared" si="1" ref="D5:D33">$D$4</f>
        <v>0.35</v>
      </c>
      <c r="E5" s="38"/>
      <c r="F5" s="37">
        <v>0.111</v>
      </c>
      <c r="G5" s="38">
        <v>0.011</v>
      </c>
      <c r="H5" s="67">
        <f>$H$9</f>
        <v>0.28</v>
      </c>
      <c r="I5" s="70">
        <v>0.06</v>
      </c>
      <c r="J5" s="67">
        <f>$J$4</f>
        <v>0.08</v>
      </c>
      <c r="K5" s="38"/>
      <c r="L5" s="34">
        <f>$L$4</f>
        <v>0.048</v>
      </c>
      <c r="M5" s="42">
        <v>0.011</v>
      </c>
      <c r="O5" s="69"/>
    </row>
    <row r="6" spans="1:13" ht="19.5" customHeight="1">
      <c r="A6" s="43" t="s">
        <v>20</v>
      </c>
      <c r="B6" s="32" t="s">
        <v>21</v>
      </c>
      <c r="C6" s="34">
        <f t="shared" si="0"/>
        <v>0.025</v>
      </c>
      <c r="D6" s="34">
        <f t="shared" si="1"/>
        <v>0.35</v>
      </c>
      <c r="E6" s="34"/>
      <c r="F6" s="63">
        <f>H6</f>
        <v>0.045</v>
      </c>
      <c r="G6" s="34"/>
      <c r="H6" s="67">
        <f>$H$4</f>
        <v>0.045</v>
      </c>
      <c r="I6" s="67"/>
      <c r="J6" s="67">
        <f>$J$4</f>
        <v>0.08</v>
      </c>
      <c r="K6" s="34"/>
      <c r="L6" s="34">
        <f>$L$4</f>
        <v>0.048</v>
      </c>
      <c r="M6" s="44">
        <f>$M$5</f>
        <v>0.011</v>
      </c>
    </row>
    <row r="7" spans="1:13" ht="19.5" customHeight="1">
      <c r="A7" s="43" t="s">
        <v>22</v>
      </c>
      <c r="B7" s="32" t="s">
        <v>97</v>
      </c>
      <c r="C7" s="34">
        <f t="shared" si="0"/>
        <v>0.025</v>
      </c>
      <c r="D7" s="34">
        <f t="shared" si="1"/>
        <v>0.35</v>
      </c>
      <c r="E7" s="33" t="s">
        <v>84</v>
      </c>
      <c r="F7" s="38"/>
      <c r="G7" s="33"/>
      <c r="H7" s="67"/>
      <c r="I7" s="67"/>
      <c r="J7" s="67"/>
      <c r="K7" s="34"/>
      <c r="L7" s="34"/>
      <c r="M7" s="44"/>
    </row>
    <row r="8" spans="1:13" ht="19.5" customHeight="1">
      <c r="A8" s="43" t="s">
        <v>79</v>
      </c>
      <c r="B8" s="32" t="s">
        <v>80</v>
      </c>
      <c r="C8" s="34">
        <f aca="true" t="shared" si="2" ref="C8:C33">$C$4</f>
        <v>0.025</v>
      </c>
      <c r="D8" s="34">
        <f t="shared" si="1"/>
        <v>0.35</v>
      </c>
      <c r="E8" s="33" t="s">
        <v>84</v>
      </c>
      <c r="F8" s="33">
        <v>0.013</v>
      </c>
      <c r="G8" s="33">
        <v>0.002</v>
      </c>
      <c r="H8" s="70">
        <v>0.0977</v>
      </c>
      <c r="I8" s="70"/>
      <c r="J8" s="67">
        <f aca="true" t="shared" si="3" ref="J8:J15">$J$4</f>
        <v>0.08</v>
      </c>
      <c r="K8" s="34"/>
      <c r="L8" s="34"/>
      <c r="M8" s="71">
        <v>0.009</v>
      </c>
    </row>
    <row r="9" spans="1:15" ht="19.5" customHeight="1">
      <c r="A9" s="43" t="s">
        <v>72</v>
      </c>
      <c r="B9" s="32" t="s">
        <v>73</v>
      </c>
      <c r="C9" s="34">
        <f t="shared" si="0"/>
        <v>0.025</v>
      </c>
      <c r="D9" s="34">
        <f t="shared" si="1"/>
        <v>0.35</v>
      </c>
      <c r="E9" s="49" t="str">
        <f>$E$7</f>
        <v>N/A</v>
      </c>
      <c r="F9" s="63">
        <f aca="true" t="shared" si="4" ref="F9:F23">H9</f>
        <v>0.28</v>
      </c>
      <c r="G9" s="70">
        <v>0.011</v>
      </c>
      <c r="H9" s="70">
        <v>0.28</v>
      </c>
      <c r="I9" s="74">
        <f aca="true" t="shared" si="5" ref="I9:I15">+I$5</f>
        <v>0.06</v>
      </c>
      <c r="J9" s="67">
        <f t="shared" si="3"/>
        <v>0.08</v>
      </c>
      <c r="K9" s="34"/>
      <c r="L9" s="34">
        <f aca="true" t="shared" si="6" ref="L9:L15">$L$4</f>
        <v>0.048</v>
      </c>
      <c r="M9" s="44">
        <f>$M$5</f>
        <v>0.011</v>
      </c>
      <c r="O9" s="69">
        <f>35-6.4</f>
        <v>28.6</v>
      </c>
    </row>
    <row r="10" spans="1:13" ht="19.5" customHeight="1">
      <c r="A10" s="43" t="s">
        <v>91</v>
      </c>
      <c r="B10" s="32" t="s">
        <v>94</v>
      </c>
      <c r="C10" s="34">
        <f t="shared" si="2"/>
        <v>0.025</v>
      </c>
      <c r="D10" s="34">
        <f t="shared" si="1"/>
        <v>0.35</v>
      </c>
      <c r="E10" s="34" t="str">
        <f>$E$7</f>
        <v>N/A</v>
      </c>
      <c r="F10" s="63">
        <f t="shared" si="4"/>
        <v>0.28</v>
      </c>
      <c r="G10" s="34">
        <f aca="true" t="shared" si="7" ref="G10:G15">$G$9</f>
        <v>0.011</v>
      </c>
      <c r="H10" s="67">
        <f>$H$9</f>
        <v>0.28</v>
      </c>
      <c r="I10" s="74">
        <f t="shared" si="5"/>
        <v>0.06</v>
      </c>
      <c r="J10" s="67">
        <f t="shared" si="3"/>
        <v>0.08</v>
      </c>
      <c r="K10" s="34"/>
      <c r="L10" s="34">
        <f t="shared" si="6"/>
        <v>0.048</v>
      </c>
      <c r="M10" s="44">
        <f aca="true" t="shared" si="8" ref="M10:M15">$M$4</f>
        <v>0.029</v>
      </c>
    </row>
    <row r="11" spans="1:13" ht="19.5" customHeight="1">
      <c r="A11" s="43" t="s">
        <v>92</v>
      </c>
      <c r="B11" s="32" t="s">
        <v>95</v>
      </c>
      <c r="C11" s="34">
        <f t="shared" si="2"/>
        <v>0.025</v>
      </c>
      <c r="D11" s="34">
        <f t="shared" si="1"/>
        <v>0.35</v>
      </c>
      <c r="E11" s="34" t="str">
        <f>$E$7</f>
        <v>N/A</v>
      </c>
      <c r="F11" s="63">
        <f t="shared" si="4"/>
        <v>0.203</v>
      </c>
      <c r="G11" s="34">
        <f t="shared" si="7"/>
        <v>0.011</v>
      </c>
      <c r="H11" s="67">
        <f>$H$13</f>
        <v>0.203</v>
      </c>
      <c r="I11" s="74">
        <f t="shared" si="5"/>
        <v>0.06</v>
      </c>
      <c r="J11" s="67">
        <f t="shared" si="3"/>
        <v>0.08</v>
      </c>
      <c r="K11" s="34"/>
      <c r="L11" s="34">
        <f t="shared" si="6"/>
        <v>0.048</v>
      </c>
      <c r="M11" s="44">
        <f t="shared" si="8"/>
        <v>0.029</v>
      </c>
    </row>
    <row r="12" spans="1:13" ht="19.5" customHeight="1">
      <c r="A12" s="43" t="s">
        <v>93</v>
      </c>
      <c r="B12" s="32" t="s">
        <v>96</v>
      </c>
      <c r="C12" s="34">
        <f t="shared" si="2"/>
        <v>0.025</v>
      </c>
      <c r="D12" s="34">
        <f t="shared" si="1"/>
        <v>0.35</v>
      </c>
      <c r="E12" s="34" t="str">
        <f aca="true" t="shared" si="9" ref="E12:E38">$E$7</f>
        <v>N/A</v>
      </c>
      <c r="F12" s="63">
        <f t="shared" si="4"/>
        <v>0.177</v>
      </c>
      <c r="G12" s="34">
        <f t="shared" si="7"/>
        <v>0.011</v>
      </c>
      <c r="H12" s="67">
        <f>$H$14</f>
        <v>0.177</v>
      </c>
      <c r="I12" s="74">
        <f t="shared" si="5"/>
        <v>0.06</v>
      </c>
      <c r="J12" s="67">
        <f t="shared" si="3"/>
        <v>0.08</v>
      </c>
      <c r="K12" s="34"/>
      <c r="L12" s="34">
        <f t="shared" si="6"/>
        <v>0.048</v>
      </c>
      <c r="M12" s="44">
        <f t="shared" si="8"/>
        <v>0.029</v>
      </c>
    </row>
    <row r="13" spans="1:16" ht="19.5" customHeight="1">
      <c r="A13" s="43" t="s">
        <v>23</v>
      </c>
      <c r="B13" s="32" t="s">
        <v>24</v>
      </c>
      <c r="C13" s="34">
        <f t="shared" si="0"/>
        <v>0.025</v>
      </c>
      <c r="D13" s="34">
        <f t="shared" si="1"/>
        <v>0.35</v>
      </c>
      <c r="E13" s="34" t="str">
        <f>$E$7</f>
        <v>N/A</v>
      </c>
      <c r="F13" s="63">
        <f t="shared" si="4"/>
        <v>0.203</v>
      </c>
      <c r="G13" s="34">
        <f t="shared" si="7"/>
        <v>0.011</v>
      </c>
      <c r="H13" s="70">
        <v>0.203</v>
      </c>
      <c r="I13" s="74">
        <f t="shared" si="5"/>
        <v>0.06</v>
      </c>
      <c r="J13" s="67">
        <f t="shared" si="3"/>
        <v>0.08</v>
      </c>
      <c r="K13" s="34"/>
      <c r="L13" s="34">
        <f t="shared" si="6"/>
        <v>0.048</v>
      </c>
      <c r="M13" s="44">
        <f t="shared" si="8"/>
        <v>0.029</v>
      </c>
      <c r="O13" s="69">
        <v>26.7</v>
      </c>
      <c r="P13" s="69">
        <f>26.7-6.4</f>
        <v>20.299999999999997</v>
      </c>
    </row>
    <row r="14" spans="1:16" ht="19.5" customHeight="1">
      <c r="A14" s="43" t="s">
        <v>25</v>
      </c>
      <c r="B14" s="32" t="s">
        <v>26</v>
      </c>
      <c r="C14" s="34">
        <f t="shared" si="0"/>
        <v>0.025</v>
      </c>
      <c r="D14" s="34">
        <f t="shared" si="1"/>
        <v>0.35</v>
      </c>
      <c r="E14" s="34" t="str">
        <f t="shared" si="9"/>
        <v>N/A</v>
      </c>
      <c r="F14" s="63">
        <f t="shared" si="4"/>
        <v>0.177</v>
      </c>
      <c r="G14" s="34">
        <f t="shared" si="7"/>
        <v>0.011</v>
      </c>
      <c r="H14" s="70">
        <v>0.177</v>
      </c>
      <c r="I14" s="74">
        <f t="shared" si="5"/>
        <v>0.06</v>
      </c>
      <c r="J14" s="67">
        <f t="shared" si="3"/>
        <v>0.08</v>
      </c>
      <c r="K14" s="34"/>
      <c r="L14" s="34">
        <f t="shared" si="6"/>
        <v>0.048</v>
      </c>
      <c r="M14" s="44">
        <f t="shared" si="8"/>
        <v>0.029</v>
      </c>
      <c r="O14" s="69">
        <v>24.4</v>
      </c>
      <c r="P14" s="69">
        <f>24.4-6.4</f>
        <v>18</v>
      </c>
    </row>
    <row r="15" spans="1:13" ht="19.5" customHeight="1">
      <c r="A15" s="43" t="s">
        <v>27</v>
      </c>
      <c r="B15" s="32" t="s">
        <v>28</v>
      </c>
      <c r="C15" s="34">
        <f t="shared" si="0"/>
        <v>0.025</v>
      </c>
      <c r="D15" s="34">
        <f t="shared" si="1"/>
        <v>0.35</v>
      </c>
      <c r="E15" s="34" t="str">
        <f t="shared" si="9"/>
        <v>N/A</v>
      </c>
      <c r="F15" s="63">
        <f t="shared" si="4"/>
        <v>0.28</v>
      </c>
      <c r="G15" s="34">
        <f t="shared" si="7"/>
        <v>0.011</v>
      </c>
      <c r="H15" s="67">
        <f>$H$9</f>
        <v>0.28</v>
      </c>
      <c r="I15" s="74">
        <f t="shared" si="5"/>
        <v>0.06</v>
      </c>
      <c r="J15" s="67">
        <f t="shared" si="3"/>
        <v>0.08</v>
      </c>
      <c r="K15" s="34"/>
      <c r="L15" s="34">
        <f t="shared" si="6"/>
        <v>0.048</v>
      </c>
      <c r="M15" s="44">
        <f t="shared" si="8"/>
        <v>0.029</v>
      </c>
    </row>
    <row r="16" spans="1:13" ht="19.5" customHeight="1">
      <c r="A16" s="43" t="s">
        <v>29</v>
      </c>
      <c r="B16" s="32" t="s">
        <v>30</v>
      </c>
      <c r="C16" s="34"/>
      <c r="D16" s="34">
        <f t="shared" si="1"/>
        <v>0.35</v>
      </c>
      <c r="E16" s="34"/>
      <c r="F16" s="38"/>
      <c r="G16" s="34"/>
      <c r="H16" s="67"/>
      <c r="I16" s="67"/>
      <c r="J16" s="67"/>
      <c r="K16" s="34"/>
      <c r="L16" s="34"/>
      <c r="M16" s="44"/>
    </row>
    <row r="17" spans="1:13" ht="19.5" customHeight="1">
      <c r="A17" s="43" t="s">
        <v>58</v>
      </c>
      <c r="B17" s="32" t="s">
        <v>59</v>
      </c>
      <c r="C17" s="34">
        <f t="shared" si="2"/>
        <v>0.025</v>
      </c>
      <c r="D17" s="34">
        <f t="shared" si="1"/>
        <v>0.35</v>
      </c>
      <c r="E17" s="34" t="str">
        <f t="shared" si="9"/>
        <v>N/A</v>
      </c>
      <c r="F17" s="63">
        <f t="shared" si="4"/>
        <v>0.203</v>
      </c>
      <c r="G17" s="34">
        <f aca="true" t="shared" si="10" ref="G17:G26">$G$9</f>
        <v>0.011</v>
      </c>
      <c r="H17" s="67">
        <f>$H$13</f>
        <v>0.203</v>
      </c>
      <c r="I17" s="74">
        <f>+I$5</f>
        <v>0.06</v>
      </c>
      <c r="J17" s="67">
        <f>$J$4</f>
        <v>0.08</v>
      </c>
      <c r="K17" s="34"/>
      <c r="L17" s="34">
        <f aca="true" t="shared" si="11" ref="L17:L33">$L$4</f>
        <v>0.048</v>
      </c>
      <c r="M17" s="44">
        <f aca="true" t="shared" si="12" ref="M17:M38">$M$4</f>
        <v>0.029</v>
      </c>
    </row>
    <row r="18" spans="1:13" ht="19.5" customHeight="1">
      <c r="A18" s="43" t="s">
        <v>60</v>
      </c>
      <c r="B18" s="32" t="s">
        <v>61</v>
      </c>
      <c r="C18" s="34">
        <f t="shared" si="2"/>
        <v>0.025</v>
      </c>
      <c r="D18" s="34">
        <f t="shared" si="1"/>
        <v>0.35</v>
      </c>
      <c r="E18" s="34" t="str">
        <f t="shared" si="9"/>
        <v>N/A</v>
      </c>
      <c r="F18" s="63">
        <f t="shared" si="4"/>
        <v>0.177</v>
      </c>
      <c r="G18" s="34">
        <f t="shared" si="10"/>
        <v>0.011</v>
      </c>
      <c r="H18" s="67">
        <f>$H$14</f>
        <v>0.177</v>
      </c>
      <c r="I18" s="74">
        <f>+I$5</f>
        <v>0.06</v>
      </c>
      <c r="J18" s="67">
        <f>$J$4</f>
        <v>0.08</v>
      </c>
      <c r="K18" s="34"/>
      <c r="L18" s="34">
        <f t="shared" si="11"/>
        <v>0.048</v>
      </c>
      <c r="M18" s="44">
        <f t="shared" si="12"/>
        <v>0.029</v>
      </c>
    </row>
    <row r="19" spans="1:13" ht="19.5" customHeight="1">
      <c r="A19" s="43" t="s">
        <v>62</v>
      </c>
      <c r="B19" s="32" t="s">
        <v>63</v>
      </c>
      <c r="C19" s="34">
        <f t="shared" si="2"/>
        <v>0.025</v>
      </c>
      <c r="D19" s="34">
        <f t="shared" si="1"/>
        <v>0.35</v>
      </c>
      <c r="E19" s="34" t="str">
        <f t="shared" si="9"/>
        <v>N/A</v>
      </c>
      <c r="F19" s="63">
        <f t="shared" si="4"/>
        <v>0.28</v>
      </c>
      <c r="G19" s="34">
        <f t="shared" si="10"/>
        <v>0.011</v>
      </c>
      <c r="H19" s="67">
        <f>$H$9</f>
        <v>0.28</v>
      </c>
      <c r="I19" s="74">
        <f>+I$5</f>
        <v>0.06</v>
      </c>
      <c r="J19" s="67">
        <f>$J$4</f>
        <v>0.08</v>
      </c>
      <c r="K19" s="34"/>
      <c r="L19" s="34">
        <f t="shared" si="11"/>
        <v>0.048</v>
      </c>
      <c r="M19" s="44">
        <v>0.029</v>
      </c>
    </row>
    <row r="20" spans="1:13" s="68" customFormat="1" ht="19.5" customHeight="1">
      <c r="A20" s="65" t="s">
        <v>105</v>
      </c>
      <c r="B20" s="66" t="s">
        <v>106</v>
      </c>
      <c r="C20" s="67">
        <f t="shared" si="2"/>
        <v>0.025</v>
      </c>
      <c r="D20" s="67">
        <f t="shared" si="1"/>
        <v>0.35</v>
      </c>
      <c r="E20" s="67"/>
      <c r="F20" s="86">
        <f t="shared" si="4"/>
        <v>0.11</v>
      </c>
      <c r="G20" s="67">
        <f t="shared" si="10"/>
        <v>0.011</v>
      </c>
      <c r="H20" s="67">
        <v>0.11</v>
      </c>
      <c r="I20" s="74"/>
      <c r="J20" s="67">
        <f>$J$4</f>
        <v>0.08</v>
      </c>
      <c r="K20" s="67"/>
      <c r="L20" s="67"/>
      <c r="M20" s="87">
        <v>0.015</v>
      </c>
    </row>
    <row r="21" spans="1:13" s="68" customFormat="1" ht="19.5" customHeight="1">
      <c r="A21" s="65" t="s">
        <v>102</v>
      </c>
      <c r="B21" s="66" t="s">
        <v>103</v>
      </c>
      <c r="C21" s="74"/>
      <c r="D21" s="74"/>
      <c r="E21" s="74"/>
      <c r="F21" s="63">
        <f t="shared" si="4"/>
        <v>0.28</v>
      </c>
      <c r="G21" s="34"/>
      <c r="H21" s="67">
        <f>$H$9</f>
        <v>0.28</v>
      </c>
      <c r="I21" s="74"/>
      <c r="J21" s="67"/>
      <c r="K21" s="67"/>
      <c r="L21" s="67"/>
      <c r="M21" s="44">
        <f t="shared" si="12"/>
        <v>0.029</v>
      </c>
    </row>
    <row r="22" spans="1:13" ht="19.5" customHeight="1">
      <c r="A22" s="43" t="s">
        <v>31</v>
      </c>
      <c r="B22" s="32" t="s">
        <v>32</v>
      </c>
      <c r="C22" s="34">
        <f t="shared" si="2"/>
        <v>0.025</v>
      </c>
      <c r="D22" s="34">
        <f t="shared" si="1"/>
        <v>0.35</v>
      </c>
      <c r="E22" s="34" t="str">
        <f t="shared" si="9"/>
        <v>N/A</v>
      </c>
      <c r="F22" s="63">
        <f t="shared" si="4"/>
        <v>0.203</v>
      </c>
      <c r="G22" s="34">
        <f t="shared" si="10"/>
        <v>0.011</v>
      </c>
      <c r="H22" s="67">
        <f>$H$13</f>
        <v>0.203</v>
      </c>
      <c r="I22" s="74">
        <f>+I$5</f>
        <v>0.06</v>
      </c>
      <c r="J22" s="67">
        <f>$J$4</f>
        <v>0.08</v>
      </c>
      <c r="K22" s="34"/>
      <c r="L22" s="34">
        <f t="shared" si="11"/>
        <v>0.048</v>
      </c>
      <c r="M22" s="44">
        <f t="shared" si="12"/>
        <v>0.029</v>
      </c>
    </row>
    <row r="23" spans="1:13" ht="19.5" customHeight="1">
      <c r="A23" s="43" t="s">
        <v>33</v>
      </c>
      <c r="B23" s="32" t="s">
        <v>34</v>
      </c>
      <c r="C23" s="34">
        <f t="shared" si="2"/>
        <v>0.025</v>
      </c>
      <c r="D23" s="34">
        <f t="shared" si="1"/>
        <v>0.35</v>
      </c>
      <c r="E23" s="34" t="str">
        <f t="shared" si="9"/>
        <v>N/A</v>
      </c>
      <c r="F23" s="63">
        <f t="shared" si="4"/>
        <v>0.203</v>
      </c>
      <c r="G23" s="34">
        <f t="shared" si="10"/>
        <v>0.011</v>
      </c>
      <c r="H23" s="67">
        <f>$H$13</f>
        <v>0.203</v>
      </c>
      <c r="I23" s="74">
        <f>+I$5</f>
        <v>0.06</v>
      </c>
      <c r="J23" s="67">
        <f>$J$4</f>
        <v>0.08</v>
      </c>
      <c r="K23" s="34"/>
      <c r="L23" s="34">
        <f t="shared" si="11"/>
        <v>0.048</v>
      </c>
      <c r="M23" s="44">
        <f t="shared" si="12"/>
        <v>0.029</v>
      </c>
    </row>
    <row r="24" spans="1:13" ht="19.5" customHeight="1">
      <c r="A24" s="43" t="s">
        <v>81</v>
      </c>
      <c r="B24" s="32" t="s">
        <v>100</v>
      </c>
      <c r="C24" s="34"/>
      <c r="D24" s="34"/>
      <c r="E24" s="34" t="str">
        <f t="shared" si="9"/>
        <v>N/A</v>
      </c>
      <c r="F24" s="33"/>
      <c r="G24" s="34"/>
      <c r="H24" s="67"/>
      <c r="I24" s="67"/>
      <c r="J24" s="67"/>
      <c r="K24" s="34"/>
      <c r="L24" s="34"/>
      <c r="M24" s="44">
        <f t="shared" si="12"/>
        <v>0.029</v>
      </c>
    </row>
    <row r="25" spans="1:13" ht="19.5" customHeight="1">
      <c r="A25" s="43" t="s">
        <v>35</v>
      </c>
      <c r="B25" s="32" t="s">
        <v>36</v>
      </c>
      <c r="C25" s="34">
        <f t="shared" si="2"/>
        <v>0.025</v>
      </c>
      <c r="D25" s="34">
        <f t="shared" si="1"/>
        <v>0.35</v>
      </c>
      <c r="E25" s="34" t="str">
        <f t="shared" si="9"/>
        <v>N/A</v>
      </c>
      <c r="F25" s="63">
        <f>H25</f>
        <v>0.177</v>
      </c>
      <c r="G25" s="34">
        <f t="shared" si="10"/>
        <v>0.011</v>
      </c>
      <c r="H25" s="67">
        <f>$H$14</f>
        <v>0.177</v>
      </c>
      <c r="I25" s="74">
        <f>+I$5</f>
        <v>0.06</v>
      </c>
      <c r="J25" s="67">
        <f aca="true" t="shared" si="13" ref="J25:J33">$J$4</f>
        <v>0.08</v>
      </c>
      <c r="K25" s="34"/>
      <c r="L25" s="34">
        <f t="shared" si="11"/>
        <v>0.048</v>
      </c>
      <c r="M25" s="44">
        <f t="shared" si="12"/>
        <v>0.029</v>
      </c>
    </row>
    <row r="26" spans="1:13" ht="19.5" customHeight="1">
      <c r="A26" s="43" t="s">
        <v>74</v>
      </c>
      <c r="B26" s="32" t="s">
        <v>75</v>
      </c>
      <c r="C26" s="34">
        <f t="shared" si="2"/>
        <v>0.025</v>
      </c>
      <c r="D26" s="34">
        <f t="shared" si="1"/>
        <v>0.35</v>
      </c>
      <c r="E26" s="34" t="str">
        <f t="shared" si="9"/>
        <v>N/A</v>
      </c>
      <c r="F26" s="63">
        <f>H26</f>
        <v>0.177</v>
      </c>
      <c r="G26" s="34">
        <f t="shared" si="10"/>
        <v>0.011</v>
      </c>
      <c r="H26" s="67">
        <f>$H$14</f>
        <v>0.177</v>
      </c>
      <c r="I26" s="74">
        <f>+I$5</f>
        <v>0.06</v>
      </c>
      <c r="J26" s="67">
        <f t="shared" si="13"/>
        <v>0.08</v>
      </c>
      <c r="K26" s="34"/>
      <c r="L26" s="34">
        <f t="shared" si="11"/>
        <v>0.048</v>
      </c>
      <c r="M26" s="44">
        <f>$M$6</f>
        <v>0.011</v>
      </c>
    </row>
    <row r="27" spans="1:13" ht="19.5" customHeight="1">
      <c r="A27" s="43" t="s">
        <v>37</v>
      </c>
      <c r="B27" s="32" t="s">
        <v>38</v>
      </c>
      <c r="C27" s="34">
        <f t="shared" si="2"/>
        <v>0.025</v>
      </c>
      <c r="D27" s="34">
        <f t="shared" si="1"/>
        <v>0.35</v>
      </c>
      <c r="E27" s="34" t="str">
        <f>$E$8</f>
        <v>N/A</v>
      </c>
      <c r="F27" s="34">
        <f>$F$8</f>
        <v>0.013</v>
      </c>
      <c r="G27" s="34">
        <f>$G$8</f>
        <v>0.002</v>
      </c>
      <c r="H27" s="70">
        <v>0.0719</v>
      </c>
      <c r="I27" s="70"/>
      <c r="J27" s="67">
        <f t="shared" si="13"/>
        <v>0.08</v>
      </c>
      <c r="K27" s="34"/>
      <c r="L27" s="34"/>
      <c r="M27" s="62">
        <f>$M$8</f>
        <v>0.009</v>
      </c>
    </row>
    <row r="28" spans="1:13" ht="19.5" customHeight="1">
      <c r="A28" s="43" t="s">
        <v>39</v>
      </c>
      <c r="B28" s="32" t="s">
        <v>40</v>
      </c>
      <c r="C28" s="34">
        <f t="shared" si="2"/>
        <v>0.025</v>
      </c>
      <c r="D28" s="34">
        <f t="shared" si="1"/>
        <v>0.35</v>
      </c>
      <c r="E28" s="34" t="str">
        <f t="shared" si="9"/>
        <v>N/A</v>
      </c>
      <c r="F28" s="63">
        <f>H28</f>
        <v>0.177</v>
      </c>
      <c r="G28" s="34">
        <f>$G$9</f>
        <v>0.011</v>
      </c>
      <c r="H28" s="67">
        <f>$H$14</f>
        <v>0.177</v>
      </c>
      <c r="I28" s="74">
        <f>+I$5</f>
        <v>0.06</v>
      </c>
      <c r="J28" s="67">
        <f t="shared" si="13"/>
        <v>0.08</v>
      </c>
      <c r="K28" s="34"/>
      <c r="L28" s="34">
        <f t="shared" si="11"/>
        <v>0.048</v>
      </c>
      <c r="M28" s="44">
        <f t="shared" si="12"/>
        <v>0.029</v>
      </c>
    </row>
    <row r="29" spans="1:13" s="68" customFormat="1" ht="19.5" customHeight="1">
      <c r="A29" s="65" t="s">
        <v>5</v>
      </c>
      <c r="B29" s="66" t="s">
        <v>107</v>
      </c>
      <c r="C29" s="67">
        <f t="shared" si="2"/>
        <v>0.025</v>
      </c>
      <c r="D29" s="67">
        <f t="shared" si="1"/>
        <v>0.35</v>
      </c>
      <c r="E29" s="67"/>
      <c r="F29" s="86">
        <f>H29</f>
        <v>0.11</v>
      </c>
      <c r="G29" s="67">
        <f>$G$9</f>
        <v>0.011</v>
      </c>
      <c r="H29" s="67">
        <v>0.11</v>
      </c>
      <c r="I29" s="74"/>
      <c r="J29" s="67">
        <v>0.08</v>
      </c>
      <c r="K29" s="67"/>
      <c r="L29" s="67"/>
      <c r="M29" s="87">
        <v>0.015</v>
      </c>
    </row>
    <row r="30" spans="1:13" s="68" customFormat="1" ht="19.5" customHeight="1">
      <c r="A30" s="65" t="s">
        <v>2</v>
      </c>
      <c r="B30" s="66" t="s">
        <v>3</v>
      </c>
      <c r="C30" s="67">
        <f t="shared" si="2"/>
        <v>0.025</v>
      </c>
      <c r="D30" s="67">
        <f t="shared" si="1"/>
        <v>0.35</v>
      </c>
      <c r="E30" s="67"/>
      <c r="F30" s="86">
        <f>H30</f>
        <v>0.11</v>
      </c>
      <c r="G30" s="67">
        <f>$G$9</f>
        <v>0.011</v>
      </c>
      <c r="H30" s="67">
        <v>0.11</v>
      </c>
      <c r="I30" s="74"/>
      <c r="J30" s="67">
        <v>0.08</v>
      </c>
      <c r="K30" s="67">
        <f>$K$35</f>
        <v>0.037</v>
      </c>
      <c r="L30" s="67"/>
      <c r="M30" s="87">
        <v>0.015</v>
      </c>
    </row>
    <row r="31" spans="1:13" ht="19.5" customHeight="1">
      <c r="A31" s="43" t="s">
        <v>41</v>
      </c>
      <c r="B31" s="32" t="s">
        <v>108</v>
      </c>
      <c r="C31" s="34">
        <f t="shared" si="2"/>
        <v>0.025</v>
      </c>
      <c r="D31" s="34">
        <f t="shared" si="1"/>
        <v>0.35</v>
      </c>
      <c r="E31" s="34" t="str">
        <f>$E$8</f>
        <v>N/A</v>
      </c>
      <c r="F31" s="34">
        <f>$F$8</f>
        <v>0.013</v>
      </c>
      <c r="G31" s="34">
        <f>$G$8</f>
        <v>0.002</v>
      </c>
      <c r="H31" s="67">
        <f>$H$8</f>
        <v>0.0977</v>
      </c>
      <c r="I31" s="67"/>
      <c r="J31" s="67">
        <f t="shared" si="13"/>
        <v>0.08</v>
      </c>
      <c r="K31" s="34"/>
      <c r="L31" s="34"/>
      <c r="M31" s="44">
        <f>$M$27</f>
        <v>0.009</v>
      </c>
    </row>
    <row r="32" spans="1:13" ht="19.5" customHeight="1">
      <c r="A32" s="43" t="s">
        <v>76</v>
      </c>
      <c r="B32" s="32" t="s">
        <v>77</v>
      </c>
      <c r="C32" s="34">
        <f t="shared" si="2"/>
        <v>0.025</v>
      </c>
      <c r="D32" s="34">
        <f t="shared" si="1"/>
        <v>0.35</v>
      </c>
      <c r="E32" s="34" t="str">
        <f>$E$8</f>
        <v>N/A</v>
      </c>
      <c r="F32" s="34">
        <f>$F$8</f>
        <v>0.013</v>
      </c>
      <c r="G32" s="34">
        <f>$G$8</f>
        <v>0.002</v>
      </c>
      <c r="H32" s="67">
        <f>$H$8</f>
        <v>0.0977</v>
      </c>
      <c r="I32" s="67"/>
      <c r="J32" s="67">
        <f t="shared" si="13"/>
        <v>0.08</v>
      </c>
      <c r="K32" s="34">
        <f>$K$35</f>
        <v>0.037</v>
      </c>
      <c r="L32" s="34"/>
      <c r="M32" s="44">
        <f>$M$27</f>
        <v>0.009</v>
      </c>
    </row>
    <row r="33" spans="1:13" ht="19.5" customHeight="1">
      <c r="A33" s="43" t="s">
        <v>42</v>
      </c>
      <c r="B33" s="32" t="s">
        <v>53</v>
      </c>
      <c r="C33" s="34">
        <f t="shared" si="2"/>
        <v>0.025</v>
      </c>
      <c r="D33" s="34">
        <f t="shared" si="1"/>
        <v>0.35</v>
      </c>
      <c r="E33" s="34" t="str">
        <f t="shared" si="9"/>
        <v>N/A</v>
      </c>
      <c r="F33" s="63">
        <f>H33</f>
        <v>0.28</v>
      </c>
      <c r="G33" s="34">
        <f aca="true" t="shared" si="14" ref="G33:G38">$G$9</f>
        <v>0.011</v>
      </c>
      <c r="H33" s="67">
        <f>$H$9</f>
        <v>0.28</v>
      </c>
      <c r="I33" s="74">
        <f>+I$5</f>
        <v>0.06</v>
      </c>
      <c r="J33" s="67">
        <f t="shared" si="13"/>
        <v>0.08</v>
      </c>
      <c r="K33" s="34"/>
      <c r="L33" s="34">
        <f t="shared" si="11"/>
        <v>0.048</v>
      </c>
      <c r="M33" s="44">
        <f t="shared" si="12"/>
        <v>0.029</v>
      </c>
    </row>
    <row r="34" spans="1:13" ht="19.5" customHeight="1">
      <c r="A34" s="43" t="s">
        <v>64</v>
      </c>
      <c r="B34" s="32" t="s">
        <v>8</v>
      </c>
      <c r="C34" s="34"/>
      <c r="D34" s="34">
        <f>$D$4</f>
        <v>0.35</v>
      </c>
      <c r="E34" s="34" t="str">
        <f t="shared" si="9"/>
        <v>N/A</v>
      </c>
      <c r="F34" s="34"/>
      <c r="G34" s="34"/>
      <c r="H34" s="67"/>
      <c r="I34" s="67"/>
      <c r="J34" s="67"/>
      <c r="K34" s="34"/>
      <c r="L34" s="34"/>
      <c r="M34" s="44"/>
    </row>
    <row r="35" spans="1:13" ht="19.5" customHeight="1">
      <c r="A35" s="43" t="s">
        <v>43</v>
      </c>
      <c r="B35" s="32" t="s">
        <v>71</v>
      </c>
      <c r="C35" s="34">
        <f>$C$4</f>
        <v>0.025</v>
      </c>
      <c r="D35" s="34">
        <f>$D$4</f>
        <v>0.35</v>
      </c>
      <c r="E35" s="34" t="str">
        <f t="shared" si="9"/>
        <v>N/A</v>
      </c>
      <c r="F35" s="63">
        <f>H35</f>
        <v>0.28</v>
      </c>
      <c r="G35" s="34">
        <f t="shared" si="14"/>
        <v>0.011</v>
      </c>
      <c r="H35" s="67">
        <f>$H$9</f>
        <v>0.28</v>
      </c>
      <c r="I35" s="74">
        <f>+I$5</f>
        <v>0.06</v>
      </c>
      <c r="J35" s="67">
        <f>$J$4</f>
        <v>0.08</v>
      </c>
      <c r="K35" s="33">
        <v>0.037</v>
      </c>
      <c r="L35" s="34">
        <f>$L$4</f>
        <v>0.048</v>
      </c>
      <c r="M35" s="44">
        <f t="shared" si="12"/>
        <v>0.029</v>
      </c>
    </row>
    <row r="36" spans="1:13" ht="19.5" customHeight="1">
      <c r="A36" s="43" t="s">
        <v>65</v>
      </c>
      <c r="B36" s="32" t="s">
        <v>66</v>
      </c>
      <c r="C36" s="34">
        <f>$C$4</f>
        <v>0.025</v>
      </c>
      <c r="D36" s="34">
        <f>$D$4</f>
        <v>0.35</v>
      </c>
      <c r="E36" s="34" t="str">
        <f t="shared" si="9"/>
        <v>N/A</v>
      </c>
      <c r="F36" s="63">
        <f>H36</f>
        <v>0.28</v>
      </c>
      <c r="G36" s="34">
        <f t="shared" si="14"/>
        <v>0.011</v>
      </c>
      <c r="H36" s="67">
        <f>$H$9</f>
        <v>0.28</v>
      </c>
      <c r="I36" s="74">
        <f>+I$5</f>
        <v>0.06</v>
      </c>
      <c r="J36" s="67">
        <f>$J$4</f>
        <v>0.08</v>
      </c>
      <c r="K36" s="34"/>
      <c r="L36" s="34">
        <f>$L$4</f>
        <v>0.048</v>
      </c>
      <c r="M36" s="44">
        <f t="shared" si="12"/>
        <v>0.029</v>
      </c>
    </row>
    <row r="37" spans="1:13" ht="19.5" customHeight="1">
      <c r="A37" s="43" t="s">
        <v>67</v>
      </c>
      <c r="B37" s="35" t="s">
        <v>68</v>
      </c>
      <c r="C37" s="34">
        <f>$C$4</f>
        <v>0.025</v>
      </c>
      <c r="D37" s="34">
        <f>$D$4</f>
        <v>0.35</v>
      </c>
      <c r="E37" s="34" t="str">
        <f t="shared" si="9"/>
        <v>N/A</v>
      </c>
      <c r="F37" s="63">
        <f>H37</f>
        <v>0.203</v>
      </c>
      <c r="G37" s="34">
        <f t="shared" si="14"/>
        <v>0.011</v>
      </c>
      <c r="H37" s="67">
        <f>$H$13</f>
        <v>0.203</v>
      </c>
      <c r="I37" s="74">
        <f>+I$5</f>
        <v>0.06</v>
      </c>
      <c r="J37" s="67">
        <f>$J$4</f>
        <v>0.08</v>
      </c>
      <c r="K37" s="34"/>
      <c r="L37" s="34">
        <f>$L$4</f>
        <v>0.048</v>
      </c>
      <c r="M37" s="44">
        <f t="shared" si="12"/>
        <v>0.029</v>
      </c>
    </row>
    <row r="38" spans="1:13" ht="19.5" customHeight="1" thickBot="1">
      <c r="A38" s="45" t="s">
        <v>69</v>
      </c>
      <c r="B38" s="46" t="s">
        <v>70</v>
      </c>
      <c r="C38" s="47">
        <f>$C$4</f>
        <v>0.025</v>
      </c>
      <c r="D38" s="47">
        <f>$D$4</f>
        <v>0.35</v>
      </c>
      <c r="E38" s="47" t="str">
        <f t="shared" si="9"/>
        <v>N/A</v>
      </c>
      <c r="F38" s="64">
        <f>H38</f>
        <v>0.177</v>
      </c>
      <c r="G38" s="60">
        <f t="shared" si="14"/>
        <v>0.011</v>
      </c>
      <c r="H38" s="82">
        <f>$H$14</f>
        <v>0.177</v>
      </c>
      <c r="I38" s="81">
        <f>+I$5</f>
        <v>0.06</v>
      </c>
      <c r="J38" s="82">
        <f>$J$4</f>
        <v>0.08</v>
      </c>
      <c r="K38" s="47"/>
      <c r="L38" s="47">
        <f>$L$4</f>
        <v>0.048</v>
      </c>
      <c r="M38" s="48">
        <f t="shared" si="12"/>
        <v>0.029</v>
      </c>
    </row>
    <row r="39" spans="10:15" ht="12.75" thickTop="1">
      <c r="J39" s="83"/>
      <c r="O39" s="75"/>
    </row>
    <row r="41" spans="1:13" ht="12">
      <c r="A41" s="1" t="s">
        <v>55</v>
      </c>
      <c r="C41" s="31" t="s">
        <v>46</v>
      </c>
      <c r="D41" s="31" t="s">
        <v>56</v>
      </c>
      <c r="E41" s="31" t="s">
        <v>47</v>
      </c>
      <c r="F41" s="61" t="s">
        <v>101</v>
      </c>
      <c r="G41" s="31" t="s">
        <v>48</v>
      </c>
      <c r="H41" s="88" t="s">
        <v>49</v>
      </c>
      <c r="I41" s="84" t="s">
        <v>104</v>
      </c>
      <c r="J41" s="84" t="s">
        <v>88</v>
      </c>
      <c r="K41" s="31" t="s">
        <v>57</v>
      </c>
      <c r="L41" s="31" t="s">
        <v>78</v>
      </c>
      <c r="M41" s="31" t="s">
        <v>50</v>
      </c>
    </row>
    <row r="42" spans="1:13" ht="12">
      <c r="A42" t="str">
        <f>'Overhead Calculator'!C8</f>
        <v>XSTAND</v>
      </c>
      <c r="B42" t="str">
        <f>'Overhead Calculator'!D8</f>
        <v>-   Standard / Full</v>
      </c>
      <c r="C42" s="12">
        <f>IF(ISNA(MATCH('Overhead Calculator'!$C$8,OHKeys_Match,0)),"ERR!",VLOOKUP('Overhead Calculator'!$C$8,OHKeys_Lookup,3,0))</f>
        <v>0.025</v>
      </c>
      <c r="D42" s="12">
        <f>IF(ISNA(MATCH('Overhead Calculator'!$C$8,OHKeys_Match,0)),"ERR!",VLOOKUP('Overhead Calculator'!$C$8,OHKeys_Lookup,4,0))</f>
        <v>0.35</v>
      </c>
      <c r="E42" s="12" t="str">
        <f>IF(ISNA(MATCH('Overhead Calculator'!$C$8,OHKeys_Match,0)),"ERR!",VLOOKUP('Overhead Calculator'!$C$8,OHKeys_Lookup,5))</f>
        <v>N/A</v>
      </c>
      <c r="F42" s="12">
        <f>IF(ISNA(MATCH('Overhead Calculator'!$C$8,OHKeys_Match,0)),"ERR!",VLOOKUP('Overhead Calculator'!$C$8,OHKeys_Lookup,6,0))</f>
        <v>0.28</v>
      </c>
      <c r="G42" s="12">
        <f>IF(ISNA(MATCH('Overhead Calculator'!$C$8,OHKeys_Match,0)),"ERR!",VLOOKUP('Overhead Calculator'!$C$8,OHKeys_Lookup,7,0))</f>
        <v>0.011</v>
      </c>
      <c r="H42" s="85">
        <f>IF(ISNA(MATCH('Overhead Calculator'!$C$8,OHKeys_Match,0)),"ERR!",VLOOKUP('Overhead Calculator'!$C$8,OHKeys_Lookup,8,0))</f>
        <v>0.28</v>
      </c>
      <c r="I42" s="85">
        <f>IF(ISNA(MATCH('Overhead Calculator'!$C$8,OHKeys_Match,0)),"ERR!",VLOOKUP('Overhead Calculator'!$C$8,OHKeys_Lookup,9,0))</f>
        <v>0.06</v>
      </c>
      <c r="J42" s="85">
        <f>IF(ISNA(MATCH('Overhead Calculator'!$C$8,OHKeys_Match,0)),"ERR!",VLOOKUP('Overhead Calculator'!$C$8,OHKeys_Lookup,10,0))</f>
        <v>0.08</v>
      </c>
      <c r="K42" s="12">
        <f>IF(ISNA(MATCH('Overhead Calculator'!$C$8,OHKeys_Match,0)),"ERR!",VLOOKUP('Overhead Calculator'!$C$8,OHKeys_Lookup,11,0))</f>
        <v>0</v>
      </c>
      <c r="L42" s="12">
        <f>IF(ISNA(MATCH('Overhead Calculator'!$C$8,OHKeys_Match,0)),"ERR!",VLOOKUP('Overhead Calculator'!$C$8,OHKeys_Lookup,12,0))</f>
        <v>0.048</v>
      </c>
      <c r="M42" s="76">
        <f>IF(ISNA(MATCH('Overhead Calculator'!$C$8,OHKeys_Match,0)),"ERR!",VLOOKUP('Overhead Calculator'!$C$8,OHKeys_Lookup,13,0))</f>
        <v>0.029</v>
      </c>
    </row>
  </sheetData>
  <sheetProtection/>
  <printOptions horizontalCentered="1"/>
  <pageMargins left="0" right="0" top="0.5" bottom="0.5" header="0.5" footer="0.5"/>
  <pageSetup fitToHeight="1" fitToWidth="1" orientation="landscape" scale="7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 Ridge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W. Hulsey</dc:creator>
  <cp:keywords/>
  <dc:description/>
  <cp:lastModifiedBy>Tom Rosseel</cp:lastModifiedBy>
  <cp:lastPrinted>2006-06-22T16:39:14Z</cp:lastPrinted>
  <dcterms:created xsi:type="dcterms:W3CDTF">1998-06-24T18:35:59Z</dcterms:created>
  <dcterms:modified xsi:type="dcterms:W3CDTF">2006-11-01T17:30:27Z</dcterms:modified>
  <cp:category/>
  <cp:version/>
  <cp:contentType/>
  <cp:contentStatus/>
</cp:coreProperties>
</file>