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37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'Sheet1'!$A$1:$S$98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<sst xmlns="http://schemas.openxmlformats.org/spreadsheetml/2006/main" count="226" uniqueCount="156">
  <si>
    <t>Online Computing Maintenance</t>
  </si>
  <si>
    <t>FY01</t>
  </si>
  <si>
    <t>Actual</t>
  </si>
  <si>
    <t>FY02</t>
  </si>
  <si>
    <t>Estimate</t>
  </si>
  <si>
    <t>(K$)</t>
  </si>
  <si>
    <t>Offline Computing Support</t>
  </si>
  <si>
    <t>budget</t>
  </si>
  <si>
    <t>Allocation</t>
  </si>
  <si>
    <t>Ops Dept</t>
  </si>
  <si>
    <t>CDF Dept in support of Collaboration</t>
  </si>
  <si>
    <t>Sum:</t>
  </si>
  <si>
    <t>PPD Mechanical Dept support</t>
  </si>
  <si>
    <t xml:space="preserve"> </t>
  </si>
  <si>
    <t>PPD Electrical Dept support</t>
  </si>
  <si>
    <t>PPD Admin and Financial support</t>
  </si>
  <si>
    <t>PPD computing professional support</t>
  </si>
  <si>
    <t>PPD Safety support</t>
  </si>
  <si>
    <t>FY03</t>
  </si>
  <si>
    <t>code</t>
  </si>
  <si>
    <t>PPD Guests and Visitors</t>
  </si>
  <si>
    <t>a.  Computing</t>
  </si>
  <si>
    <t>a.1 Maintenance</t>
  </si>
  <si>
    <t>a.3 Engineering</t>
  </si>
  <si>
    <t>b. Cryo Technical Support</t>
  </si>
  <si>
    <t>c. Experimental Hall support</t>
  </si>
  <si>
    <t>c.1 Electrical</t>
  </si>
  <si>
    <t>Electrical Maintenance, contracts</t>
  </si>
  <si>
    <t>c.2 Mechanical</t>
  </si>
  <si>
    <t>c.3 Detector system consumables</t>
  </si>
  <si>
    <t>PPD M&amp;S contingency</t>
  </si>
  <si>
    <t>Total</t>
  </si>
  <si>
    <t>included in c., we don't separate cryo from mechanical</t>
  </si>
  <si>
    <t>DIT</t>
  </si>
  <si>
    <t xml:space="preserve">     Licenses, replacements, maintenance</t>
  </si>
  <si>
    <t>DOP</t>
  </si>
  <si>
    <t>DOR</t>
  </si>
  <si>
    <t>Cryogenic System &amp; Cryogens</t>
  </si>
  <si>
    <t>Fiber Tracker Helium</t>
  </si>
  <si>
    <t>DII part</t>
  </si>
  <si>
    <t>Muon System gas</t>
  </si>
  <si>
    <t>DIO part</t>
  </si>
  <si>
    <t xml:space="preserve">     Muon System</t>
  </si>
  <si>
    <t>DIP</t>
  </si>
  <si>
    <t xml:space="preserve">     Silicon System</t>
  </si>
  <si>
    <t xml:space="preserve">     Fiber Tracker</t>
  </si>
  <si>
    <t xml:space="preserve">     Calorimeter</t>
  </si>
  <si>
    <t xml:space="preserve">     Trigger</t>
  </si>
  <si>
    <t>DIH</t>
  </si>
  <si>
    <t xml:space="preserve">     Tracking Electronics</t>
  </si>
  <si>
    <t>DIL</t>
  </si>
  <si>
    <r>
      <t>Detector Maintenance</t>
    </r>
    <r>
      <rPr>
        <sz val="8"/>
        <rFont val="Arial"/>
        <family val="2"/>
      </rPr>
      <t xml:space="preserve"> by subsystem (includes scopes,…)</t>
    </r>
  </si>
  <si>
    <t>DIM</t>
  </si>
  <si>
    <r>
      <t xml:space="preserve">     ICD and Preshwr </t>
    </r>
    <r>
      <rPr>
        <sz val="10"/>
        <rFont val="Arial"/>
        <family val="2"/>
      </rPr>
      <t xml:space="preserve"> (spare tubes,…)</t>
    </r>
  </si>
  <si>
    <t>DIN, DIJ, DIK</t>
  </si>
  <si>
    <r>
      <t>General Maintenance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(lifts,cranes,elevator,water system,HVAC)</t>
    </r>
  </si>
  <si>
    <t>DIQ,DIR,DIS</t>
  </si>
  <si>
    <t>DOZ</t>
  </si>
  <si>
    <t>DOM, DOE</t>
  </si>
  <si>
    <t>DOG</t>
  </si>
  <si>
    <t>Equipment Maintenance</t>
  </si>
  <si>
    <t>Safety &amp; Environment support</t>
  </si>
  <si>
    <t>General Operating in DZero Dept</t>
  </si>
  <si>
    <t>DOD</t>
  </si>
  <si>
    <t>Administrative General Operating</t>
  </si>
  <si>
    <t>DOY</t>
  </si>
  <si>
    <t>1 person becomes 0.25</t>
  </si>
  <si>
    <t>4 people</t>
  </si>
  <si>
    <t>(stores, office machines, …., some local group, some whole collaboration)</t>
  </si>
  <si>
    <t>DOQ</t>
  </si>
  <si>
    <t>Other Detector Support by subsystem</t>
  </si>
  <si>
    <r>
      <t>General Mechanical Support</t>
    </r>
    <r>
      <rPr>
        <sz val="9"/>
        <rFont val="Arial"/>
        <family val="2"/>
      </rPr>
      <t xml:space="preserve"> (materials, stockroom, machine shop,…)</t>
    </r>
  </si>
  <si>
    <t>Hardware Maintenance</t>
  </si>
  <si>
    <t xml:space="preserve">   SGI/SUN/Robots</t>
  </si>
  <si>
    <t>CD</t>
  </si>
  <si>
    <t>Software Maintenance</t>
  </si>
  <si>
    <t xml:space="preserve">   Oracle Maintenance</t>
  </si>
  <si>
    <t xml:space="preserve">   Cisco Maintenance</t>
  </si>
  <si>
    <t>PPD</t>
  </si>
  <si>
    <t xml:space="preserve">a.2 Production Support </t>
  </si>
  <si>
    <t>Tapes</t>
  </si>
  <si>
    <t>Network support (1 FTE)</t>
  </si>
  <si>
    <t>Hardware Maint. Support (0.6 FTE)</t>
  </si>
  <si>
    <t>Code Management Support (2 FTE)</t>
  </si>
  <si>
    <t>Central Mass Storage (1 FTE)</t>
  </si>
  <si>
    <t>Computing: Technical and Professional Support</t>
  </si>
  <si>
    <t>Software Products Support (4.42 FTE)</t>
  </si>
  <si>
    <t>Linux Desktops (1 FTE)</t>
  </si>
  <si>
    <t>Software Support (1 FTE)</t>
  </si>
  <si>
    <t>Other costs not included above</t>
  </si>
  <si>
    <t xml:space="preserve">Actual </t>
  </si>
  <si>
    <t>DMR</t>
  </si>
  <si>
    <t>DOH</t>
  </si>
  <si>
    <t xml:space="preserve">     Detector General Operating</t>
  </si>
  <si>
    <t>Video Conferencing</t>
  </si>
  <si>
    <t>DZV</t>
  </si>
  <si>
    <t>Fermilab G&amp;A on salaries (30.35%-FY03 Estimate)</t>
  </si>
  <si>
    <t>Fermilab G&amp;A on purchases (16.05%-FY03 Estimate)</t>
  </si>
  <si>
    <t xml:space="preserve">     Maintenance</t>
  </si>
  <si>
    <t xml:space="preserve">     overtime: shift tech support (rearranging shift schedule to no overtime after Dec 1, 2002)</t>
  </si>
  <si>
    <t>(dominated by procard and travel, mostly support of DZero local group)</t>
  </si>
  <si>
    <t>SIFT chip submission</t>
  </si>
  <si>
    <t>Subtotal</t>
  </si>
  <si>
    <t xml:space="preserve"> (K$)</t>
  </si>
  <si>
    <t xml:space="preserve">     9 people as of November 1, 2002</t>
  </si>
  <si>
    <t xml:space="preserve">     6 Monthly + 4 Weekly as of November 1, 2002</t>
  </si>
  <si>
    <t xml:space="preserve">     6 monthly + 8 weekly people as of November 1, 2002</t>
  </si>
  <si>
    <t>Total Other Costs</t>
  </si>
  <si>
    <t>Remove institutional</t>
  </si>
  <si>
    <t xml:space="preserve">     subdetector committments</t>
  </si>
  <si>
    <t xml:space="preserve">     subdetector commitment</t>
  </si>
  <si>
    <t>Subdetector support deemed still the responsibility Fermilab</t>
  </si>
  <si>
    <t>Wolbers revised</t>
  </si>
  <si>
    <t xml:space="preserve">   in the Online Group</t>
  </si>
  <si>
    <t>Include only the 6</t>
  </si>
  <si>
    <t>Decrease in SGI, increase in robots</t>
  </si>
  <si>
    <t>FY04</t>
  </si>
  <si>
    <t>put in 3% increase</t>
  </si>
  <si>
    <t>increase in STK, SGI decrease in FY05</t>
  </si>
  <si>
    <t>40.12.01.23</t>
  </si>
  <si>
    <t>40.12.02.04</t>
  </si>
  <si>
    <t>40.12.02.03</t>
  </si>
  <si>
    <t>40.12.01.08</t>
  </si>
  <si>
    <t>40.12.01.11</t>
  </si>
  <si>
    <t>40.12.01.12</t>
  </si>
  <si>
    <t>40.12.01.15</t>
  </si>
  <si>
    <t>40.12.01.16</t>
  </si>
  <si>
    <t>40.12.01.19</t>
  </si>
  <si>
    <t>40.12.01.04</t>
  </si>
  <si>
    <t>40.12.01.07</t>
  </si>
  <si>
    <t>03,06</t>
  </si>
  <si>
    <t>40.12.01.09</t>
  </si>
  <si>
    <t>40.12.02.01</t>
  </si>
  <si>
    <t>40.12.02.02</t>
  </si>
  <si>
    <t>40.12.01.02</t>
  </si>
  <si>
    <t>4.75% with fringe</t>
  </si>
  <si>
    <t>40.12.01.18</t>
  </si>
  <si>
    <t>DOF cryo part</t>
  </si>
  <si>
    <t>DOF non-cryo, non-bldg</t>
  </si>
  <si>
    <t>17,13,14</t>
  </si>
  <si>
    <t>counted in cryogens</t>
  </si>
  <si>
    <t>Task</t>
  </si>
  <si>
    <t>Number</t>
  </si>
  <si>
    <t>first estimate</t>
  </si>
  <si>
    <t>Final</t>
  </si>
  <si>
    <t>PPD and CD support of DZero</t>
  </si>
  <si>
    <t>60% of 10 people is general</t>
  </si>
  <si>
    <t>80% of 13 people is general</t>
  </si>
  <si>
    <t>Scrutiny Group wanted</t>
  </si>
  <si>
    <t>all this support via Fermilab</t>
  </si>
  <si>
    <t>following SLAC model</t>
  </si>
  <si>
    <t>not recalculated, just = FY03 1st est</t>
  </si>
  <si>
    <t xml:space="preserve">24 x 7 coverage is a </t>
  </si>
  <si>
    <t xml:space="preserve">            Collaboration request</t>
  </si>
  <si>
    <t>20% in subdetector support -- ALL moved to Fermilab cost</t>
  </si>
  <si>
    <t xml:space="preserve"> 40% is subdetector support -- ALL moved to Fermilab cost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</si>
</sst>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  <numFmt numFmtId="166" formatCode="_(* #,##0.000_);_(* \(#,##0.000\);_(* &quot;-&quot;???_);_(@_)"/>
    <numFmt numFmtId="167" formatCode="0.000"/>
    <numFmt numFmtId="168" formatCode="0.0"/>
    <numFmt numFmtId="169" formatCode="_(* #,##0_);_(* \(#,##0\);_(* &quot;-&quot;??_);_(@_)"/>
    <numFmt numFmtId="170" formatCode="_(* #,##0.0000_);_(* \(#,##0.0000\);_(* &quot;-&quot;????_);_(@_)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2"/>
      <color indexed="12"/>
      <name val="Arial"/>
      <family val="2"/>
    </font>
    <font>
      <b/>
      <u val="single"/>
      <sz val="14"/>
      <color indexed="12"/>
      <name val="Arial"/>
      <family val="2"/>
    </font>
    <font>
      <sz val="12"/>
      <color indexed="12"/>
      <name val="Arial"/>
      <family val="2"/>
    </font>
    <font>
      <u val="single"/>
      <sz val="14"/>
      <color indexed="12"/>
      <name val="Arial"/>
      <family val="2"/>
    </font>
    <font>
      <b/>
      <u val="single"/>
      <sz val="16"/>
      <color indexed="12"/>
      <name val="Arial"/>
      <family val="2"/>
    </font>
    <font>
      <b/>
      <sz val="16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8"/>
      <color indexed="12"/>
      <name val="Arial"/>
      <family val="2"/>
    </font>
    <font>
      <b/>
      <sz val="18"/>
      <color indexed="12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sz val="18"/>
      <color indexed="10"/>
      <name val="Arial"/>
      <family val="2"/>
    </font>
    <font>
      <sz val="10"/>
      <color indexed="12"/>
      <name val="Arial"/>
      <family val="2"/>
    </font>
    <font>
      <sz val="18"/>
      <color indexed="12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1" xfId="0" applyFont="1" applyFill="1" applyBorder="1" applyAlignment="1">
      <alignment/>
    </xf>
    <xf numFmtId="0" fontId="7" fillId="2" borderId="0" xfId="0" applyFont="1" applyFill="1" applyAlignment="1">
      <alignment horizontal="right"/>
    </xf>
    <xf numFmtId="0" fontId="12" fillId="0" borderId="0" xfId="0" applyFont="1" applyAlignment="1">
      <alignment/>
    </xf>
    <xf numFmtId="0" fontId="5" fillId="2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3" fillId="0" borderId="0" xfId="15" applyNumberFormat="1" applyFont="1" applyAlignment="1">
      <alignment/>
    </xf>
    <xf numFmtId="164" fontId="3" fillId="0" borderId="0" xfId="15" applyNumberFormat="1" applyFont="1" applyFill="1" applyAlignment="1">
      <alignment/>
    </xf>
    <xf numFmtId="164" fontId="13" fillId="2" borderId="0" xfId="15" applyNumberFormat="1" applyFont="1" applyFill="1" applyAlignment="1">
      <alignment/>
    </xf>
    <xf numFmtId="164" fontId="13" fillId="2" borderId="1" xfId="15" applyNumberFormat="1" applyFont="1" applyFill="1" applyBorder="1" applyAlignment="1">
      <alignment/>
    </xf>
    <xf numFmtId="164" fontId="14" fillId="2" borderId="0" xfId="15" applyNumberFormat="1" applyFont="1" applyFill="1" applyAlignment="1">
      <alignment/>
    </xf>
    <xf numFmtId="0" fontId="2" fillId="0" borderId="0" xfId="0" applyFont="1" applyFill="1" applyAlignment="1">
      <alignment/>
    </xf>
    <xf numFmtId="0" fontId="14" fillId="2" borderId="0" xfId="0" applyFont="1" applyFill="1" applyAlignment="1">
      <alignment/>
    </xf>
    <xf numFmtId="0" fontId="11" fillId="0" borderId="0" xfId="0" applyFont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64" fontId="2" fillId="0" borderId="0" xfId="15" applyNumberFormat="1" applyFont="1" applyAlignment="1">
      <alignment horizontal="right"/>
    </xf>
    <xf numFmtId="164" fontId="2" fillId="0" borderId="0" xfId="15" applyNumberFormat="1" applyFont="1" applyBorder="1" applyAlignment="1">
      <alignment horizontal="right"/>
    </xf>
    <xf numFmtId="164" fontId="2" fillId="0" borderId="2" xfId="15" applyNumberFormat="1" applyFont="1" applyBorder="1" applyAlignment="1">
      <alignment horizontal="right"/>
    </xf>
    <xf numFmtId="0" fontId="1" fillId="0" borderId="2" xfId="0" applyFont="1" applyBorder="1" applyAlignment="1">
      <alignment/>
    </xf>
    <xf numFmtId="164" fontId="3" fillId="0" borderId="2" xfId="15" applyNumberFormat="1" applyFont="1" applyBorder="1" applyAlignment="1">
      <alignment/>
    </xf>
    <xf numFmtId="0" fontId="5" fillId="2" borderId="1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2" xfId="0" applyFont="1" applyBorder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0" applyFont="1" applyFill="1" applyAlignment="1">
      <alignment horizontal="right"/>
    </xf>
    <xf numFmtId="0" fontId="17" fillId="0" borderId="0" xfId="0" applyFont="1" applyFill="1" applyAlignment="1">
      <alignment horizontal="right"/>
    </xf>
    <xf numFmtId="164" fontId="17" fillId="0" borderId="0" xfId="15" applyNumberFormat="1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8" fillId="0" borderId="2" xfId="0" applyFont="1" applyBorder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164" fontId="16" fillId="0" borderId="0" xfId="15" applyNumberFormat="1" applyFont="1" applyAlignment="1">
      <alignment/>
    </xf>
    <xf numFmtId="164" fontId="13" fillId="0" borderId="0" xfId="15" applyNumberFormat="1" applyFont="1" applyAlignment="1">
      <alignment/>
    </xf>
    <xf numFmtId="0" fontId="13" fillId="0" borderId="0" xfId="0" applyFont="1" applyBorder="1" applyAlignment="1">
      <alignment/>
    </xf>
    <xf numFmtId="164" fontId="14" fillId="0" borderId="0" xfId="15" applyNumberFormat="1" applyFont="1" applyBorder="1" applyAlignment="1">
      <alignment horizontal="right"/>
    </xf>
    <xf numFmtId="164" fontId="13" fillId="0" borderId="0" xfId="15" applyNumberFormat="1" applyFont="1" applyFill="1" applyAlignment="1">
      <alignment/>
    </xf>
    <xf numFmtId="0" fontId="6" fillId="0" borderId="0" xfId="0" applyFont="1" applyFill="1" applyAlignment="1">
      <alignment/>
    </xf>
    <xf numFmtId="0" fontId="27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6" fillId="2" borderId="0" xfId="0" applyFont="1" applyFill="1" applyAlignment="1">
      <alignment horizontal="right"/>
    </xf>
    <xf numFmtId="0" fontId="6" fillId="2" borderId="1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164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Fill="1" applyAlignment="1">
      <alignment/>
    </xf>
    <xf numFmtId="164" fontId="0" fillId="0" borderId="0" xfId="15" applyNumberFormat="1" applyAlignment="1">
      <alignment/>
    </xf>
    <xf numFmtId="169" fontId="12" fillId="0" borderId="0" xfId="15" applyNumberFormat="1" applyFont="1" applyFill="1" applyAlignment="1">
      <alignment/>
    </xf>
    <xf numFmtId="164" fontId="2" fillId="3" borderId="0" xfId="15" applyNumberFormat="1" applyFont="1" applyFill="1" applyAlignment="1">
      <alignment horizontal="right"/>
    </xf>
    <xf numFmtId="164" fontId="2" fillId="3" borderId="0" xfId="15" applyNumberFormat="1" applyFont="1" applyFill="1" applyBorder="1" applyAlignment="1">
      <alignment horizontal="right"/>
    </xf>
    <xf numFmtId="164" fontId="2" fillId="3" borderId="2" xfId="15" applyNumberFormat="1" applyFont="1" applyFill="1" applyBorder="1" applyAlignment="1">
      <alignment horizontal="right"/>
    </xf>
    <xf numFmtId="164" fontId="13" fillId="3" borderId="0" xfId="15" applyNumberFormat="1" applyFont="1" applyFill="1" applyAlignment="1">
      <alignment/>
    </xf>
    <xf numFmtId="164" fontId="3" fillId="3" borderId="0" xfId="15" applyNumberFormat="1" applyFont="1" applyFill="1" applyAlignment="1">
      <alignment/>
    </xf>
    <xf numFmtId="169" fontId="13" fillId="3" borderId="0" xfId="15" applyNumberFormat="1" applyFont="1" applyFill="1" applyAlignment="1">
      <alignment/>
    </xf>
    <xf numFmtId="164" fontId="13" fillId="3" borderId="1" xfId="15" applyNumberFormat="1" applyFont="1" applyFill="1" applyBorder="1" applyAlignment="1">
      <alignment/>
    </xf>
    <xf numFmtId="164" fontId="14" fillId="3" borderId="0" xfId="15" applyNumberFormat="1" applyFont="1" applyFill="1" applyAlignment="1">
      <alignment/>
    </xf>
    <xf numFmtId="169" fontId="3" fillId="3" borderId="0" xfId="15" applyNumberFormat="1" applyFont="1" applyFill="1" applyAlignment="1">
      <alignment/>
    </xf>
    <xf numFmtId="164" fontId="3" fillId="3" borderId="2" xfId="15" applyNumberFormat="1" applyFont="1" applyFill="1" applyBorder="1" applyAlignment="1">
      <alignment/>
    </xf>
    <xf numFmtId="169" fontId="3" fillId="3" borderId="2" xfId="15" applyNumberFormat="1" applyFont="1" applyFill="1" applyBorder="1" applyAlignment="1">
      <alignment/>
    </xf>
    <xf numFmtId="0" fontId="19" fillId="3" borderId="0" xfId="0" applyFont="1" applyFill="1" applyAlignment="1">
      <alignment/>
    </xf>
    <xf numFmtId="0" fontId="18" fillId="3" borderId="2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0" xfId="0" applyFill="1" applyAlignment="1">
      <alignment/>
    </xf>
    <xf numFmtId="0" fontId="8" fillId="3" borderId="0" xfId="0" applyFont="1" applyFill="1" applyAlignment="1">
      <alignment/>
    </xf>
    <xf numFmtId="0" fontId="0" fillId="3" borderId="0" xfId="0" applyFont="1" applyFill="1" applyAlignment="1">
      <alignment/>
    </xf>
    <xf numFmtId="164" fontId="14" fillId="0" borderId="0" xfId="15" applyNumberFormat="1" applyFont="1" applyAlignment="1">
      <alignment horizontal="right"/>
    </xf>
    <xf numFmtId="164" fontId="14" fillId="3" borderId="0" xfId="15" applyNumberFormat="1" applyFont="1" applyFill="1" applyAlignment="1">
      <alignment horizontal="right"/>
    </xf>
    <xf numFmtId="164" fontId="14" fillId="3" borderId="0" xfId="15" applyNumberFormat="1" applyFont="1" applyFill="1" applyBorder="1" applyAlignment="1">
      <alignment horizontal="right"/>
    </xf>
    <xf numFmtId="164" fontId="14" fillId="0" borderId="2" xfId="15" applyNumberFormat="1" applyFont="1" applyBorder="1" applyAlignment="1">
      <alignment horizontal="right"/>
    </xf>
    <xf numFmtId="164" fontId="14" fillId="3" borderId="2" xfId="15" applyNumberFormat="1" applyFont="1" applyFill="1" applyBorder="1" applyAlignment="1">
      <alignment horizontal="right"/>
    </xf>
    <xf numFmtId="164" fontId="6" fillId="0" borderId="0" xfId="15" applyNumberFormat="1" applyFont="1" applyAlignment="1">
      <alignment/>
    </xf>
    <xf numFmtId="164" fontId="13" fillId="3" borderId="2" xfId="15" applyNumberFormat="1" applyFont="1" applyFill="1" applyBorder="1" applyAlignment="1">
      <alignment/>
    </xf>
    <xf numFmtId="169" fontId="32" fillId="0" borderId="0" xfId="15" applyNumberFormat="1" applyFont="1" applyFill="1" applyAlignment="1">
      <alignment/>
    </xf>
    <xf numFmtId="164" fontId="33" fillId="0" borderId="0" xfId="15" applyNumberFormat="1" applyFont="1" applyFill="1" applyAlignment="1">
      <alignment/>
    </xf>
    <xf numFmtId="164" fontId="34" fillId="0" borderId="0" xfId="15" applyNumberFormat="1" applyFont="1" applyAlignment="1">
      <alignment/>
    </xf>
    <xf numFmtId="164" fontId="13" fillId="0" borderId="2" xfId="15" applyNumberFormat="1" applyFont="1" applyBorder="1" applyAlignment="1">
      <alignment/>
    </xf>
    <xf numFmtId="169" fontId="13" fillId="3" borderId="2" xfId="15" applyNumberFormat="1" applyFont="1" applyFill="1" applyBorder="1" applyAlignment="1">
      <alignment/>
    </xf>
    <xf numFmtId="164" fontId="18" fillId="0" borderId="0" xfId="15" applyNumberFormat="1" applyFont="1" applyAlignment="1">
      <alignment horizontal="right"/>
    </xf>
    <xf numFmtId="164" fontId="18" fillId="0" borderId="0" xfId="15" applyNumberFormat="1" applyFont="1" applyBorder="1" applyAlignment="1">
      <alignment horizontal="right"/>
    </xf>
    <xf numFmtId="164" fontId="18" fillId="0" borderId="2" xfId="15" applyNumberFormat="1" applyFont="1" applyBorder="1" applyAlignment="1">
      <alignment horizontal="right"/>
    </xf>
    <xf numFmtId="164" fontId="20" fillId="0" borderId="0" xfId="15" applyNumberFormat="1" applyFont="1" applyAlignment="1">
      <alignment/>
    </xf>
    <xf numFmtId="164" fontId="20" fillId="0" borderId="0" xfId="15" applyNumberFormat="1" applyFont="1" applyFill="1" applyAlignment="1">
      <alignment/>
    </xf>
    <xf numFmtId="164" fontId="20" fillId="4" borderId="0" xfId="15" applyNumberFormat="1" applyFont="1" applyFill="1" applyAlignment="1">
      <alignment/>
    </xf>
    <xf numFmtId="164" fontId="35" fillId="0" borderId="0" xfId="15" applyNumberFormat="1" applyFont="1" applyAlignment="1">
      <alignment/>
    </xf>
    <xf numFmtId="164" fontId="20" fillId="3" borderId="2" xfId="15" applyNumberFormat="1" applyFont="1" applyFill="1" applyBorder="1" applyAlignment="1">
      <alignment/>
    </xf>
    <xf numFmtId="169" fontId="23" fillId="4" borderId="0" xfId="15" applyNumberFormat="1" applyFont="1" applyFill="1" applyAlignment="1">
      <alignment/>
    </xf>
    <xf numFmtId="164" fontId="26" fillId="0" borderId="0" xfId="15" applyNumberFormat="1" applyFont="1" applyFill="1" applyAlignment="1">
      <alignment/>
    </xf>
    <xf numFmtId="164" fontId="36" fillId="0" borderId="0" xfId="15" applyNumberFormat="1" applyFont="1" applyAlignment="1">
      <alignment/>
    </xf>
    <xf numFmtId="164" fontId="20" fillId="0" borderId="2" xfId="15" applyNumberFormat="1" applyFont="1" applyBorder="1" applyAlignment="1">
      <alignment/>
    </xf>
    <xf numFmtId="169" fontId="23" fillId="0" borderId="0" xfId="15" applyNumberFormat="1" applyFont="1" applyFill="1" applyAlignment="1">
      <alignment/>
    </xf>
    <xf numFmtId="164" fontId="20" fillId="2" borderId="0" xfId="15" applyNumberFormat="1" applyFont="1" applyFill="1" applyAlignment="1">
      <alignment/>
    </xf>
    <xf numFmtId="164" fontId="20" fillId="2" borderId="1" xfId="15" applyNumberFormat="1" applyFont="1" applyFill="1" applyBorder="1" applyAlignment="1">
      <alignment/>
    </xf>
    <xf numFmtId="164" fontId="18" fillId="2" borderId="0" xfId="15" applyNumberFormat="1" applyFont="1" applyFill="1" applyAlignment="1">
      <alignment/>
    </xf>
    <xf numFmtId="0" fontId="28" fillId="0" borderId="0" xfId="0" applyFont="1" applyAlignment="1">
      <alignment/>
    </xf>
    <xf numFmtId="0" fontId="28" fillId="3" borderId="0" xfId="0" applyFont="1" applyFill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164" fontId="2" fillId="0" borderId="0" xfId="15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6"/>
  <sheetViews>
    <sheetView tabSelected="1" defaultGridColor="0" zoomScale="75" zoomScaleNormal="75" colorId="22" workbookViewId="0" topLeftCell="A1">
      <pane xSplit="16815" ySplit="1050" topLeftCell="P30" activePane="bottomLeft" state="split"/>
      <selection pane="topLeft" activeCell="D1" sqref="D1"/>
      <selection pane="topRight" activeCell="P1" sqref="P1"/>
      <selection pane="bottomLeft" activeCell="P43" sqref="P43"/>
      <selection pane="bottomRight" activeCell="P59" sqref="P59"/>
    </sheetView>
  </sheetViews>
  <sheetFormatPr defaultColWidth="9.140625" defaultRowHeight="12.75"/>
  <cols>
    <col min="1" max="1" width="6.8515625" style="51" customWidth="1"/>
    <col min="2" max="2" width="7.7109375" style="45" customWidth="1"/>
    <col min="3" max="3" width="7.7109375" style="2" customWidth="1"/>
    <col min="4" max="4" width="50.7109375" style="1" customWidth="1"/>
    <col min="5" max="6" width="11.00390625" style="3" customWidth="1"/>
    <col min="7" max="7" width="11.00390625" style="0" customWidth="1"/>
    <col min="8" max="8" width="13.28125" style="16" customWidth="1"/>
    <col min="9" max="9" width="0.9921875" style="85" customWidth="1"/>
    <col min="10" max="10" width="11.57421875" style="16" customWidth="1"/>
    <col min="11" max="11" width="0.9921875" style="85" customWidth="1"/>
    <col min="12" max="12" width="13.57421875" style="16" customWidth="1"/>
    <col min="13" max="13" width="1.7109375" style="0" customWidth="1"/>
    <col min="14" max="14" width="0.9921875" style="84" customWidth="1"/>
    <col min="15" max="15" width="11.28125" style="116" customWidth="1"/>
    <col min="16" max="16" width="28.421875" style="129" customWidth="1"/>
    <col min="17" max="17" width="12.28125" style="60" customWidth="1"/>
    <col min="18" max="18" width="30.7109375" style="0" customWidth="1"/>
  </cols>
  <sheetData>
    <row r="1" spans="1:17" s="4" customFormat="1" ht="20.25">
      <c r="A1" s="66" t="s">
        <v>145</v>
      </c>
      <c r="B1" s="45"/>
      <c r="C1" s="2"/>
      <c r="E1" s="3"/>
      <c r="F1" s="4" t="s">
        <v>141</v>
      </c>
      <c r="G1" s="4" t="s">
        <v>7</v>
      </c>
      <c r="H1" s="29" t="s">
        <v>1</v>
      </c>
      <c r="I1" s="81"/>
      <c r="J1" s="29" t="s">
        <v>3</v>
      </c>
      <c r="K1" s="81"/>
      <c r="L1" s="29" t="s">
        <v>18</v>
      </c>
      <c r="N1" s="102"/>
      <c r="O1" s="113" t="s">
        <v>18</v>
      </c>
      <c r="P1" s="129"/>
      <c r="Q1" s="101" t="s">
        <v>116</v>
      </c>
    </row>
    <row r="2" spans="1:17" s="4" customFormat="1" ht="18">
      <c r="A2" s="46"/>
      <c r="B2" s="47"/>
      <c r="C2" s="27"/>
      <c r="D2" s="28"/>
      <c r="E2" s="67"/>
      <c r="F2" s="28" t="s">
        <v>142</v>
      </c>
      <c r="G2" s="28" t="s">
        <v>19</v>
      </c>
      <c r="H2" s="30" t="s">
        <v>2</v>
      </c>
      <c r="I2" s="82"/>
      <c r="J2" s="30" t="s">
        <v>90</v>
      </c>
      <c r="K2" s="82"/>
      <c r="L2" s="134" t="s">
        <v>143</v>
      </c>
      <c r="N2" s="103"/>
      <c r="O2" s="114" t="s">
        <v>144</v>
      </c>
      <c r="P2" s="129"/>
      <c r="Q2" s="62" t="s">
        <v>4</v>
      </c>
    </row>
    <row r="3" spans="1:17" s="4" customFormat="1" ht="18.75" thickBot="1">
      <c r="A3" s="48"/>
      <c r="B3" s="49"/>
      <c r="C3" s="24"/>
      <c r="D3" s="25"/>
      <c r="E3" s="37"/>
      <c r="F3" s="37"/>
      <c r="G3" s="25"/>
      <c r="H3" s="31" t="s">
        <v>103</v>
      </c>
      <c r="I3" s="83"/>
      <c r="J3" s="31" t="s">
        <v>5</v>
      </c>
      <c r="K3" s="83"/>
      <c r="L3" s="31" t="s">
        <v>5</v>
      </c>
      <c r="N3" s="105"/>
      <c r="O3" s="115" t="s">
        <v>5</v>
      </c>
      <c r="P3" s="129"/>
      <c r="Q3" s="104" t="s">
        <v>5</v>
      </c>
    </row>
    <row r="4" spans="1:17" s="4" customFormat="1" ht="18">
      <c r="A4" s="46" t="s">
        <v>21</v>
      </c>
      <c r="B4" s="47"/>
      <c r="C4" s="27"/>
      <c r="D4" s="28"/>
      <c r="E4" s="67"/>
      <c r="F4" s="67"/>
      <c r="G4" s="28"/>
      <c r="H4" s="30"/>
      <c r="I4" s="82"/>
      <c r="J4" s="30"/>
      <c r="K4" s="82"/>
      <c r="L4" s="30"/>
      <c r="N4" s="103"/>
      <c r="O4" s="114"/>
      <c r="P4" s="129"/>
      <c r="Q4" s="62"/>
    </row>
    <row r="5" spans="1:17" s="4" customFormat="1" ht="18">
      <c r="A5" s="50"/>
      <c r="B5" s="46" t="s">
        <v>22</v>
      </c>
      <c r="C5" s="26"/>
      <c r="D5" s="27"/>
      <c r="E5" s="67"/>
      <c r="F5" s="67"/>
      <c r="G5" s="28"/>
      <c r="H5" s="30"/>
      <c r="I5" s="82"/>
      <c r="J5" s="30"/>
      <c r="K5" s="85"/>
      <c r="L5" s="30"/>
      <c r="N5" s="84"/>
      <c r="O5" s="114"/>
      <c r="P5" s="129"/>
      <c r="Q5" s="62"/>
    </row>
    <row r="6" spans="4:12" ht="18">
      <c r="D6" s="2" t="s">
        <v>0</v>
      </c>
      <c r="G6" s="6"/>
      <c r="H6" s="60"/>
      <c r="I6" s="84"/>
      <c r="J6" s="60"/>
      <c r="L6" s="60"/>
    </row>
    <row r="7" spans="4:17" ht="18">
      <c r="D7" s="3" t="s">
        <v>34</v>
      </c>
      <c r="E7" s="3" t="s">
        <v>78</v>
      </c>
      <c r="F7" s="3" t="s">
        <v>119</v>
      </c>
      <c r="G7" s="3" t="s">
        <v>33</v>
      </c>
      <c r="H7" s="16">
        <v>53.2</v>
      </c>
      <c r="J7" s="16">
        <f>184.1+11.8</f>
        <v>195.9</v>
      </c>
      <c r="L7" s="16">
        <v>245</v>
      </c>
      <c r="O7" s="116">
        <v>245</v>
      </c>
      <c r="Q7" s="60">
        <v>186</v>
      </c>
    </row>
    <row r="8" spans="4:12" ht="18">
      <c r="D8" s="2" t="s">
        <v>6</v>
      </c>
      <c r="G8" s="6"/>
      <c r="H8" s="60"/>
      <c r="I8" s="84"/>
      <c r="J8" s="60"/>
      <c r="L8" s="60"/>
    </row>
    <row r="9" spans="4:17" ht="18">
      <c r="D9" s="3" t="s">
        <v>98</v>
      </c>
      <c r="E9" s="3" t="s">
        <v>78</v>
      </c>
      <c r="F9" s="3" t="s">
        <v>120</v>
      </c>
      <c r="G9" s="3" t="s">
        <v>35</v>
      </c>
      <c r="H9" s="16">
        <v>73.5</v>
      </c>
      <c r="I9" s="84"/>
      <c r="J9" s="16">
        <f>113.7+9.8-J10</f>
        <v>83.5</v>
      </c>
      <c r="L9" s="16">
        <v>54</v>
      </c>
      <c r="O9" s="116">
        <v>54</v>
      </c>
      <c r="Q9" s="60">
        <v>55</v>
      </c>
    </row>
    <row r="10" spans="1:17" s="3" customFormat="1" ht="18">
      <c r="A10" s="7"/>
      <c r="C10" s="2"/>
      <c r="D10" s="2" t="s">
        <v>94</v>
      </c>
      <c r="E10" s="3" t="s">
        <v>78</v>
      </c>
      <c r="F10" s="3" t="s">
        <v>121</v>
      </c>
      <c r="G10" s="3" t="s">
        <v>95</v>
      </c>
      <c r="H10" s="16">
        <v>0</v>
      </c>
      <c r="I10" s="84"/>
      <c r="J10" s="16">
        <v>40</v>
      </c>
      <c r="K10" s="85"/>
      <c r="L10" s="16">
        <v>50</v>
      </c>
      <c r="N10" s="84"/>
      <c r="O10" s="116">
        <v>50</v>
      </c>
      <c r="P10" s="129"/>
      <c r="Q10" s="60">
        <v>50</v>
      </c>
    </row>
    <row r="11" spans="4:9" ht="18">
      <c r="D11" s="2" t="s">
        <v>72</v>
      </c>
      <c r="G11" s="3"/>
      <c r="I11" s="84"/>
    </row>
    <row r="12" spans="4:18" ht="18">
      <c r="D12" s="69" t="s">
        <v>73</v>
      </c>
      <c r="E12" s="69" t="s">
        <v>74</v>
      </c>
      <c r="F12" s="69"/>
      <c r="G12" s="69"/>
      <c r="H12" s="17">
        <v>378</v>
      </c>
      <c r="I12" s="84"/>
      <c r="J12" s="17">
        <v>514</v>
      </c>
      <c r="L12" s="17">
        <v>532</v>
      </c>
      <c r="O12" s="117">
        <v>433</v>
      </c>
      <c r="P12" s="129" t="s">
        <v>115</v>
      </c>
      <c r="Q12" s="63">
        <v>460</v>
      </c>
      <c r="R12" t="s">
        <v>118</v>
      </c>
    </row>
    <row r="13" spans="4:17" ht="18">
      <c r="D13" s="21" t="s">
        <v>75</v>
      </c>
      <c r="E13" s="69"/>
      <c r="F13" s="69"/>
      <c r="G13" s="69"/>
      <c r="H13" s="17"/>
      <c r="I13" s="84"/>
      <c r="J13" s="17"/>
      <c r="L13" s="17"/>
      <c r="O13" s="117"/>
      <c r="Q13" s="63"/>
    </row>
    <row r="14" spans="4:17" ht="18">
      <c r="D14" s="69" t="s">
        <v>76</v>
      </c>
      <c r="E14" s="69" t="s">
        <v>74</v>
      </c>
      <c r="F14" s="69"/>
      <c r="G14" s="69"/>
      <c r="H14" s="17">
        <v>37</v>
      </c>
      <c r="I14" s="84"/>
      <c r="J14" s="17">
        <v>37</v>
      </c>
      <c r="L14" s="17">
        <v>41</v>
      </c>
      <c r="O14" s="117">
        <v>40</v>
      </c>
      <c r="Q14" s="63">
        <v>40</v>
      </c>
    </row>
    <row r="15" spans="4:17" ht="18">
      <c r="D15" s="69" t="s">
        <v>77</v>
      </c>
      <c r="E15" s="69" t="s">
        <v>74</v>
      </c>
      <c r="F15" s="69"/>
      <c r="G15" s="69"/>
      <c r="H15" s="17">
        <v>56</v>
      </c>
      <c r="I15" s="84"/>
      <c r="J15" s="17">
        <v>56</v>
      </c>
      <c r="L15" s="17">
        <v>61</v>
      </c>
      <c r="O15" s="117">
        <v>60</v>
      </c>
      <c r="Q15" s="63">
        <v>75</v>
      </c>
    </row>
    <row r="16" spans="2:17" ht="18">
      <c r="B16" s="45" t="s">
        <v>79</v>
      </c>
      <c r="D16" s="69"/>
      <c r="E16" s="69"/>
      <c r="F16" s="69"/>
      <c r="G16" s="69"/>
      <c r="H16" s="17"/>
      <c r="I16" s="84"/>
      <c r="J16" s="17"/>
      <c r="L16" s="17"/>
      <c r="O16" s="117"/>
      <c r="Q16" s="63"/>
    </row>
    <row r="17" spans="4:17" ht="18">
      <c r="D17" s="21" t="s">
        <v>80</v>
      </c>
      <c r="E17" s="69" t="s">
        <v>74</v>
      </c>
      <c r="F17" s="69"/>
      <c r="G17" s="69"/>
      <c r="H17" s="17">
        <v>250</v>
      </c>
      <c r="I17" s="84"/>
      <c r="J17" s="17">
        <v>260</v>
      </c>
      <c r="L17" s="17">
        <v>500</v>
      </c>
      <c r="O17" s="118">
        <v>289</v>
      </c>
      <c r="P17" s="129" t="s">
        <v>112</v>
      </c>
      <c r="Q17" s="63">
        <v>280</v>
      </c>
    </row>
    <row r="18" spans="2:17" ht="18">
      <c r="B18" s="45" t="s">
        <v>23</v>
      </c>
      <c r="D18" s="69"/>
      <c r="E18" s="69"/>
      <c r="F18" s="69"/>
      <c r="G18" s="64"/>
      <c r="H18" s="63"/>
      <c r="I18" s="84"/>
      <c r="J18" s="63"/>
      <c r="L18" s="63"/>
      <c r="O18" s="117"/>
      <c r="Q18" s="63"/>
    </row>
    <row r="19" spans="4:18" ht="18">
      <c r="D19" s="21" t="s">
        <v>16</v>
      </c>
      <c r="E19" s="69" t="s">
        <v>78</v>
      </c>
      <c r="F19" s="69"/>
      <c r="G19" s="64"/>
      <c r="H19" s="17">
        <f>898.2+63.4-(1.29*(47.9+78.9))</f>
        <v>798.028</v>
      </c>
      <c r="I19" s="84"/>
      <c r="J19" s="17">
        <v>739.86</v>
      </c>
      <c r="L19" s="17">
        <f>J19*1.035</f>
        <v>765.7551</v>
      </c>
      <c r="O19" s="118">
        <f>6/9*L19</f>
        <v>510.50339999999994</v>
      </c>
      <c r="P19" s="129" t="s">
        <v>114</v>
      </c>
      <c r="Q19" s="63">
        <f>O19*1.0475</f>
        <v>534.7523115</v>
      </c>
      <c r="R19" t="s">
        <v>135</v>
      </c>
    </row>
    <row r="20" spans="1:17" ht="18">
      <c r="A20" s="52"/>
      <c r="C20" s="1"/>
      <c r="D20" s="15" t="s">
        <v>104</v>
      </c>
      <c r="E20" s="69"/>
      <c r="F20" s="69"/>
      <c r="G20" s="64"/>
      <c r="H20" s="63"/>
      <c r="I20" s="84"/>
      <c r="J20" s="63"/>
      <c r="L20" s="63"/>
      <c r="O20" s="117"/>
      <c r="P20" s="129" t="s">
        <v>113</v>
      </c>
      <c r="Q20" s="63"/>
    </row>
    <row r="21" spans="1:18" ht="18">
      <c r="A21" s="52"/>
      <c r="C21" s="1"/>
      <c r="D21" s="21" t="s">
        <v>81</v>
      </c>
      <c r="E21" s="69" t="s">
        <v>74</v>
      </c>
      <c r="F21" s="69"/>
      <c r="G21" s="69"/>
      <c r="H21" s="17">
        <v>89.2</v>
      </c>
      <c r="I21" s="84"/>
      <c r="J21" s="17">
        <v>91.9</v>
      </c>
      <c r="L21" s="17">
        <v>96.1</v>
      </c>
      <c r="O21" s="117">
        <v>96.1</v>
      </c>
      <c r="Q21" s="63">
        <v>99</v>
      </c>
      <c r="R21" t="s">
        <v>117</v>
      </c>
    </row>
    <row r="22" spans="1:17" ht="18">
      <c r="A22" s="52"/>
      <c r="C22" s="1"/>
      <c r="D22" s="21" t="s">
        <v>82</v>
      </c>
      <c r="E22" s="69" t="s">
        <v>74</v>
      </c>
      <c r="F22" s="69"/>
      <c r="G22" s="69"/>
      <c r="H22" s="17">
        <v>42.6</v>
      </c>
      <c r="I22" s="84"/>
      <c r="J22" s="17">
        <v>43.9</v>
      </c>
      <c r="L22" s="17">
        <v>45.9</v>
      </c>
      <c r="O22" s="117">
        <v>45.9</v>
      </c>
      <c r="Q22" s="63">
        <v>47.3</v>
      </c>
    </row>
    <row r="23" spans="1:17" ht="18">
      <c r="A23" s="52"/>
      <c r="C23" s="1"/>
      <c r="D23" s="21" t="s">
        <v>83</v>
      </c>
      <c r="E23" s="69" t="s">
        <v>74</v>
      </c>
      <c r="F23" s="69"/>
      <c r="G23" s="69"/>
      <c r="H23" s="17">
        <v>178.4</v>
      </c>
      <c r="I23" s="84"/>
      <c r="J23" s="17">
        <v>183.8</v>
      </c>
      <c r="L23" s="17">
        <v>192.2</v>
      </c>
      <c r="O23" s="117">
        <v>192.2</v>
      </c>
      <c r="Q23" s="63">
        <v>198</v>
      </c>
    </row>
    <row r="24" spans="1:17" ht="18">
      <c r="A24" s="52"/>
      <c r="C24" s="1"/>
      <c r="D24" s="21" t="s">
        <v>84</v>
      </c>
      <c r="E24" s="69" t="s">
        <v>74</v>
      </c>
      <c r="F24" s="69"/>
      <c r="G24" s="69"/>
      <c r="H24" s="17">
        <v>89.2</v>
      </c>
      <c r="I24" s="84"/>
      <c r="J24" s="17">
        <v>91.9</v>
      </c>
      <c r="L24" s="17">
        <v>96.1</v>
      </c>
      <c r="O24" s="117">
        <v>96.1</v>
      </c>
      <c r="Q24" s="63">
        <v>99</v>
      </c>
    </row>
    <row r="25" spans="1:12" ht="18">
      <c r="A25" s="51" t="s">
        <v>24</v>
      </c>
      <c r="G25" s="6"/>
      <c r="H25" s="60"/>
      <c r="I25" s="84"/>
      <c r="J25" s="60"/>
      <c r="L25" s="60"/>
    </row>
    <row r="26" spans="2:12" ht="18">
      <c r="B26" s="4" t="s">
        <v>32</v>
      </c>
      <c r="E26" s="3" t="s">
        <v>13</v>
      </c>
      <c r="G26" s="6"/>
      <c r="H26" s="60"/>
      <c r="I26" s="84"/>
      <c r="J26" s="60"/>
      <c r="L26" s="60"/>
    </row>
    <row r="27" spans="1:12" ht="18">
      <c r="A27" s="51" t="s">
        <v>25</v>
      </c>
      <c r="G27" s="6"/>
      <c r="H27" s="60"/>
      <c r="I27" s="84"/>
      <c r="J27" s="60"/>
      <c r="L27" s="60"/>
    </row>
    <row r="28" spans="1:17" s="4" customFormat="1" ht="18">
      <c r="A28" s="46"/>
      <c r="B28" s="47" t="s">
        <v>26</v>
      </c>
      <c r="C28" s="27"/>
      <c r="D28" s="28"/>
      <c r="E28" s="67"/>
      <c r="F28" s="67"/>
      <c r="G28" s="61"/>
      <c r="H28" s="62"/>
      <c r="I28" s="84"/>
      <c r="J28" s="62"/>
      <c r="K28" s="85"/>
      <c r="L28" s="62"/>
      <c r="N28" s="84"/>
      <c r="O28" s="114"/>
      <c r="P28" s="129"/>
      <c r="Q28" s="62"/>
    </row>
    <row r="29" spans="4:17" ht="18">
      <c r="D29" s="2" t="s">
        <v>27</v>
      </c>
      <c r="E29" s="3" t="s">
        <v>78</v>
      </c>
      <c r="F29" s="3" t="s">
        <v>122</v>
      </c>
      <c r="G29" s="3" t="s">
        <v>36</v>
      </c>
      <c r="H29" s="16">
        <v>142.5</v>
      </c>
      <c r="I29" s="84"/>
      <c r="J29" s="16">
        <f>111.1+64-41.5</f>
        <v>133.6</v>
      </c>
      <c r="L29" s="16">
        <v>124</v>
      </c>
      <c r="O29" s="116">
        <v>124</v>
      </c>
      <c r="Q29" s="60">
        <v>65</v>
      </c>
    </row>
    <row r="30" spans="4:17" ht="18">
      <c r="D30" s="2" t="s">
        <v>51</v>
      </c>
      <c r="H30" s="79"/>
      <c r="I30" s="84"/>
      <c r="J30" s="79"/>
      <c r="L30" s="79"/>
      <c r="O30" s="119"/>
      <c r="Q30" s="106"/>
    </row>
    <row r="31" spans="4:17" ht="18">
      <c r="D31" s="4" t="s">
        <v>44</v>
      </c>
      <c r="E31" s="3" t="s">
        <v>78</v>
      </c>
      <c r="F31" s="3" t="s">
        <v>123</v>
      </c>
      <c r="G31" t="s">
        <v>48</v>
      </c>
      <c r="H31" s="16">
        <v>139.7</v>
      </c>
      <c r="I31" s="84"/>
      <c r="J31" s="16">
        <f>41.3-16</f>
        <v>25.299999999999997</v>
      </c>
      <c r="L31" s="16">
        <v>38</v>
      </c>
      <c r="O31" s="118">
        <v>0</v>
      </c>
      <c r="P31" s="129" t="s">
        <v>108</v>
      </c>
      <c r="Q31" s="60">
        <v>0</v>
      </c>
    </row>
    <row r="32" spans="4:17" ht="18">
      <c r="D32" s="4" t="s">
        <v>45</v>
      </c>
      <c r="E32" s="3" t="s">
        <v>78</v>
      </c>
      <c r="F32" s="3" t="s">
        <v>124</v>
      </c>
      <c r="G32" t="s">
        <v>39</v>
      </c>
      <c r="H32" s="16">
        <f>(167.7-144.8)</f>
        <v>22.899999999999977</v>
      </c>
      <c r="I32" s="84"/>
      <c r="J32" s="16">
        <f>25.3+30.8-64.7-J56</f>
        <v>-18</v>
      </c>
      <c r="L32" s="16">
        <v>9</v>
      </c>
      <c r="O32" s="118">
        <v>0</v>
      </c>
      <c r="P32" s="129" t="s">
        <v>109</v>
      </c>
      <c r="Q32" s="60">
        <v>0</v>
      </c>
    </row>
    <row r="33" spans="4:17" ht="18">
      <c r="D33" s="4" t="s">
        <v>49</v>
      </c>
      <c r="E33" s="3" t="s">
        <v>78</v>
      </c>
      <c r="F33" s="3" t="s">
        <v>125</v>
      </c>
      <c r="G33" t="s">
        <v>50</v>
      </c>
      <c r="H33" s="16">
        <v>190.5</v>
      </c>
      <c r="I33" s="84"/>
      <c r="J33" s="16">
        <f>109.8+61.1-0.4</f>
        <v>170.5</v>
      </c>
      <c r="L33" s="16">
        <v>85</v>
      </c>
      <c r="O33" s="118">
        <v>0</v>
      </c>
      <c r="Q33" s="60">
        <v>0</v>
      </c>
    </row>
    <row r="34" spans="4:17" ht="18">
      <c r="D34" s="4" t="s">
        <v>46</v>
      </c>
      <c r="E34" s="3" t="s">
        <v>78</v>
      </c>
      <c r="F34" s="3" t="s">
        <v>126</v>
      </c>
      <c r="G34" t="s">
        <v>52</v>
      </c>
      <c r="H34" s="16">
        <v>27.5</v>
      </c>
      <c r="I34" s="84"/>
      <c r="J34" s="16">
        <f>14.8+0.1-1.3</f>
        <v>13.6</v>
      </c>
      <c r="L34" s="16">
        <v>35</v>
      </c>
      <c r="O34" s="118">
        <v>0</v>
      </c>
      <c r="Q34" s="60">
        <v>0</v>
      </c>
    </row>
    <row r="35" spans="4:17" ht="18">
      <c r="D35" s="4" t="s">
        <v>53</v>
      </c>
      <c r="E35" s="3" t="s">
        <v>78</v>
      </c>
      <c r="F35" s="3" t="s">
        <v>139</v>
      </c>
      <c r="G35" t="s">
        <v>54</v>
      </c>
      <c r="H35" s="16">
        <f>0.2+0.3</f>
        <v>0.5</v>
      </c>
      <c r="I35" s="84"/>
      <c r="J35" s="16">
        <f>14.1</f>
        <v>14.1</v>
      </c>
      <c r="L35" s="16">
        <f>24</f>
        <v>24</v>
      </c>
      <c r="O35" s="118">
        <v>0</v>
      </c>
      <c r="Q35" s="60">
        <v>0</v>
      </c>
    </row>
    <row r="36" spans="4:17" ht="18">
      <c r="D36" s="4" t="s">
        <v>42</v>
      </c>
      <c r="E36" s="3" t="s">
        <v>78</v>
      </c>
      <c r="F36" s="3" t="s">
        <v>127</v>
      </c>
      <c r="G36" s="3" t="s">
        <v>43</v>
      </c>
      <c r="H36" s="16">
        <v>10.5</v>
      </c>
      <c r="I36" s="84"/>
      <c r="J36" s="16">
        <f>36.7+0.1-6.4</f>
        <v>30.400000000000006</v>
      </c>
      <c r="L36" s="16">
        <v>30</v>
      </c>
      <c r="O36" s="118">
        <v>0</v>
      </c>
      <c r="Q36" s="60">
        <v>0</v>
      </c>
    </row>
    <row r="37" spans="4:17" ht="18">
      <c r="D37" s="4" t="s">
        <v>47</v>
      </c>
      <c r="E37" s="3" t="s">
        <v>78</v>
      </c>
      <c r="G37" s="3" t="s">
        <v>56</v>
      </c>
      <c r="H37" s="16">
        <f>34.5+52.8+19.1</f>
        <v>106.4</v>
      </c>
      <c r="I37" s="84"/>
      <c r="J37" s="16">
        <f>76.3+152.3+20.9+34.1+116.3+13-82.6-21.8-125</f>
        <v>183.50000000000006</v>
      </c>
      <c r="L37" s="16">
        <f>174+82+5</f>
        <v>261</v>
      </c>
      <c r="O37" s="118">
        <v>0</v>
      </c>
      <c r="Q37" s="60">
        <v>0</v>
      </c>
    </row>
    <row r="38" spans="4:17" ht="18">
      <c r="D38" s="4" t="s">
        <v>93</v>
      </c>
      <c r="E38" s="3" t="s">
        <v>78</v>
      </c>
      <c r="F38" s="3" t="s">
        <v>128</v>
      </c>
      <c r="G38" s="3" t="s">
        <v>138</v>
      </c>
      <c r="I38" s="84"/>
      <c r="J38" s="16">
        <f>323.5+26.3-9-J55</f>
        <v>132.60000000000002</v>
      </c>
      <c r="L38" s="16">
        <f>314-L55</f>
        <v>88</v>
      </c>
      <c r="O38" s="116">
        <v>88</v>
      </c>
      <c r="Q38" s="60">
        <v>0</v>
      </c>
    </row>
    <row r="39" spans="4:17" ht="18">
      <c r="D39" s="2" t="s">
        <v>14</v>
      </c>
      <c r="G39" s="6"/>
      <c r="H39" s="16">
        <f>166.8+219.3</f>
        <v>386.1</v>
      </c>
      <c r="I39" s="84"/>
      <c r="J39" s="16">
        <v>691.45</v>
      </c>
      <c r="L39" s="16">
        <f>J39*1.035</f>
        <v>715.65075</v>
      </c>
      <c r="O39" s="118">
        <v>0</v>
      </c>
      <c r="P39" s="129" t="s">
        <v>146</v>
      </c>
      <c r="Q39" s="60">
        <f>O39*1.0475</f>
        <v>0</v>
      </c>
    </row>
    <row r="40" spans="1:16" ht="18">
      <c r="A40" s="52"/>
      <c r="C40" s="1"/>
      <c r="D40" s="1" t="s">
        <v>105</v>
      </c>
      <c r="G40" s="6"/>
      <c r="H40" s="60"/>
      <c r="I40" s="84"/>
      <c r="J40" s="60"/>
      <c r="L40" s="60"/>
      <c r="P40" s="129" t="s">
        <v>155</v>
      </c>
    </row>
    <row r="41" spans="1:17" s="4" customFormat="1" ht="18">
      <c r="A41" s="46"/>
      <c r="B41" s="47" t="s">
        <v>28</v>
      </c>
      <c r="C41" s="27"/>
      <c r="D41" s="28"/>
      <c r="E41" s="67"/>
      <c r="F41" s="67"/>
      <c r="G41" s="61"/>
      <c r="H41" s="62"/>
      <c r="I41" s="84"/>
      <c r="J41" s="62"/>
      <c r="K41" s="85"/>
      <c r="L41" s="62"/>
      <c r="N41" s="84"/>
      <c r="O41" s="114"/>
      <c r="P41" s="129"/>
      <c r="Q41" s="62"/>
    </row>
    <row r="42" spans="4:17" ht="18">
      <c r="D42" s="2" t="s">
        <v>55</v>
      </c>
      <c r="F42" s="3" t="s">
        <v>130</v>
      </c>
      <c r="G42" s="3" t="s">
        <v>58</v>
      </c>
      <c r="H42" s="16">
        <v>127.1</v>
      </c>
      <c r="I42" s="84"/>
      <c r="J42" s="16">
        <f>0.8+141.6+9.8-11.5</f>
        <v>140.70000000000002</v>
      </c>
      <c r="L42" s="16">
        <f>7+153</f>
        <v>160</v>
      </c>
      <c r="O42" s="116">
        <f>7+153</f>
        <v>160</v>
      </c>
      <c r="Q42" s="60">
        <f>5+103</f>
        <v>108</v>
      </c>
    </row>
    <row r="43" spans="1:17" ht="18">
      <c r="A43" s="52"/>
      <c r="C43" s="1"/>
      <c r="D43" s="2" t="s">
        <v>71</v>
      </c>
      <c r="F43" s="3" t="s">
        <v>129</v>
      </c>
      <c r="G43" s="3" t="s">
        <v>69</v>
      </c>
      <c r="H43" s="16">
        <v>94.7</v>
      </c>
      <c r="I43" s="84"/>
      <c r="J43" s="16">
        <f>28.7+0.2-0.2</f>
        <v>28.7</v>
      </c>
      <c r="L43" s="16">
        <v>31</v>
      </c>
      <c r="O43" s="116">
        <v>31</v>
      </c>
      <c r="Q43" s="60">
        <v>21</v>
      </c>
    </row>
    <row r="44" spans="4:17" ht="18">
      <c r="D44" s="2" t="s">
        <v>12</v>
      </c>
      <c r="G44" s="6"/>
      <c r="H44" s="60"/>
      <c r="I44" s="84"/>
      <c r="J44" s="60"/>
      <c r="L44" s="60" t="s">
        <v>13</v>
      </c>
      <c r="O44" s="116" t="s">
        <v>13</v>
      </c>
      <c r="Q44" s="60" t="s">
        <v>13</v>
      </c>
    </row>
    <row r="45" spans="1:17" ht="18">
      <c r="A45" s="52"/>
      <c r="C45" s="1"/>
      <c r="D45" s="1" t="s">
        <v>106</v>
      </c>
      <c r="E45" s="3" t="s">
        <v>78</v>
      </c>
      <c r="G45" s="6"/>
      <c r="H45" s="16">
        <f>447.2+484.6</f>
        <v>931.8</v>
      </c>
      <c r="I45" s="84"/>
      <c r="J45" s="16">
        <v>1039.84</v>
      </c>
      <c r="L45" s="16">
        <f>J45*1.035</f>
        <v>1076.2343999999998</v>
      </c>
      <c r="O45" s="118">
        <v>0</v>
      </c>
      <c r="P45" s="129" t="s">
        <v>147</v>
      </c>
      <c r="Q45" s="60">
        <f>1.0475*O45</f>
        <v>0</v>
      </c>
    </row>
    <row r="46" spans="1:16" ht="18">
      <c r="A46" s="52"/>
      <c r="C46" s="1"/>
      <c r="G46" s="6"/>
      <c r="I46" s="84"/>
      <c r="O46" s="117"/>
      <c r="P46" s="129" t="s">
        <v>154</v>
      </c>
    </row>
    <row r="47" spans="1:15" ht="18">
      <c r="A47" s="52"/>
      <c r="C47" s="1"/>
      <c r="G47" s="6"/>
      <c r="I47" s="84"/>
      <c r="O47" s="117"/>
    </row>
    <row r="48" spans="1:17" ht="18">
      <c r="A48" s="52"/>
      <c r="C48" s="1"/>
      <c r="D48" s="1" t="s">
        <v>99</v>
      </c>
      <c r="G48" s="6"/>
      <c r="H48" s="16">
        <f>2*106</f>
        <v>212</v>
      </c>
      <c r="I48" s="84"/>
      <c r="J48" s="16">
        <f>153.979</f>
        <v>153.979</v>
      </c>
      <c r="L48" s="16">
        <f>10*2</f>
        <v>20</v>
      </c>
      <c r="O48" s="116">
        <f>10*2</f>
        <v>20</v>
      </c>
      <c r="P48" s="129" t="s">
        <v>152</v>
      </c>
      <c r="Q48" s="60">
        <v>120</v>
      </c>
    </row>
    <row r="49" spans="1:16" ht="18">
      <c r="A49" s="52"/>
      <c r="C49" s="1"/>
      <c r="G49" s="6"/>
      <c r="I49" s="84"/>
      <c r="P49" s="129" t="s">
        <v>153</v>
      </c>
    </row>
    <row r="50" spans="4:17" ht="18">
      <c r="D50" s="2" t="s">
        <v>61</v>
      </c>
      <c r="E50" s="3" t="s">
        <v>78</v>
      </c>
      <c r="F50" s="3" t="s">
        <v>131</v>
      </c>
      <c r="G50" s="3" t="s">
        <v>57</v>
      </c>
      <c r="H50" s="16">
        <v>5.3</v>
      </c>
      <c r="I50" s="84"/>
      <c r="J50" s="16">
        <v>0.5</v>
      </c>
      <c r="L50" s="16">
        <v>7</v>
      </c>
      <c r="O50" s="116">
        <v>7</v>
      </c>
      <c r="Q50" s="60">
        <v>5</v>
      </c>
    </row>
    <row r="51" spans="4:17" ht="18">
      <c r="D51" s="2" t="s">
        <v>60</v>
      </c>
      <c r="E51" s="3" t="s">
        <v>78</v>
      </c>
      <c r="F51" s="3" t="s">
        <v>13</v>
      </c>
      <c r="G51" s="3" t="s">
        <v>59</v>
      </c>
      <c r="H51" s="16">
        <v>4.1</v>
      </c>
      <c r="I51" s="84"/>
      <c r="J51" s="16">
        <f>3.8</f>
        <v>3.8</v>
      </c>
      <c r="L51" s="16">
        <v>0</v>
      </c>
      <c r="O51" s="116">
        <v>0</v>
      </c>
      <c r="Q51" s="60">
        <v>0</v>
      </c>
    </row>
    <row r="52" spans="4:17" ht="18">
      <c r="D52" s="2" t="s">
        <v>70</v>
      </c>
      <c r="H52" s="79"/>
      <c r="I52" s="84"/>
      <c r="J52" s="79"/>
      <c r="L52" s="79"/>
      <c r="O52" s="119"/>
      <c r="Q52" s="106"/>
    </row>
    <row r="53" spans="4:17" ht="18">
      <c r="D53" s="4" t="s">
        <v>42</v>
      </c>
      <c r="E53" s="3" t="s">
        <v>78</v>
      </c>
      <c r="F53" s="3" t="s">
        <v>136</v>
      </c>
      <c r="G53" s="3" t="s">
        <v>41</v>
      </c>
      <c r="H53" s="16">
        <f>(262.5-46.8)</f>
        <v>215.7</v>
      </c>
      <c r="I53" s="84"/>
      <c r="J53" s="16">
        <f>97+88.1-19-J57</f>
        <v>39.2</v>
      </c>
      <c r="L53" s="16">
        <f>126-L57</f>
        <v>76</v>
      </c>
      <c r="O53" s="118">
        <v>0</v>
      </c>
      <c r="P53" s="129" t="s">
        <v>108</v>
      </c>
      <c r="Q53" s="60">
        <v>0</v>
      </c>
    </row>
    <row r="54" spans="1:17" s="4" customFormat="1" ht="18">
      <c r="A54" s="46"/>
      <c r="B54" s="47" t="s">
        <v>29</v>
      </c>
      <c r="C54" s="27"/>
      <c r="D54" s="28"/>
      <c r="E54" s="67"/>
      <c r="F54" s="67"/>
      <c r="G54" s="61"/>
      <c r="H54" s="62"/>
      <c r="I54" s="84"/>
      <c r="J54" s="62"/>
      <c r="K54" s="85"/>
      <c r="L54" s="62"/>
      <c r="N54" s="84"/>
      <c r="O54" s="114"/>
      <c r="P54" s="129" t="s">
        <v>110</v>
      </c>
      <c r="Q54" s="62"/>
    </row>
    <row r="55" spans="4:17" ht="18">
      <c r="D55" s="2" t="s">
        <v>37</v>
      </c>
      <c r="E55" s="3" t="s">
        <v>78</v>
      </c>
      <c r="F55" s="3" t="s">
        <v>128</v>
      </c>
      <c r="G55" s="3" t="s">
        <v>137</v>
      </c>
      <c r="H55" s="16">
        <v>276.3</v>
      </c>
      <c r="I55" s="84"/>
      <c r="J55" s="16">
        <v>208.2</v>
      </c>
      <c r="L55" s="16">
        <v>226</v>
      </c>
      <c r="O55" s="116">
        <v>226</v>
      </c>
      <c r="Q55" s="60">
        <f>222+49+37</f>
        <v>308</v>
      </c>
    </row>
    <row r="56" spans="4:18" ht="18">
      <c r="D56" s="2" t="s">
        <v>38</v>
      </c>
      <c r="E56" s="3" t="s">
        <v>78</v>
      </c>
      <c r="G56" s="3" t="s">
        <v>39</v>
      </c>
      <c r="H56" s="16">
        <v>144.8</v>
      </c>
      <c r="I56" s="84"/>
      <c r="J56" s="16">
        <f>-8.8+18.2</f>
        <v>9.399999999999999</v>
      </c>
      <c r="L56" s="16">
        <v>25</v>
      </c>
      <c r="O56" s="116">
        <v>25</v>
      </c>
      <c r="Q56" s="60">
        <v>0</v>
      </c>
      <c r="R56" t="s">
        <v>140</v>
      </c>
    </row>
    <row r="57" spans="4:17" ht="18">
      <c r="D57" s="2" t="s">
        <v>40</v>
      </c>
      <c r="E57" s="3" t="s">
        <v>78</v>
      </c>
      <c r="F57" s="3" t="s">
        <v>136</v>
      </c>
      <c r="G57" s="3" t="s">
        <v>41</v>
      </c>
      <c r="H57" s="16">
        <v>46.8</v>
      </c>
      <c r="I57" s="84"/>
      <c r="J57" s="16">
        <f>39.8+87.1</f>
        <v>126.89999999999999</v>
      </c>
      <c r="L57" s="16">
        <v>50</v>
      </c>
      <c r="O57" s="116">
        <v>50</v>
      </c>
      <c r="Q57" s="60">
        <f>70+14</f>
        <v>84</v>
      </c>
    </row>
    <row r="58" spans="1:17" s="98" customFormat="1" ht="9" customHeight="1" thickBot="1">
      <c r="A58" s="92"/>
      <c r="B58" s="93"/>
      <c r="C58" s="94"/>
      <c r="D58" s="95"/>
      <c r="E58" s="96"/>
      <c r="F58" s="96"/>
      <c r="G58" s="97"/>
      <c r="H58" s="90"/>
      <c r="I58" s="84"/>
      <c r="J58" s="90"/>
      <c r="K58" s="85"/>
      <c r="L58" s="90"/>
      <c r="N58" s="84"/>
      <c r="O58" s="120"/>
      <c r="P58" s="130"/>
      <c r="Q58" s="107"/>
    </row>
    <row r="59" spans="1:17" s="13" customFormat="1" ht="20.25">
      <c r="A59" s="53"/>
      <c r="B59" s="66"/>
      <c r="D59" s="41" t="s">
        <v>31</v>
      </c>
      <c r="E59" s="41"/>
      <c r="F59" s="41"/>
      <c r="G59" s="38"/>
      <c r="H59" s="80">
        <f>SUM(H4:H58)</f>
        <v>5130.328</v>
      </c>
      <c r="I59" s="86"/>
      <c r="J59" s="80">
        <f>SUM(J4:J58)</f>
        <v>5466.0289999999995</v>
      </c>
      <c r="K59" s="89"/>
      <c r="L59" s="80">
        <f>SUM(L4:L58)</f>
        <v>5759.94025</v>
      </c>
      <c r="N59" s="86"/>
      <c r="O59" s="121">
        <f>SUM(O4:O58)</f>
        <v>2842.8034000000002</v>
      </c>
      <c r="P59" s="131"/>
      <c r="Q59" s="108">
        <f>SUM(Q4:Q58)</f>
        <v>2835.0523114999996</v>
      </c>
    </row>
    <row r="60" spans="1:17" s="40" customFormat="1" ht="23.25">
      <c r="A60" s="57"/>
      <c r="B60" s="58"/>
      <c r="D60" s="42"/>
      <c r="E60" s="68"/>
      <c r="F60" s="68"/>
      <c r="G60" s="44"/>
      <c r="H60" s="43"/>
      <c r="I60" s="84"/>
      <c r="J60" s="43"/>
      <c r="K60" s="85"/>
      <c r="L60" s="43"/>
      <c r="N60" s="84"/>
      <c r="O60" s="122"/>
      <c r="P60" s="131"/>
      <c r="Q60" s="109"/>
    </row>
    <row r="61" ht="18">
      <c r="I61" s="84"/>
    </row>
    <row r="62" spans="1:17" s="39" customFormat="1" ht="23.25">
      <c r="A62" s="36" t="s">
        <v>89</v>
      </c>
      <c r="B62" s="40"/>
      <c r="C62" s="40"/>
      <c r="E62" s="3"/>
      <c r="F62" s="3"/>
      <c r="H62" s="59"/>
      <c r="I62" s="84"/>
      <c r="J62" s="59"/>
      <c r="K62" s="85"/>
      <c r="L62" s="59"/>
      <c r="N62" s="84"/>
      <c r="O62" s="123"/>
      <c r="P62" s="129"/>
      <c r="Q62" s="110"/>
    </row>
    <row r="63" spans="1:17" s="3" customFormat="1" ht="18">
      <c r="A63" s="7"/>
      <c r="B63" s="2" t="s">
        <v>62</v>
      </c>
      <c r="C63" s="2"/>
      <c r="D63" s="1"/>
      <c r="E63" s="3" t="s">
        <v>78</v>
      </c>
      <c r="F63" s="3" t="s">
        <v>132</v>
      </c>
      <c r="G63" s="3" t="s">
        <v>63</v>
      </c>
      <c r="H63" s="16">
        <v>151.3</v>
      </c>
      <c r="I63" s="84"/>
      <c r="J63" s="16">
        <f>144.6+3.3</f>
        <v>147.9</v>
      </c>
      <c r="K63" s="85"/>
      <c r="L63" s="16">
        <v>60</v>
      </c>
      <c r="N63" s="84"/>
      <c r="O63" s="116">
        <v>60</v>
      </c>
      <c r="P63" s="129"/>
      <c r="Q63" s="60">
        <v>60</v>
      </c>
    </row>
    <row r="64" spans="1:17" s="3" customFormat="1" ht="18">
      <c r="A64" s="7"/>
      <c r="B64" s="2"/>
      <c r="C64" s="2"/>
      <c r="D64" s="1" t="s">
        <v>100</v>
      </c>
      <c r="G64" s="6"/>
      <c r="H64" s="60"/>
      <c r="I64" s="84"/>
      <c r="J64" s="60"/>
      <c r="K64" s="85"/>
      <c r="L64" s="60"/>
      <c r="N64" s="84"/>
      <c r="O64" s="116"/>
      <c r="P64" s="129"/>
      <c r="Q64" s="60"/>
    </row>
    <row r="65" spans="1:17" s="3" customFormat="1" ht="18">
      <c r="A65" s="7"/>
      <c r="B65" s="2" t="s">
        <v>64</v>
      </c>
      <c r="C65" s="2"/>
      <c r="D65" s="1"/>
      <c r="G65" s="6"/>
      <c r="H65" s="60"/>
      <c r="I65" s="84"/>
      <c r="J65" s="60"/>
      <c r="K65" s="85"/>
      <c r="L65" s="60"/>
      <c r="N65" s="84"/>
      <c r="O65" s="116"/>
      <c r="P65" s="129"/>
      <c r="Q65" s="60"/>
    </row>
    <row r="66" spans="1:17" s="3" customFormat="1" ht="18">
      <c r="A66" s="7"/>
      <c r="B66" s="2"/>
      <c r="C66" s="2"/>
      <c r="D66" s="1" t="s">
        <v>68</v>
      </c>
      <c r="E66" s="3" t="s">
        <v>78</v>
      </c>
      <c r="F66" s="3" t="s">
        <v>133</v>
      </c>
      <c r="G66" s="3" t="s">
        <v>65</v>
      </c>
      <c r="H66" s="17">
        <v>143.9</v>
      </c>
      <c r="I66" s="84"/>
      <c r="J66" s="16">
        <f>209.3+4-3.7</f>
        <v>209.60000000000002</v>
      </c>
      <c r="K66" s="85"/>
      <c r="L66" s="16">
        <v>175</v>
      </c>
      <c r="N66" s="84"/>
      <c r="O66" s="116">
        <v>175</v>
      </c>
      <c r="P66" s="129"/>
      <c r="Q66" s="60">
        <v>175</v>
      </c>
    </row>
    <row r="67" spans="2:17" s="3" customFormat="1" ht="15.75">
      <c r="B67" s="21" t="s">
        <v>101</v>
      </c>
      <c r="C67" s="21"/>
      <c r="D67" s="15"/>
      <c r="E67" s="69" t="s">
        <v>78</v>
      </c>
      <c r="F67" s="69"/>
      <c r="G67" s="64" t="s">
        <v>92</v>
      </c>
      <c r="H67" s="17" t="s">
        <v>13</v>
      </c>
      <c r="I67" s="84"/>
      <c r="J67" s="17">
        <v>90</v>
      </c>
      <c r="K67" s="85"/>
      <c r="L67" s="17">
        <v>0</v>
      </c>
      <c r="N67" s="84"/>
      <c r="O67" s="117">
        <v>0</v>
      </c>
      <c r="P67" s="129"/>
      <c r="Q67" s="63">
        <v>0</v>
      </c>
    </row>
    <row r="68" spans="2:17" s="3" customFormat="1" ht="15.75">
      <c r="B68" s="21"/>
      <c r="C68" s="21"/>
      <c r="D68" s="15"/>
      <c r="E68" s="69"/>
      <c r="F68" s="69"/>
      <c r="G68" s="64"/>
      <c r="H68" s="63"/>
      <c r="I68" s="84"/>
      <c r="J68" s="63"/>
      <c r="K68" s="85"/>
      <c r="L68" s="63"/>
      <c r="N68" s="84"/>
      <c r="O68" s="117"/>
      <c r="P68" s="129"/>
      <c r="Q68" s="63"/>
    </row>
    <row r="69" spans="2:17" s="3" customFormat="1" ht="15.75">
      <c r="B69" s="21" t="s">
        <v>30</v>
      </c>
      <c r="C69" s="21"/>
      <c r="D69" s="15"/>
      <c r="E69" s="69" t="s">
        <v>78</v>
      </c>
      <c r="F69" s="69" t="s">
        <v>134</v>
      </c>
      <c r="G69" s="69" t="s">
        <v>91</v>
      </c>
      <c r="H69" s="17">
        <v>0</v>
      </c>
      <c r="I69" s="84"/>
      <c r="J69" s="17">
        <v>0</v>
      </c>
      <c r="K69" s="85"/>
      <c r="L69" s="17">
        <v>75</v>
      </c>
      <c r="N69" s="84"/>
      <c r="O69" s="117">
        <v>75</v>
      </c>
      <c r="P69" s="129"/>
      <c r="Q69" s="63">
        <v>50</v>
      </c>
    </row>
    <row r="70" spans="2:17" s="3" customFormat="1" ht="15.75">
      <c r="B70" s="21"/>
      <c r="C70" s="21"/>
      <c r="D70" s="15"/>
      <c r="E70" s="69"/>
      <c r="F70" s="69"/>
      <c r="G70" s="64"/>
      <c r="H70" s="63"/>
      <c r="I70" s="84"/>
      <c r="J70" s="63"/>
      <c r="K70" s="85"/>
      <c r="L70" s="63"/>
      <c r="N70" s="84"/>
      <c r="O70" s="117"/>
      <c r="P70" s="129"/>
      <c r="Q70" s="63"/>
    </row>
    <row r="71" spans="1:17" s="3" customFormat="1" ht="18">
      <c r="A71" s="7"/>
      <c r="B71" s="2" t="s">
        <v>15</v>
      </c>
      <c r="C71" s="2"/>
      <c r="D71" s="1"/>
      <c r="E71" s="3" t="s">
        <v>78</v>
      </c>
      <c r="G71" s="6"/>
      <c r="H71" s="16">
        <f>66.6+79.3+43.1+(1.29*78.9)</f>
        <v>290.78099999999995</v>
      </c>
      <c r="I71" s="84"/>
      <c r="J71" s="16">
        <v>231.5</v>
      </c>
      <c r="K71" s="85"/>
      <c r="L71" s="16">
        <f>J71*1.035</f>
        <v>239.6025</v>
      </c>
      <c r="N71" s="84"/>
      <c r="O71" s="116">
        <f>L71</f>
        <v>239.6025</v>
      </c>
      <c r="P71" s="129"/>
      <c r="Q71" s="60">
        <f>O71*1.0475</f>
        <v>250.98361875</v>
      </c>
    </row>
    <row r="72" spans="1:17" s="3" customFormat="1" ht="18">
      <c r="A72" s="35"/>
      <c r="B72" s="2"/>
      <c r="C72" s="1" t="s">
        <v>67</v>
      </c>
      <c r="D72" s="1"/>
      <c r="G72" s="6"/>
      <c r="H72" s="60"/>
      <c r="I72" s="84"/>
      <c r="J72" s="60"/>
      <c r="K72" s="85"/>
      <c r="L72" s="60"/>
      <c r="N72" s="84"/>
      <c r="O72" s="116"/>
      <c r="P72" s="129"/>
      <c r="Q72" s="60"/>
    </row>
    <row r="73" spans="1:17" s="3" customFormat="1" ht="18">
      <c r="A73" s="35"/>
      <c r="B73" s="2" t="s">
        <v>85</v>
      </c>
      <c r="C73" s="1"/>
      <c r="D73" s="1"/>
      <c r="G73" s="6"/>
      <c r="H73" s="60"/>
      <c r="I73" s="84"/>
      <c r="J73" s="60"/>
      <c r="K73" s="85"/>
      <c r="L73" s="60"/>
      <c r="N73" s="84"/>
      <c r="O73" s="116"/>
      <c r="P73" s="129"/>
      <c r="Q73" s="60"/>
    </row>
    <row r="74" spans="1:17" s="3" customFormat="1" ht="18">
      <c r="A74" s="35"/>
      <c r="B74" s="2"/>
      <c r="C74" s="1"/>
      <c r="D74" s="78" t="s">
        <v>86</v>
      </c>
      <c r="E74" s="69" t="s">
        <v>74</v>
      </c>
      <c r="F74" s="69"/>
      <c r="G74" s="64"/>
      <c r="H74" s="17">
        <v>394</v>
      </c>
      <c r="I74" s="84"/>
      <c r="J74" s="17">
        <v>406</v>
      </c>
      <c r="K74" s="85"/>
      <c r="L74" s="17">
        <v>424.8</v>
      </c>
      <c r="N74" s="84"/>
      <c r="O74" s="117">
        <v>424.8</v>
      </c>
      <c r="P74" s="129"/>
      <c r="Q74" s="63">
        <v>424.8</v>
      </c>
    </row>
    <row r="75" spans="1:17" s="3" customFormat="1" ht="18">
      <c r="A75" s="35"/>
      <c r="B75" s="2"/>
      <c r="C75" s="1"/>
      <c r="D75" s="78" t="s">
        <v>87</v>
      </c>
      <c r="E75" s="69" t="s">
        <v>74</v>
      </c>
      <c r="F75" s="69"/>
      <c r="G75" s="64"/>
      <c r="H75" s="17">
        <v>89.2</v>
      </c>
      <c r="I75" s="84"/>
      <c r="J75" s="17">
        <v>91.9</v>
      </c>
      <c r="K75" s="85"/>
      <c r="L75" s="17">
        <v>96.1</v>
      </c>
      <c r="N75" s="84"/>
      <c r="O75" s="117">
        <v>96.1</v>
      </c>
      <c r="P75" s="129"/>
      <c r="Q75" s="63">
        <v>96.1</v>
      </c>
    </row>
    <row r="76" spans="1:17" s="3" customFormat="1" ht="18">
      <c r="A76" s="35"/>
      <c r="B76" s="2"/>
      <c r="C76" s="1"/>
      <c r="D76" s="78" t="s">
        <v>88</v>
      </c>
      <c r="E76" s="69" t="s">
        <v>74</v>
      </c>
      <c r="F76" s="69"/>
      <c r="G76" s="64"/>
      <c r="H76" s="17">
        <v>89.2</v>
      </c>
      <c r="I76" s="84"/>
      <c r="J76" s="17">
        <v>91.9</v>
      </c>
      <c r="K76" s="85"/>
      <c r="L76" s="17">
        <v>96.1</v>
      </c>
      <c r="N76" s="84"/>
      <c r="O76" s="117">
        <v>96.1</v>
      </c>
      <c r="P76" s="129"/>
      <c r="Q76" s="63">
        <v>96.1</v>
      </c>
    </row>
    <row r="77" spans="1:17" s="3" customFormat="1" ht="18">
      <c r="A77" s="35"/>
      <c r="B77" s="2"/>
      <c r="C77" s="1"/>
      <c r="D77" s="78"/>
      <c r="E77" s="69"/>
      <c r="F77" s="69"/>
      <c r="G77" s="64"/>
      <c r="H77" s="17"/>
      <c r="I77" s="84"/>
      <c r="J77" s="17"/>
      <c r="K77" s="85"/>
      <c r="L77" s="17"/>
      <c r="N77" s="84"/>
      <c r="O77" s="117"/>
      <c r="P77" s="129"/>
      <c r="Q77" s="63"/>
    </row>
    <row r="78" spans="2:17" ht="18">
      <c r="B78" s="2" t="s">
        <v>14</v>
      </c>
      <c r="G78" s="6"/>
      <c r="H78" s="16">
        <v>0</v>
      </c>
      <c r="I78" s="84"/>
      <c r="J78" s="16">
        <v>0</v>
      </c>
      <c r="L78" s="16">
        <f>J78*1.035</f>
        <v>0</v>
      </c>
      <c r="O78" s="118">
        <f>715.7</f>
        <v>715.7</v>
      </c>
      <c r="P78" s="129" t="s">
        <v>148</v>
      </c>
      <c r="Q78" s="60">
        <f>O78*1.0475</f>
        <v>749.6957500000001</v>
      </c>
    </row>
    <row r="79" spans="1:16" ht="18">
      <c r="A79" s="52"/>
      <c r="B79" s="1" t="s">
        <v>105</v>
      </c>
      <c r="C79" s="1"/>
      <c r="G79" s="6"/>
      <c r="H79" s="60"/>
      <c r="I79" s="84"/>
      <c r="J79" s="60"/>
      <c r="L79" s="60"/>
      <c r="P79" s="129" t="s">
        <v>149</v>
      </c>
    </row>
    <row r="80" spans="1:17" s="3" customFormat="1" ht="18">
      <c r="A80" s="35"/>
      <c r="B80" s="2"/>
      <c r="C80" s="1"/>
      <c r="D80" s="78"/>
      <c r="E80" s="69"/>
      <c r="F80" s="69"/>
      <c r="G80" s="64"/>
      <c r="H80" s="17"/>
      <c r="I80" s="84"/>
      <c r="J80" s="17"/>
      <c r="K80" s="85"/>
      <c r="L80" s="17"/>
      <c r="N80" s="84"/>
      <c r="O80" s="117"/>
      <c r="P80" s="129" t="s">
        <v>150</v>
      </c>
      <c r="Q80" s="63"/>
    </row>
    <row r="81" spans="2:17" ht="18">
      <c r="B81" s="2" t="s">
        <v>12</v>
      </c>
      <c r="G81" s="6"/>
      <c r="H81" s="60"/>
      <c r="I81" s="84"/>
      <c r="J81" s="60"/>
      <c r="L81" s="60" t="s">
        <v>13</v>
      </c>
      <c r="O81" s="116" t="s">
        <v>13</v>
      </c>
      <c r="Q81" s="60" t="s">
        <v>13</v>
      </c>
    </row>
    <row r="82" spans="1:17" ht="18">
      <c r="A82" s="52"/>
      <c r="B82" s="1" t="s">
        <v>106</v>
      </c>
      <c r="C82" s="1"/>
      <c r="E82" s="3" t="s">
        <v>78</v>
      </c>
      <c r="G82" s="6"/>
      <c r="H82" s="16">
        <v>0</v>
      </c>
      <c r="I82" s="84"/>
      <c r="J82" s="16">
        <v>0</v>
      </c>
      <c r="L82" s="16">
        <f>J82*1.035</f>
        <v>0</v>
      </c>
      <c r="O82" s="118">
        <f>(13/14)*1076.2</f>
        <v>999.3285714285715</v>
      </c>
      <c r="P82" s="129" t="s">
        <v>148</v>
      </c>
      <c r="Q82" s="60">
        <f>1.0475*O82</f>
        <v>1046.7966785714289</v>
      </c>
    </row>
    <row r="83" spans="1:17" ht="18">
      <c r="A83" s="52"/>
      <c r="B83" s="1" t="s">
        <v>99</v>
      </c>
      <c r="C83" s="1"/>
      <c r="G83" s="6"/>
      <c r="H83" s="16">
        <v>0</v>
      </c>
      <c r="I83" s="84"/>
      <c r="J83" s="16">
        <v>0</v>
      </c>
      <c r="L83" s="16">
        <v>0</v>
      </c>
      <c r="N83" s="84" t="s">
        <v>13</v>
      </c>
      <c r="O83" s="116">
        <v>0</v>
      </c>
      <c r="P83" s="129" t="s">
        <v>149</v>
      </c>
      <c r="Q83" s="60">
        <v>0</v>
      </c>
    </row>
    <row r="84" spans="1:17" s="3" customFormat="1" ht="18">
      <c r="A84" s="35"/>
      <c r="B84" s="2"/>
      <c r="C84" s="1"/>
      <c r="D84" s="78"/>
      <c r="E84" s="69"/>
      <c r="F84" s="69"/>
      <c r="G84" s="64"/>
      <c r="H84" s="17"/>
      <c r="I84" s="84"/>
      <c r="J84" s="17"/>
      <c r="K84" s="85"/>
      <c r="L84" s="17"/>
      <c r="N84" s="84"/>
      <c r="O84" s="117"/>
      <c r="P84" s="129" t="s">
        <v>150</v>
      </c>
      <c r="Q84" s="63"/>
    </row>
    <row r="85" spans="1:17" s="3" customFormat="1" ht="18">
      <c r="A85" s="35"/>
      <c r="B85" s="8" t="s">
        <v>111</v>
      </c>
      <c r="C85" s="1"/>
      <c r="D85" s="78"/>
      <c r="E85" s="69"/>
      <c r="F85" s="69"/>
      <c r="G85" s="64"/>
      <c r="H85" s="17"/>
      <c r="I85" s="84"/>
      <c r="J85" s="17"/>
      <c r="K85" s="85"/>
      <c r="L85" s="17"/>
      <c r="N85" s="84"/>
      <c r="O85" s="118">
        <f>SUM(L31:L37)+L53</f>
        <v>558</v>
      </c>
      <c r="P85" s="129"/>
      <c r="Q85" s="63">
        <f>747-60-175-50</f>
        <v>462</v>
      </c>
    </row>
    <row r="86" spans="1:17" s="3" customFormat="1" ht="18">
      <c r="A86" s="35"/>
      <c r="B86" s="2"/>
      <c r="C86" s="1"/>
      <c r="D86" s="78"/>
      <c r="E86" s="69"/>
      <c r="F86" s="69"/>
      <c r="G86" s="64"/>
      <c r="H86" s="17"/>
      <c r="I86" s="84"/>
      <c r="J86" s="17"/>
      <c r="K86" s="85"/>
      <c r="L86" s="17"/>
      <c r="N86" s="84"/>
      <c r="O86" s="117"/>
      <c r="P86" s="129"/>
      <c r="Q86" s="63"/>
    </row>
    <row r="87" spans="1:17" s="3" customFormat="1" ht="18">
      <c r="A87" s="7"/>
      <c r="B87" s="8" t="s">
        <v>17</v>
      </c>
      <c r="C87" s="2"/>
      <c r="D87" s="1"/>
      <c r="E87" s="3" t="s">
        <v>78</v>
      </c>
      <c r="G87" s="6"/>
      <c r="H87" s="16">
        <f>1.29*(47.9)</f>
        <v>61.791</v>
      </c>
      <c r="I87" s="84"/>
      <c r="J87" s="16">
        <f>0.25*(1.29*45)</f>
        <v>14.512500000000001</v>
      </c>
      <c r="K87" s="85"/>
      <c r="L87" s="16">
        <f>J87*1.035</f>
        <v>15.0204375</v>
      </c>
      <c r="N87" s="84"/>
      <c r="O87" s="116">
        <f>L87</f>
        <v>15.0204375</v>
      </c>
      <c r="P87" s="129"/>
      <c r="Q87" s="60">
        <f>O87*1.0475</f>
        <v>15.73390828125</v>
      </c>
    </row>
    <row r="88" spans="2:17" s="3" customFormat="1" ht="15.75">
      <c r="B88" s="2"/>
      <c r="C88" s="15" t="s">
        <v>66</v>
      </c>
      <c r="D88" s="15"/>
      <c r="E88" s="69"/>
      <c r="F88" s="69"/>
      <c r="G88" s="64"/>
      <c r="H88" s="63"/>
      <c r="I88" s="84"/>
      <c r="J88" s="63"/>
      <c r="K88" s="84"/>
      <c r="L88" s="63" t="s">
        <v>13</v>
      </c>
      <c r="N88" s="84"/>
      <c r="O88" s="117" t="s">
        <v>13</v>
      </c>
      <c r="P88" s="129"/>
      <c r="Q88" s="63" t="s">
        <v>13</v>
      </c>
    </row>
    <row r="89" spans="2:17" s="3" customFormat="1" ht="15.75">
      <c r="B89" s="21"/>
      <c r="C89" s="21"/>
      <c r="D89" s="15"/>
      <c r="E89" s="69"/>
      <c r="F89" s="69"/>
      <c r="G89" s="64"/>
      <c r="H89" s="63"/>
      <c r="I89" s="84"/>
      <c r="J89" s="63"/>
      <c r="K89" s="84"/>
      <c r="L89" s="63"/>
      <c r="N89" s="84"/>
      <c r="O89" s="117"/>
      <c r="P89" s="129"/>
      <c r="Q89" s="63"/>
    </row>
    <row r="90" spans="2:17" s="8" customFormat="1" ht="18">
      <c r="B90" s="8" t="s">
        <v>20</v>
      </c>
      <c r="E90" s="3" t="s">
        <v>78</v>
      </c>
      <c r="F90" s="3"/>
      <c r="G90" s="65"/>
      <c r="H90" s="16">
        <v>905</v>
      </c>
      <c r="I90" s="84"/>
      <c r="J90" s="16">
        <v>524</v>
      </c>
      <c r="K90" s="85"/>
      <c r="L90" s="16">
        <v>448</v>
      </c>
      <c r="N90" s="84"/>
      <c r="O90" s="116">
        <v>448</v>
      </c>
      <c r="P90" s="131"/>
      <c r="Q90" s="60">
        <v>450</v>
      </c>
    </row>
    <row r="91" spans="1:17" s="3" customFormat="1" ht="18.75" thickBot="1">
      <c r="A91" s="7"/>
      <c r="B91" s="24"/>
      <c r="C91" s="24"/>
      <c r="D91" s="32"/>
      <c r="E91" s="37"/>
      <c r="F91" s="37"/>
      <c r="G91" s="37"/>
      <c r="H91" s="33"/>
      <c r="I91" s="84"/>
      <c r="J91" s="33"/>
      <c r="K91" s="90"/>
      <c r="L91" s="33"/>
      <c r="N91" s="107"/>
      <c r="O91" s="124"/>
      <c r="P91" s="129"/>
      <c r="Q91" s="111"/>
    </row>
    <row r="92" spans="1:17" s="13" customFormat="1" ht="21" thickBot="1">
      <c r="A92" s="23"/>
      <c r="D92" s="41" t="s">
        <v>102</v>
      </c>
      <c r="E92" s="68"/>
      <c r="F92" s="68"/>
      <c r="G92" s="38"/>
      <c r="H92" s="80">
        <f>SUM(H62:H91)</f>
        <v>2125.172</v>
      </c>
      <c r="I92" s="86"/>
      <c r="J92" s="80">
        <f>SUM(J62:J91)</f>
        <v>1807.3125000000002</v>
      </c>
      <c r="K92" s="91"/>
      <c r="L92" s="80">
        <f>SUM(L62:L91)</f>
        <v>1629.6229374999998</v>
      </c>
      <c r="N92" s="112"/>
      <c r="O92" s="125">
        <f>SUM(O62:O91)</f>
        <v>3902.6515089285713</v>
      </c>
      <c r="P92" s="131"/>
      <c r="Q92" s="108">
        <f>SUM(Q62:Q91)</f>
        <v>3877.2099556026787</v>
      </c>
    </row>
    <row r="93" spans="2:17" s="3" customFormat="1" ht="15.75">
      <c r="B93" s="21"/>
      <c r="C93" s="21"/>
      <c r="D93" s="15"/>
      <c r="E93" s="69"/>
      <c r="F93" s="69"/>
      <c r="G93" s="64"/>
      <c r="H93" s="63"/>
      <c r="I93" s="84"/>
      <c r="J93" s="63"/>
      <c r="K93" s="84"/>
      <c r="L93" s="63"/>
      <c r="N93" s="84"/>
      <c r="O93" s="117"/>
      <c r="P93" s="129"/>
      <c r="Q93" s="63"/>
    </row>
    <row r="94" spans="2:17" s="3" customFormat="1" ht="15.75">
      <c r="B94" s="21"/>
      <c r="C94" s="21"/>
      <c r="D94" s="15"/>
      <c r="E94" s="69"/>
      <c r="F94" s="69"/>
      <c r="G94" s="64"/>
      <c r="H94" s="63"/>
      <c r="I94" s="84"/>
      <c r="J94" s="63"/>
      <c r="K94" s="84"/>
      <c r="L94" s="63"/>
      <c r="N94" s="84"/>
      <c r="O94" s="117"/>
      <c r="P94" s="129"/>
      <c r="Q94" s="63"/>
    </row>
    <row r="95" spans="2:17" s="3" customFormat="1" ht="15.75">
      <c r="B95" s="21" t="s">
        <v>97</v>
      </c>
      <c r="C95" s="21"/>
      <c r="D95" s="15"/>
      <c r="E95" s="69" t="s">
        <v>13</v>
      </c>
      <c r="F95" s="69"/>
      <c r="G95" s="64"/>
      <c r="H95" s="17">
        <f>0.166*((H59+SUM(H63:H90))-(H96/0.291))</f>
        <v>609.22</v>
      </c>
      <c r="I95" s="84"/>
      <c r="J95" s="17">
        <f>409+(0.16*(514+37+56+260))</f>
        <v>547.72</v>
      </c>
      <c r="K95" s="85"/>
      <c r="L95" s="17">
        <f>309.4+(0.16*(532+41+61+500))</f>
        <v>490.84</v>
      </c>
      <c r="N95" s="84"/>
      <c r="O95" s="117">
        <f>L95</f>
        <v>490.84</v>
      </c>
      <c r="P95" s="129" t="s">
        <v>151</v>
      </c>
      <c r="Q95" s="63">
        <f>309.4+(0.16*(532+41+61+500))</f>
        <v>490.84</v>
      </c>
    </row>
    <row r="96" spans="2:17" s="3" customFormat="1" ht="15.75">
      <c r="B96" s="21" t="s">
        <v>96</v>
      </c>
      <c r="C96" s="21"/>
      <c r="D96" s="15"/>
      <c r="E96" s="69" t="s">
        <v>13</v>
      </c>
      <c r="F96" s="69"/>
      <c r="G96" s="64"/>
      <c r="H96" s="17">
        <f>0.291*(H90+H87+H71+H45+H48+H39+H19)</f>
        <v>1043.3805</v>
      </c>
      <c r="I96" s="84"/>
      <c r="J96" s="17">
        <f>114.8+401.8+190+19.5+21.6+39.4+5.6+2.6+113.9+17.8+0.2+1.4+137.4+(0.3*(91.9+43.9+183.8+91.9+406+91.9+91.9+14.5))</f>
        <v>1370.74</v>
      </c>
      <c r="K96" s="85"/>
      <c r="L96" s="17">
        <f>0.3035*(212.89+L87+L71+L45+L48+L39+L19)+(0.8*(96.1+45.9+192.2+96.1+424.8+96.1+96.1+15))</f>
        <v>1774.0439924062498</v>
      </c>
      <c r="N96" s="84"/>
      <c r="O96" s="117">
        <f>L96</f>
        <v>1774.0439924062498</v>
      </c>
      <c r="P96" s="129" t="s">
        <v>151</v>
      </c>
      <c r="Q96" s="63">
        <f>O96</f>
        <v>1774.0439924062498</v>
      </c>
    </row>
    <row r="97" spans="1:17" s="100" customFormat="1" ht="9" customHeight="1" thickBot="1">
      <c r="A97" s="99"/>
      <c r="B97" s="94"/>
      <c r="C97" s="94"/>
      <c r="D97" s="95"/>
      <c r="E97" s="96"/>
      <c r="F97" s="96"/>
      <c r="G97" s="96"/>
      <c r="H97" s="90"/>
      <c r="I97" s="84"/>
      <c r="J97" s="90"/>
      <c r="K97" s="90"/>
      <c r="L97" s="90"/>
      <c r="N97" s="107"/>
      <c r="O97" s="120"/>
      <c r="P97" s="130"/>
      <c r="Q97" s="107"/>
    </row>
    <row r="98" spans="1:17" s="13" customFormat="1" ht="21" thickBot="1">
      <c r="A98" s="23"/>
      <c r="D98" s="41" t="s">
        <v>107</v>
      </c>
      <c r="E98" s="68"/>
      <c r="F98" s="68"/>
      <c r="G98" s="38"/>
      <c r="H98" s="80">
        <f>SUM(H92:H97)</f>
        <v>3777.7725</v>
      </c>
      <c r="I98" s="86"/>
      <c r="J98" s="80">
        <f>SUM(J92:J97)</f>
        <v>3725.7725</v>
      </c>
      <c r="K98" s="91"/>
      <c r="L98" s="80">
        <f>SUM(L92:L97)</f>
        <v>3894.5069299062498</v>
      </c>
      <c r="N98" s="112"/>
      <c r="O98" s="121">
        <f>SUM(O92:O97)</f>
        <v>6167.535501334822</v>
      </c>
      <c r="P98" s="131"/>
      <c r="Q98" s="108">
        <f>SUM(Q92:Q97)</f>
        <v>6142.093948008929</v>
      </c>
    </row>
    <row r="100" spans="1:17" s="6" customFormat="1" ht="15.75" hidden="1">
      <c r="A100" s="54" t="s">
        <v>8</v>
      </c>
      <c r="B100" s="55"/>
      <c r="C100" s="22"/>
      <c r="D100" s="14" t="s">
        <v>9</v>
      </c>
      <c r="E100" s="70"/>
      <c r="F100" s="70"/>
      <c r="G100" s="10"/>
      <c r="H100" s="18">
        <v>1914</v>
      </c>
      <c r="I100" s="84"/>
      <c r="J100" s="18"/>
      <c r="K100" s="84"/>
      <c r="L100" s="18">
        <v>1600</v>
      </c>
      <c r="N100" s="84"/>
      <c r="O100" s="126">
        <v>1600</v>
      </c>
      <c r="P100" s="132"/>
      <c r="Q100" s="18">
        <v>1600</v>
      </c>
    </row>
    <row r="101" spans="1:17" s="6" customFormat="1" ht="18" hidden="1">
      <c r="A101" s="56"/>
      <c r="B101" s="55"/>
      <c r="C101" s="22"/>
      <c r="D101" s="34" t="s">
        <v>10</v>
      </c>
      <c r="E101" s="71"/>
      <c r="F101" s="71"/>
      <c r="G101" s="11"/>
      <c r="H101" s="19">
        <v>250</v>
      </c>
      <c r="I101" s="87"/>
      <c r="J101" s="19"/>
      <c r="K101" s="87"/>
      <c r="L101" s="19">
        <v>305</v>
      </c>
      <c r="N101" s="87"/>
      <c r="O101" s="127">
        <v>305</v>
      </c>
      <c r="P101" s="132"/>
      <c r="Q101" s="19">
        <v>305</v>
      </c>
    </row>
    <row r="102" spans="1:17" s="5" customFormat="1" ht="18" hidden="1">
      <c r="A102" s="56"/>
      <c r="B102" s="55"/>
      <c r="C102" s="22"/>
      <c r="D102" s="12" t="s">
        <v>11</v>
      </c>
      <c r="E102" s="72"/>
      <c r="F102" s="72"/>
      <c r="G102" s="9"/>
      <c r="H102" s="20">
        <f>SUM(H100+H101)</f>
        <v>2164</v>
      </c>
      <c r="I102" s="88"/>
      <c r="J102" s="20"/>
      <c r="K102" s="88"/>
      <c r="L102" s="20">
        <f>SUM(L100+L101)</f>
        <v>1905</v>
      </c>
      <c r="N102" s="88"/>
      <c r="O102" s="128">
        <f>SUM(O100+O101)</f>
        <v>1905</v>
      </c>
      <c r="P102" s="133"/>
      <c r="Q102" s="20">
        <f>SUM(Q100+Q101)</f>
        <v>1905</v>
      </c>
    </row>
    <row r="103" spans="4:8" ht="18">
      <c r="D103" s="77"/>
      <c r="G103" s="75"/>
      <c r="H103" s="76"/>
    </row>
    <row r="104" spans="4:8" ht="18">
      <c r="D104" s="77"/>
      <c r="G104" s="75"/>
      <c r="H104" s="76"/>
    </row>
    <row r="105" spans="4:7" ht="18">
      <c r="D105" s="73"/>
      <c r="G105" s="74"/>
    </row>
    <row r="106" ht="18">
      <c r="G106" s="74"/>
    </row>
    <row r="107" ht="18">
      <c r="G107" s="74"/>
    </row>
    <row r="108" ht="18">
      <c r="G108" s="74"/>
    </row>
    <row r="109" ht="18">
      <c r="G109" s="74"/>
    </row>
    <row r="110" ht="18">
      <c r="G110" s="74"/>
    </row>
    <row r="111" ht="18">
      <c r="G111" s="74"/>
    </row>
    <row r="112" ht="18">
      <c r="G112" s="74"/>
    </row>
    <row r="113" ht="18">
      <c r="G113" s="74"/>
    </row>
    <row r="114" ht="18">
      <c r="G114" s="74"/>
    </row>
    <row r="115" ht="18">
      <c r="G115" s="74"/>
    </row>
    <row r="116" ht="18">
      <c r="G116" s="74"/>
    </row>
    <row r="117" ht="18">
      <c r="G117" s="74"/>
    </row>
    <row r="118" ht="18">
      <c r="G118" s="74"/>
    </row>
    <row r="119" ht="18">
      <c r="G119" s="74"/>
    </row>
    <row r="120" ht="18">
      <c r="G120" s="74"/>
    </row>
    <row r="121" ht="18">
      <c r="G121" s="74"/>
    </row>
    <row r="122" ht="18">
      <c r="G122" s="74"/>
    </row>
    <row r="123" ht="18">
      <c r="G123" s="74"/>
    </row>
    <row r="124" ht="18">
      <c r="G124" s="74"/>
    </row>
    <row r="125" ht="18">
      <c r="G125" s="74"/>
    </row>
    <row r="126" ht="18">
      <c r="G126" s="74"/>
    </row>
    <row r="127" ht="18">
      <c r="G127" s="74"/>
    </row>
    <row r="128" ht="18">
      <c r="G128" s="74"/>
    </row>
    <row r="129" ht="18">
      <c r="G129" s="74"/>
    </row>
    <row r="130" ht="18">
      <c r="G130" s="74"/>
    </row>
    <row r="131" ht="18">
      <c r="G131" s="74"/>
    </row>
    <row r="132" ht="18">
      <c r="G132" s="74"/>
    </row>
    <row r="133" ht="18">
      <c r="G133" s="74"/>
    </row>
    <row r="134" ht="18">
      <c r="G134" s="74"/>
    </row>
    <row r="135" ht="18">
      <c r="G135" s="74"/>
    </row>
    <row r="136" ht="18">
      <c r="G136" s="74"/>
    </row>
    <row r="137" ht="18">
      <c r="G137" s="74"/>
    </row>
    <row r="138" ht="18">
      <c r="G138" s="74"/>
    </row>
    <row r="139" ht="18">
      <c r="G139" s="74"/>
    </row>
    <row r="140" ht="18">
      <c r="G140" s="74"/>
    </row>
    <row r="141" ht="18">
      <c r="G141" s="74"/>
    </row>
    <row r="142" ht="18">
      <c r="G142" s="74"/>
    </row>
    <row r="143" ht="18">
      <c r="G143" s="74"/>
    </row>
    <row r="144" ht="18">
      <c r="G144" s="74"/>
    </row>
    <row r="145" ht="18">
      <c r="G145" s="74"/>
    </row>
    <row r="146" ht="18">
      <c r="G146" s="74"/>
    </row>
    <row r="147" ht="18">
      <c r="G147" s="74"/>
    </row>
    <row r="148" ht="18">
      <c r="G148" s="74"/>
    </row>
    <row r="149" ht="18">
      <c r="G149" s="74"/>
    </row>
    <row r="150" ht="18">
      <c r="G150" s="74"/>
    </row>
    <row r="151" ht="18">
      <c r="G151" s="74"/>
    </row>
    <row r="152" ht="18">
      <c r="G152" s="74"/>
    </row>
    <row r="153" ht="18">
      <c r="G153" s="74"/>
    </row>
    <row r="154" ht="18">
      <c r="G154" s="74"/>
    </row>
    <row r="155" ht="18">
      <c r="G155" s="74"/>
    </row>
    <row r="156" ht="18">
      <c r="G156" s="74"/>
    </row>
    <row r="157" ht="18">
      <c r="G157" s="74"/>
    </row>
    <row r="158" ht="18">
      <c r="G158" s="74"/>
    </row>
    <row r="159" ht="18">
      <c r="G159" s="74"/>
    </row>
    <row r="160" ht="18">
      <c r="G160" s="74"/>
    </row>
    <row r="161" ht="18">
      <c r="G161" s="74"/>
    </row>
    <row r="162" ht="18">
      <c r="G162" s="74"/>
    </row>
    <row r="163" ht="18">
      <c r="G163" s="74"/>
    </row>
    <row r="164" ht="18">
      <c r="G164" s="74"/>
    </row>
    <row r="165" ht="18">
      <c r="G165" s="74"/>
    </row>
    <row r="166" ht="18">
      <c r="G166" s="74"/>
    </row>
    <row r="167" ht="18">
      <c r="G167" s="74"/>
    </row>
    <row r="168" ht="18">
      <c r="G168" s="74"/>
    </row>
    <row r="169" ht="18">
      <c r="G169" s="74"/>
    </row>
    <row r="170" ht="18">
      <c r="G170" s="74"/>
    </row>
    <row r="171" ht="18">
      <c r="G171" s="74"/>
    </row>
    <row r="172" ht="18">
      <c r="G172" s="74"/>
    </row>
    <row r="173" ht="18">
      <c r="G173" s="74"/>
    </row>
    <row r="174" ht="18">
      <c r="G174" s="74"/>
    </row>
    <row r="175" ht="18">
      <c r="G175" s="74"/>
    </row>
    <row r="176" ht="18">
      <c r="G176" s="74"/>
    </row>
    <row r="177" ht="18">
      <c r="G177" s="74"/>
    </row>
    <row r="178" ht="18">
      <c r="G178" s="74"/>
    </row>
    <row r="179" ht="18">
      <c r="G179" s="74"/>
    </row>
    <row r="180" ht="18">
      <c r="G180" s="74"/>
    </row>
    <row r="181" ht="18">
      <c r="G181" s="74"/>
    </row>
    <row r="182" ht="18">
      <c r="G182" s="74"/>
    </row>
    <row r="183" ht="18">
      <c r="G183" s="74"/>
    </row>
    <row r="184" ht="18">
      <c r="G184" s="74"/>
    </row>
    <row r="185" ht="18">
      <c r="G185" s="74"/>
    </row>
    <row r="186" ht="18">
      <c r="G186" s="74"/>
    </row>
    <row r="187" ht="18">
      <c r="G187" s="74"/>
    </row>
    <row r="188" ht="18">
      <c r="G188" s="74"/>
    </row>
    <row r="189" ht="18">
      <c r="G189" s="74"/>
    </row>
    <row r="190" ht="18">
      <c r="G190" s="74"/>
    </row>
    <row r="191" ht="18">
      <c r="G191" s="74"/>
    </row>
    <row r="192" ht="18">
      <c r="G192" s="74"/>
    </row>
    <row r="193" ht="18">
      <c r="G193" s="74"/>
    </row>
    <row r="194" ht="18">
      <c r="G194" s="74"/>
    </row>
    <row r="195" ht="18">
      <c r="G195" s="74"/>
    </row>
    <row r="196" ht="18">
      <c r="G196" s="74"/>
    </row>
    <row r="197" ht="18">
      <c r="G197" s="74"/>
    </row>
    <row r="198" ht="18">
      <c r="G198" s="74"/>
    </row>
    <row r="199" ht="18">
      <c r="G199" s="74"/>
    </row>
    <row r="200" ht="18">
      <c r="G200" s="74"/>
    </row>
    <row r="201" ht="18">
      <c r="G201" s="74"/>
    </row>
    <row r="202" ht="18">
      <c r="G202" s="74"/>
    </row>
    <row r="203" ht="18">
      <c r="G203" s="74"/>
    </row>
    <row r="204" ht="18">
      <c r="G204" s="74"/>
    </row>
    <row r="205" ht="18">
      <c r="G205" s="74"/>
    </row>
    <row r="206" ht="18">
      <c r="G206" s="74"/>
    </row>
  </sheetData>
  <printOptions gridLines="1"/>
  <pageMargins left="0.3" right="0.18" top="0.5" bottom="0.25" header="0.45" footer="0.5"/>
  <pageSetup fitToHeight="2" horizontalDpi="409" verticalDpi="409" orientation="landscape" scale="54" r:id="rId1"/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jcooper</dc:creator>
  <cp:keywords/>
  <dc:description/>
  <cp:lastModifiedBy>jcooper</cp:lastModifiedBy>
  <cp:lastPrinted>2003-09-15T17:39:20Z</cp:lastPrinted>
  <dcterms:created xsi:type="dcterms:W3CDTF">2002-04-23T17:01:31Z</dcterms:created>
  <dcterms:modified xsi:type="dcterms:W3CDTF">2003-09-15T17:39:24Z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287111785</vt:i4>
  </property>
  <property fmtid="{D5CDD505-2E9C-101B-9397-08002B2CF9AE}" pid="3" name="_EmailSubject">
    <vt:lpwstr>D0 Operating Costs for IFC</vt:lpwstr>
  </property>
  <property fmtid="{D5CDD505-2E9C-101B-9397-08002B2CF9AE}" pid="4" name="_AuthorEmail">
    <vt:lpwstr>mont@fnal.gov</vt:lpwstr>
  </property>
  <property fmtid="{D5CDD505-2E9C-101B-9397-08002B2CF9AE}" pid="5" name="_AuthorEmailDisplayName">
    <vt:lpwstr>Hugh Montgomery</vt:lpwstr>
  </property>
  <property fmtid="{D5CDD505-2E9C-101B-9397-08002B2CF9AE}" pid="6" name="_PreviousAdHocReviewCycleID">
    <vt:i4>-1830379927</vt:i4>
  </property>
</Properties>
</file>