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60" windowHeight="12520" activeTab="3"/>
  </bookViews>
  <sheets>
    <sheet name="Base" sheetId="1" r:id="rId1"/>
    <sheet name="Inductance" sheetId="2" r:id="rId2"/>
    <sheet name="Cable" sheetId="3" r:id="rId3"/>
    <sheet name="Field" sheetId="4" r:id="rId4"/>
  </sheets>
  <definedNames>
    <definedName name="Brp">'Base'!$B$37</definedName>
    <definedName name="Curr">'Base'!$B$7</definedName>
    <definedName name="delta">'Field'!$B$7</definedName>
    <definedName name="dp">'Field'!$B$6</definedName>
    <definedName name="fmax">'Base'!$B$47</definedName>
    <definedName name="IPT">'Base'!$B$5</definedName>
    <definedName name="kprobe">'Base'!#REF!</definedName>
    <definedName name="mu0">'Base'!$B$2</definedName>
    <definedName name="Rcp">'Field'!$B$2</definedName>
    <definedName name="Rct">'Field'!$B$4</definedName>
    <definedName name="Rp">'Field'!$B$1</definedName>
    <definedName name="solver_adj" localSheetId="0" hidden="1">'Base'!$B$104,'Base'!$B$93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'Base'!$B$108</definedName>
    <definedName name="solver_lhs2" localSheetId="0" hidden="1">'Base'!$B$93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'Base'!$B$112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hs1" localSheetId="0" hidden="1">300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200</definedName>
    <definedName name="thetac">'Field'!$B$3</definedName>
    <definedName name="Vpeak">'Base'!$B$108</definedName>
    <definedName name="xm0">'Base'!$Q$63</definedName>
    <definedName name="xm1">'Base'!$Q$64</definedName>
    <definedName name="xm2">'Base'!$Q$65</definedName>
    <definedName name="xm3">'Base'!$Q$66</definedName>
    <definedName name="xm4">'Base'!$Q$67</definedName>
  </definedNames>
  <calcPr fullCalcOnLoad="1"/>
</workbook>
</file>

<file path=xl/sharedStrings.xml><?xml version="1.0" encoding="utf-8"?>
<sst xmlns="http://schemas.openxmlformats.org/spreadsheetml/2006/main" count="574" uniqueCount="269">
  <si>
    <t>Inductance (Grover eq58 p60)</t>
  </si>
  <si>
    <t>Skin Depth</t>
  </si>
  <si>
    <t>K</t>
  </si>
  <si>
    <t>K-R'/R</t>
  </si>
  <si>
    <t>Rohmic DC 20C</t>
  </si>
  <si>
    <t>Rohmic AC Tmax</t>
  </si>
  <si>
    <t>Tssmax</t>
  </si>
  <si>
    <t>∆Tssmax</t>
  </si>
  <si>
    <t>Pssmax</t>
  </si>
  <si>
    <t>Tssavg</t>
  </si>
  <si>
    <t>Issmax DC</t>
  </si>
  <si>
    <t>5*Tau</t>
  </si>
  <si>
    <t>#Series Coils</t>
  </si>
  <si>
    <t>Rambient</t>
  </si>
  <si>
    <t>Conductor Length per Coil</t>
  </si>
  <si>
    <t>gauss/amp</t>
  </si>
  <si>
    <t>Amp-turn</t>
  </si>
  <si>
    <t>X</t>
  </si>
  <si>
    <t>Phi</t>
  </si>
  <si>
    <t>Irms</t>
  </si>
  <si>
    <t>Ipeak</t>
  </si>
  <si>
    <t>P</t>
  </si>
  <si>
    <t>T/amp-m</t>
  </si>
  <si>
    <t>f</t>
  </si>
  <si>
    <t>Friction factor</t>
  </si>
  <si>
    <t>∆P</t>
  </si>
  <si>
    <t>psi</t>
  </si>
  <si>
    <t>GPM</t>
  </si>
  <si>
    <t>H</t>
  </si>
  <si>
    <t>R</t>
  </si>
  <si>
    <t>Z</t>
  </si>
  <si>
    <t>#Turns</t>
  </si>
  <si>
    <t>Current/Turn</t>
  </si>
  <si>
    <t>Toroidal Length</t>
  </si>
  <si>
    <t>Poloidal Length</t>
  </si>
  <si>
    <t>Radius</t>
  </si>
  <si>
    <t>Rpoint</t>
  </si>
  <si>
    <t>Brpoint</t>
  </si>
  <si>
    <t>dtlp</t>
  </si>
  <si>
    <t>dplp</t>
  </si>
  <si>
    <t>Current</t>
  </si>
  <si>
    <t>abtp</t>
  </si>
  <si>
    <t>abpp</t>
  </si>
  <si>
    <t>mu0</t>
  </si>
  <si>
    <t>Btlp</t>
  </si>
  <si>
    <t>Bplp</t>
  </si>
  <si>
    <t>Brp</t>
  </si>
  <si>
    <t>#Coils</t>
  </si>
  <si>
    <t>Amp</t>
  </si>
  <si>
    <t>m</t>
  </si>
  <si>
    <t>rad</t>
  </si>
  <si>
    <t>deg</t>
  </si>
  <si>
    <t>gauss</t>
  </si>
  <si>
    <t>Henry</t>
  </si>
  <si>
    <t>Tinit</t>
  </si>
  <si>
    <t>degC</t>
  </si>
  <si>
    <t>Tmax</t>
  </si>
  <si>
    <t>∆Tmax</t>
  </si>
  <si>
    <t>Ginit</t>
  </si>
  <si>
    <t>∆G</t>
  </si>
  <si>
    <t>(A/m^2)^2-sec</t>
  </si>
  <si>
    <t>Gmax</t>
  </si>
  <si>
    <t>Tpulse</t>
  </si>
  <si>
    <t>sec</t>
  </si>
  <si>
    <t>J</t>
  </si>
  <si>
    <t>A/m^2</t>
  </si>
  <si>
    <t>m^2</t>
  </si>
  <si>
    <t>WP</t>
  </si>
  <si>
    <t>FlowH20</t>
  </si>
  <si>
    <t>SHH20</t>
  </si>
  <si>
    <t>ViscH20</t>
  </si>
  <si>
    <t>DensH20</t>
  </si>
  <si>
    <t>TconH20</t>
  </si>
  <si>
    <t>PrandtLH20</t>
  </si>
  <si>
    <t>Reynolds</t>
  </si>
  <si>
    <t>Massflow</t>
  </si>
  <si>
    <t>Rmassflow</t>
  </si>
  <si>
    <t>DensCu</t>
  </si>
  <si>
    <t>kg/m^3</t>
  </si>
  <si>
    <t>SHCu</t>
  </si>
  <si>
    <t>CoeffCu</t>
  </si>
  <si>
    <t>ResCu</t>
  </si>
  <si>
    <t>Flow Rate</t>
  </si>
  <si>
    <t>in</t>
  </si>
  <si>
    <t>Coolant Passage Dia</t>
  </si>
  <si>
    <t>m/sec</t>
  </si>
  <si>
    <t>m^3/sec</t>
  </si>
  <si>
    <t>kg/sec</t>
  </si>
  <si>
    <t>degC/watt</t>
  </si>
  <si>
    <t>N-sec/m^2</t>
  </si>
  <si>
    <t>Turn Length</t>
  </si>
  <si>
    <t>Rfilm</t>
  </si>
  <si>
    <t>Rthermal</t>
  </si>
  <si>
    <t>Cthermal</t>
  </si>
  <si>
    <t>Vol Cu</t>
  </si>
  <si>
    <t>Mass Cu</t>
  </si>
  <si>
    <t>kG</t>
  </si>
  <si>
    <t>m^3</t>
  </si>
  <si>
    <t>J/kg-degC</t>
  </si>
  <si>
    <t>1/degC</t>
  </si>
  <si>
    <t>ohm-m</t>
  </si>
  <si>
    <t>J/degC</t>
  </si>
  <si>
    <t>Tau</t>
  </si>
  <si>
    <t>Length per lead</t>
  </si>
  <si>
    <t>Cu CSA/turn</t>
  </si>
  <si>
    <t>Tubular Conductor OD</t>
  </si>
  <si>
    <t>ohm</t>
  </si>
  <si>
    <t>fmax</t>
  </si>
  <si>
    <t>Hz</t>
  </si>
  <si>
    <t>fswitching</t>
  </si>
  <si>
    <t>Zmax</t>
  </si>
  <si>
    <t>Xmax</t>
  </si>
  <si>
    <t>Lchoke</t>
  </si>
  <si>
    <t>Ltotal</t>
  </si>
  <si>
    <t>Rexternal</t>
  </si>
  <si>
    <t>Lexternal</t>
  </si>
  <si>
    <t>Rtotal</t>
  </si>
  <si>
    <t>Rchoke</t>
  </si>
  <si>
    <t>Vmin rms</t>
  </si>
  <si>
    <t>Br @ Imax</t>
  </si>
  <si>
    <t>Cu</t>
  </si>
  <si>
    <t>304SS</t>
  </si>
  <si>
    <t>Resistivity</t>
  </si>
  <si>
    <t>Conductivty</t>
  </si>
  <si>
    <t>Frequency</t>
  </si>
  <si>
    <t>Skin Depth (m)</t>
  </si>
  <si>
    <t>Skin Depth (in)</t>
  </si>
  <si>
    <t>gauss/amp-turn</t>
  </si>
  <si>
    <t>fImax</t>
  </si>
  <si>
    <t>Imax</t>
  </si>
  <si>
    <t>Volt</t>
  </si>
  <si>
    <t>Vpeak</t>
  </si>
  <si>
    <t>Iripple rms</t>
  </si>
  <si>
    <t>Iripple peak-peak</t>
  </si>
  <si>
    <t>x</t>
  </si>
  <si>
    <t>xm0</t>
  </si>
  <si>
    <t>xm1</t>
  </si>
  <si>
    <t>xm2</t>
  </si>
  <si>
    <t>xm3</t>
  </si>
  <si>
    <t>xm4</t>
  </si>
  <si>
    <t>R'/R</t>
  </si>
  <si>
    <t>GA</t>
  </si>
  <si>
    <t>PPPL IC</t>
  </si>
  <si>
    <t>Iripple peak-peak (amp-turn)</t>
  </si>
  <si>
    <t>Cond resistivity @ 20C</t>
  </si>
  <si>
    <t>Ω-cm</t>
  </si>
  <si>
    <t>Cond res temp coeff</t>
  </si>
  <si>
    <t>Cond heat capacity</t>
  </si>
  <si>
    <t>J/gm-degC</t>
  </si>
  <si>
    <t>Cond density</t>
  </si>
  <si>
    <t>gm/cc</t>
  </si>
  <si>
    <t>Convective heat xfr @ ∆T=100C</t>
  </si>
  <si>
    <t>Watt/in^2-degC</t>
  </si>
  <si>
    <t>Ambient Temperature</t>
  </si>
  <si>
    <t>deg C</t>
  </si>
  <si>
    <t>Max Current</t>
  </si>
  <si>
    <t>amp</t>
  </si>
  <si>
    <t>Min ESW</t>
  </si>
  <si>
    <t>Max ∫i^2dt</t>
  </si>
  <si>
    <t>A^2-s</t>
  </si>
  <si>
    <t>Min Repetition Period</t>
  </si>
  <si>
    <t>Max RMS Current</t>
  </si>
  <si>
    <t>Cable Conductor Length Per Pole</t>
  </si>
  <si>
    <t>feet</t>
  </si>
  <si>
    <t>Cable CSA</t>
  </si>
  <si>
    <t>MCM</t>
  </si>
  <si>
    <t>Rp</t>
  </si>
  <si>
    <t>Rct</t>
  </si>
  <si>
    <t>Rcp</t>
  </si>
  <si>
    <t>thetac</t>
  </si>
  <si>
    <t>y</t>
  </si>
  <si>
    <t>z</t>
  </si>
  <si>
    <t>alpha</t>
  </si>
  <si>
    <t>beta</t>
  </si>
  <si>
    <t>gamma</t>
  </si>
  <si>
    <t xml:space="preserve"> </t>
  </si>
  <si>
    <t>thetap</t>
  </si>
  <si>
    <t>d1</t>
  </si>
  <si>
    <t>d2</t>
  </si>
  <si>
    <t>theta1</t>
  </si>
  <si>
    <t>B1r</t>
  </si>
  <si>
    <t>B2r</t>
  </si>
  <si>
    <t>B3r</t>
  </si>
  <si>
    <t>dp</t>
  </si>
  <si>
    <t>dlp</t>
  </si>
  <si>
    <t>∑Br</t>
  </si>
  <si>
    <t>delta</t>
  </si>
  <si>
    <t>∑</t>
  </si>
  <si>
    <t>Cables</t>
  </si>
  <si>
    <t>Length</t>
  </si>
  <si>
    <t>Vrating</t>
  </si>
  <si>
    <t>kV</t>
  </si>
  <si>
    <t>CSA</t>
  </si>
  <si>
    <t>500MCM</t>
  </si>
  <si>
    <t xml:space="preserve">  </t>
  </si>
  <si>
    <t>#Parallel</t>
  </si>
  <si>
    <t>Conductor OD</t>
  </si>
  <si>
    <t>inch</t>
  </si>
  <si>
    <t>Conductor Radius</t>
  </si>
  <si>
    <t>Insulation Thk</t>
  </si>
  <si>
    <t>Radius over Insulat</t>
  </si>
  <si>
    <t>Shield Mat'l</t>
  </si>
  <si>
    <t xml:space="preserve"> Cu</t>
  </si>
  <si>
    <t>Shield Thk</t>
  </si>
  <si>
    <t>Overlap</t>
  </si>
  <si>
    <t>%</t>
  </si>
  <si>
    <t>Equiv Thk</t>
  </si>
  <si>
    <t>Radius over Shield</t>
  </si>
  <si>
    <t>Jacket Thk</t>
  </si>
  <si>
    <t>Overall OD</t>
  </si>
  <si>
    <t>Radius over Jacket</t>
  </si>
  <si>
    <t>dp-n1</t>
  </si>
  <si>
    <t>dp-n2</t>
  </si>
  <si>
    <t>dp-n3</t>
  </si>
  <si>
    <t>dp-n4</t>
  </si>
  <si>
    <t>Bripple (peak-peak)</t>
  </si>
  <si>
    <t>Iripple peak-peak (%)</t>
  </si>
  <si>
    <t>Cable Dia</t>
  </si>
  <si>
    <t>packing factor</t>
  </si>
  <si>
    <t>ESW</t>
  </si>
  <si>
    <t>DC ESW</t>
  </si>
  <si>
    <t>GA (IC)</t>
  </si>
  <si>
    <t>GA (4T)</t>
  </si>
  <si>
    <t>Vpeak/R</t>
  </si>
  <si>
    <t>Rtotal DC Tmax</t>
  </si>
  <si>
    <t>R'/R at 1kHz</t>
  </si>
  <si>
    <t>Rchoke DC</t>
  </si>
  <si>
    <t>Rchoke AC</t>
  </si>
  <si>
    <t>Rexternal DC</t>
  </si>
  <si>
    <t>Rexternal AC</t>
  </si>
  <si>
    <t>dp-n5</t>
  </si>
  <si>
    <t>dp-n6</t>
  </si>
  <si>
    <t>GMD</t>
  </si>
  <si>
    <t>Lloop</t>
  </si>
  <si>
    <t>µH</t>
  </si>
  <si>
    <t>OC (1T)</t>
  </si>
  <si>
    <t>OC (2T)</t>
  </si>
  <si>
    <t>PPPL OC (1T)</t>
  </si>
  <si>
    <t>PPPL OC (2T)</t>
  </si>
  <si>
    <t>dtlop</t>
  </si>
  <si>
    <t>dplop</t>
  </si>
  <si>
    <t>abtop</t>
  </si>
  <si>
    <t>abpop</t>
  </si>
  <si>
    <t>Btlop</t>
  </si>
  <si>
    <t>Bplop</t>
  </si>
  <si>
    <t>∑Brp</t>
  </si>
  <si>
    <t>R0</t>
  </si>
  <si>
    <t>A</t>
  </si>
  <si>
    <t>Rtotal AC Tmax</t>
  </si>
  <si>
    <t>sq cm</t>
  </si>
  <si>
    <t># Cable Conductors</t>
  </si>
  <si>
    <t>Total Cable CSA</t>
  </si>
  <si>
    <t>Cable Res @ 20C per pole</t>
  </si>
  <si>
    <t>Ω</t>
  </si>
  <si>
    <t>Cable Allowable Tmax</t>
  </si>
  <si>
    <t>Cable Res per inch @ Tmax</t>
  </si>
  <si>
    <t>Cable Thermal Resistance per inch</t>
  </si>
  <si>
    <t>degC-in/Watt</t>
  </si>
  <si>
    <t>Cable Thermal Capacitance per inch</t>
  </si>
  <si>
    <t>Joule/degC-in</t>
  </si>
  <si>
    <t>Cable Thermal Time Constant</t>
  </si>
  <si>
    <t>min</t>
  </si>
  <si>
    <t>Cable Adiabatic Temp rise per pulse</t>
  </si>
  <si>
    <t>Cable Avg Temp rise</t>
  </si>
  <si>
    <t>Cable Tmax</t>
  </si>
  <si>
    <t>Cable Res per pole @ Tmax</t>
  </si>
  <si>
    <t>Total Conductor Resistance @ 20C (+&amp;-)</t>
  </si>
  <si>
    <t>IC</t>
  </si>
  <si>
    <t>OC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</si>
</sst>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000"/>
    <numFmt numFmtId="168" formatCode="0.0%"/>
    <numFmt numFmtId="169" formatCode="0.00000000000000000"/>
    <numFmt numFmtId="170" formatCode="0.0000%"/>
    <numFmt numFmtId="171" formatCode="0.0000E+00"/>
    <numFmt numFmtId="172" formatCode="#\ ??/16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.75"/>
      <name val="Geneva"/>
      <family val="0"/>
    </font>
    <font>
      <sz val="10"/>
      <name val="Geneva"/>
      <family val="0"/>
    </font>
    <font>
      <b/>
      <sz val="10.25"/>
      <name val="Geneva"/>
      <family val="0"/>
    </font>
    <font>
      <sz val="10.5"/>
      <name val="Geneva"/>
      <family val="0"/>
    </font>
    <font>
      <b/>
      <sz val="12"/>
      <name val="Geneva"/>
      <family val="0"/>
    </font>
    <font>
      <b/>
      <sz val="11.75"/>
      <name val="Geneva"/>
      <family val="0"/>
    </font>
    <font>
      <sz val="12"/>
      <name val="Geneva"/>
      <family val="0"/>
    </font>
    <font>
      <sz val="9.5"/>
      <name val="Geneva"/>
      <family val="0"/>
    </font>
    <font>
      <b/>
      <sz val="11.5"/>
      <name val="Geneva"/>
      <family val="0"/>
    </font>
    <font>
      <b/>
      <sz val="1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1" fontId="0" fillId="2" borderId="0" xfId="0" applyNumberFormat="1" applyFill="1" applyBorder="1" applyAlignment="1">
      <alignment/>
    </xf>
    <xf numFmtId="11" fontId="0" fillId="2" borderId="0" xfId="0" applyNumberFormat="1" applyFill="1" applyAlignment="1">
      <alignment/>
    </xf>
    <xf numFmtId="165" fontId="0" fillId="3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8" fillId="0" borderId="0" xfId="0" applyFont="1" applyAlignment="1">
      <alignment/>
    </xf>
    <xf numFmtId="1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64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1" fontId="0" fillId="0" borderId="1" xfId="0" applyNumberFormat="1" applyFont="1" applyBorder="1" applyAlignment="1">
      <alignment/>
    </xf>
    <xf numFmtId="11" fontId="0" fillId="0" borderId="1" xfId="0" applyNumberFormat="1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165" fontId="0" fillId="3" borderId="1" xfId="0" applyNumberFormat="1" applyFill="1" applyBorder="1" applyAlignment="1">
      <alignment/>
    </xf>
    <xf numFmtId="166" fontId="0" fillId="0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/>
    </xf>
    <xf numFmtId="11" fontId="0" fillId="2" borderId="1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Border="1" applyAlignment="1">
      <alignment/>
    </xf>
    <xf numFmtId="2" fontId="8" fillId="0" borderId="0" xfId="0" applyNumberFormat="1" applyFont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Iac vs. freq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v>Ipeak(GA 4T)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Base!$B$130:$L$130</c:f>
              <c:numCache/>
            </c:numRef>
          </c:xVal>
          <c:yVal>
            <c:numRef>
              <c:f>Base!$B$139:$L$139</c:f>
              <c:numCache/>
            </c:numRef>
          </c:yVal>
          <c:smooth val="0"/>
        </c:ser>
        <c:ser>
          <c:idx val="0"/>
          <c:order val="1"/>
          <c:tx>
            <c:v>Ipeak(GA IC)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Base!$B$116:$L$116</c:f>
              <c:numCache/>
            </c:numRef>
          </c:xVal>
          <c:yVal>
            <c:numRef>
              <c:f>Base!$B$153:$L$153</c:f>
              <c:numCache/>
            </c:numRef>
          </c:yVal>
          <c:smooth val="0"/>
        </c:ser>
        <c:ser>
          <c:idx val="1"/>
          <c:order val="2"/>
          <c:tx>
            <c:v>Ipeak(IC)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Base!$B$159:$L$159</c:f>
              <c:numCache/>
            </c:numRef>
          </c:xVal>
          <c:yVal>
            <c:numRef>
              <c:f>Base!$B$168:$L$168</c:f>
              <c:numCache/>
            </c:numRef>
          </c:yVal>
          <c:smooth val="0"/>
        </c:ser>
        <c:ser>
          <c:idx val="2"/>
          <c:order val="3"/>
          <c:tx>
            <c:v>Ipeak(OC 1T)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Base!$B$174:$L$174</c:f>
              <c:numCache/>
            </c:numRef>
          </c:xVal>
          <c:yVal>
            <c:numRef>
              <c:f>Base!$B$183:$L$183</c:f>
              <c:numCache/>
            </c:numRef>
          </c:yVal>
          <c:smooth val="0"/>
        </c:ser>
        <c:ser>
          <c:idx val="3"/>
          <c:order val="4"/>
          <c:tx>
            <c:v>Ipeak(OC 2T)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Base!$B$189:$L$189</c:f>
              <c:numCache/>
            </c:numRef>
          </c:xVal>
          <c:yVal>
            <c:numRef>
              <c:f>Base!$B$198:$L$198</c:f>
              <c:numCache/>
            </c:numRef>
          </c:yVal>
          <c:smooth val="0"/>
        </c:ser>
        <c:axId val="50723045"/>
        <c:axId val="53854222"/>
      </c:scatterChart>
      <c:valAx>
        <c:axId val="5072304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f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4222"/>
        <c:crosses val="autoZero"/>
        <c:crossBetween val="midCat"/>
        <c:dispUnits/>
      </c:valAx>
      <c:valAx>
        <c:axId val="53854222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Geneva"/>
                    <a:ea typeface="Geneva"/>
                    <a:cs typeface="Geneva"/>
                  </a:rPr>
                  <a:t>Iacpeak (amp-turn)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23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Br at R0+0.6*a vs. freq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Br(IC)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Base!$B$159:$L$159</c:f>
              <c:numCache/>
            </c:numRef>
          </c:xVal>
          <c:yVal>
            <c:numRef>
              <c:f>Base!$B$170:$L$170</c:f>
              <c:numCache/>
            </c:numRef>
          </c:yVal>
          <c:smooth val="0"/>
        </c:ser>
        <c:ser>
          <c:idx val="2"/>
          <c:order val="1"/>
          <c:tx>
            <c:v>Br(OC/1T)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Base!$B$174:$L$174</c:f>
              <c:numCache/>
            </c:numRef>
          </c:xVal>
          <c:yVal>
            <c:numRef>
              <c:f>Base!$B$185:$L$185</c:f>
              <c:numCache/>
            </c:numRef>
          </c:yVal>
          <c:smooth val="0"/>
        </c:ser>
        <c:ser>
          <c:idx val="0"/>
          <c:order val="2"/>
          <c:tx>
            <c:v>Br(OC/2T)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Base!$B$189:$L$189</c:f>
              <c:numCache/>
            </c:numRef>
          </c:xVal>
          <c:yVal>
            <c:numRef>
              <c:f>Base!$B$200:$L$200</c:f>
              <c:numCache/>
            </c:numRef>
          </c:yVal>
          <c:smooth val="0"/>
        </c:ser>
        <c:ser>
          <c:idx val="3"/>
          <c:order val="3"/>
          <c:tx>
            <c:v>Br(GA OC/4T)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Base!$B$130:$L$130</c:f>
              <c:numCache/>
            </c:numRef>
          </c:xVal>
          <c:yVal>
            <c:numRef>
              <c:f>Base!$B$141:$L$141</c:f>
              <c:numCache/>
            </c:numRef>
          </c:yVal>
          <c:smooth val="0"/>
        </c:ser>
        <c:axId val="14925951"/>
        <c:axId val="115832"/>
      </c:scatterChart>
      <c:valAx>
        <c:axId val="1492595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f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832"/>
        <c:crosses val="autoZero"/>
        <c:crossBetween val="midCat"/>
        <c:dispUnits/>
      </c:valAx>
      <c:valAx>
        <c:axId val="11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Geneva"/>
                    <a:ea typeface="Geneva"/>
                    <a:cs typeface="Geneva"/>
                  </a:rPr>
                  <a:t>Br(gauss)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25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ESW vs.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ESW (OC 1T)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Base!$B$174:$L$174</c:f>
              <c:numCache/>
            </c:numRef>
          </c:xVal>
          <c:yVal>
            <c:numRef>
              <c:f>Base!$B$184:$L$184</c:f>
              <c:numCache/>
            </c:numRef>
          </c:yVal>
          <c:smooth val="0"/>
        </c:ser>
        <c:ser>
          <c:idx val="2"/>
          <c:order val="1"/>
          <c:tx>
            <c:v>ESW (OC 2T)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Base!$B$189:$L$189</c:f>
              <c:numCache/>
            </c:numRef>
          </c:xVal>
          <c:yVal>
            <c:numRef>
              <c:f>Base!$B$199:$L$199</c:f>
              <c:numCache/>
            </c:numRef>
          </c:yVal>
          <c:smooth val="0"/>
        </c:ser>
        <c:ser>
          <c:idx val="3"/>
          <c:order val="2"/>
          <c:tx>
            <c:v>ESW (GA 4T)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Base!$B$130:$L$130</c:f>
              <c:numCache/>
            </c:numRef>
          </c:xVal>
          <c:yVal>
            <c:numRef>
              <c:f>Base!$B$140:$L$140</c:f>
              <c:numCache/>
            </c:numRef>
          </c:yVal>
          <c:smooth val="0"/>
        </c:ser>
        <c:axId val="1042489"/>
        <c:axId val="9382402"/>
      </c:scatterChart>
      <c:valAx>
        <c:axId val="1042489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Freq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82402"/>
        <c:crosses val="autoZero"/>
        <c:crossBetween val="midCat"/>
        <c:dispUnits/>
      </c:valAx>
      <c:valAx>
        <c:axId val="9382402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ESW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0"/>
          <c:order val="0"/>
          <c:tx>
            <c:strRef>
              <c:f>Field!$L$8</c:f>
              <c:strCache>
                <c:ptCount val="1"/>
                <c:pt idx="0">
                  <c:v>B1r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Field!$B$9:$B$109</c:f>
              <c:numCache/>
            </c:numRef>
          </c:xVal>
          <c:yVal>
            <c:numRef>
              <c:f>Field!$L$9:$L$109</c:f>
              <c:numCache/>
            </c:numRef>
          </c:yVal>
          <c:smooth val="1"/>
        </c:ser>
        <c:ser>
          <c:idx val="3"/>
          <c:order val="1"/>
          <c:tx>
            <c:strRef>
              <c:f>Field!$M$8</c:f>
              <c:strCache>
                <c:ptCount val="1"/>
                <c:pt idx="0">
                  <c:v>B2r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Field!$B$9:$B$109</c:f>
              <c:numCache/>
            </c:numRef>
          </c:xVal>
          <c:yVal>
            <c:numRef>
              <c:f>Field!$M$9:$M$109</c:f>
              <c:numCache/>
            </c:numRef>
          </c:yVal>
          <c:smooth val="1"/>
        </c:ser>
        <c:ser>
          <c:idx val="0"/>
          <c:order val="2"/>
          <c:tx>
            <c:strRef>
              <c:f>Field!$N$8</c:f>
              <c:strCache>
                <c:ptCount val="1"/>
                <c:pt idx="0">
                  <c:v>B3r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Field!$B$9:$B$109</c:f>
              <c:numCache/>
            </c:numRef>
          </c:xVal>
          <c:yVal>
            <c:numRef>
              <c:f>Field!$N$9:$N$109</c:f>
              <c:numCache/>
            </c:numRef>
          </c:yVal>
          <c:smooth val="1"/>
        </c:ser>
        <c:ser>
          <c:idx val="1"/>
          <c:order val="3"/>
          <c:tx>
            <c:strRef>
              <c:f>Field!$O$8</c:f>
              <c:strCache>
                <c:ptCount val="1"/>
                <c:pt idx="0">
                  <c:v>∑Br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Field!$B$9:$B$109</c:f>
              <c:numCache/>
            </c:numRef>
          </c:xVal>
          <c:yVal>
            <c:numRef>
              <c:f>Field!$O$9:$O$109</c:f>
              <c:numCache/>
            </c:numRef>
          </c:yVal>
          <c:smooth val="1"/>
        </c:ser>
        <c:axId val="17332755"/>
        <c:axId val="21777068"/>
      </c:scatterChart>
      <c:valAx>
        <c:axId val="1733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7068"/>
        <c:crosses val="autoZero"/>
        <c:crossBetween val="midCat"/>
        <c:dispUnits/>
      </c:valAx>
      <c:valAx>
        <c:axId val="21777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27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strRef>
              <c:f>Field!$F$8</c:f>
              <c:strCache>
                <c:ptCount val="1"/>
                <c:pt idx="0">
                  <c:v>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Field!$B$9:$B$109</c:f>
              <c:numCache/>
            </c:numRef>
          </c:xVal>
          <c:yVal>
            <c:numRef>
              <c:f>Field!$F$9:$F$109</c:f>
              <c:numCache/>
            </c:numRef>
          </c:yVal>
          <c:smooth val="1"/>
        </c:ser>
        <c:ser>
          <c:idx val="8"/>
          <c:order val="1"/>
          <c:tx>
            <c:strRef>
              <c:f>Field!$J$8</c:f>
              <c:strCache>
                <c:ptCount val="1"/>
                <c:pt idx="0">
                  <c:v>d1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Field!$B$9:$B$109</c:f>
              <c:numCache/>
            </c:numRef>
          </c:xVal>
          <c:yVal>
            <c:numRef>
              <c:f>Field!$J$9:$J$109</c:f>
              <c:numCache/>
            </c:numRef>
          </c:yVal>
          <c:smooth val="1"/>
        </c:ser>
        <c:axId val="61775885"/>
        <c:axId val="19112054"/>
      </c:scatterChart>
      <c:valAx>
        <c:axId val="61775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2054"/>
        <c:crosses val="autoZero"/>
        <c:crossBetween val="midCat"/>
        <c:dispUnits/>
      </c:valAx>
      <c:valAx>
        <c:axId val="19112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5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Spatial Variation of Br on Midplane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3"/>
          <c:order val="0"/>
          <c:tx>
            <c:strRef>
              <c:f>Field!$P$8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Field!$B$9:$B$129</c:f>
              <c:numCache/>
            </c:numRef>
          </c:xVal>
          <c:yVal>
            <c:numRef>
              <c:f>Field!$P$9:$P$129</c:f>
              <c:numCache/>
            </c:numRef>
          </c:yVal>
          <c:smooth val="1"/>
        </c:ser>
        <c:ser>
          <c:idx val="14"/>
          <c:order val="1"/>
          <c:tx>
            <c:strRef>
              <c:f>Field!$Q$8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Field!$B$9:$B$129</c:f>
              <c:numCache/>
            </c:numRef>
          </c:xVal>
          <c:yVal>
            <c:numRef>
              <c:f>Field!$Q$9:$Q$129</c:f>
              <c:numCache/>
            </c:numRef>
          </c:yVal>
          <c:smooth val="1"/>
        </c:ser>
        <c:ser>
          <c:idx val="15"/>
          <c:order val="2"/>
          <c:tx>
            <c:strRef>
              <c:f>Field!$R$8</c:f>
              <c:strCache>
                <c:ptCount val="1"/>
                <c:pt idx="0">
                  <c:v>120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Field!$B$9:$B$129</c:f>
              <c:numCache/>
            </c:numRef>
          </c:xVal>
          <c:yVal>
            <c:numRef>
              <c:f>Field!$R$9:$R$129</c:f>
              <c:numCache/>
            </c:numRef>
          </c:yVal>
          <c:smooth val="1"/>
        </c:ser>
        <c:ser>
          <c:idx val="16"/>
          <c:order val="3"/>
          <c:tx>
            <c:strRef>
              <c:f>Field!$S$8</c:f>
              <c:strCache>
                <c:ptCount val="1"/>
                <c:pt idx="0">
                  <c:v>180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Field!$B$9:$B$129</c:f>
              <c:numCache/>
            </c:numRef>
          </c:xVal>
          <c:yVal>
            <c:numRef>
              <c:f>Field!$S$9:$S$129</c:f>
              <c:numCache/>
            </c:numRef>
          </c:yVal>
          <c:smooth val="1"/>
        </c:ser>
        <c:ser>
          <c:idx val="17"/>
          <c:order val="4"/>
          <c:tx>
            <c:strRef>
              <c:f>Field!$T$8</c:f>
              <c:strCache>
                <c:ptCount val="1"/>
                <c:pt idx="0">
                  <c:v>240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Field!$B$9:$B$129</c:f>
              <c:numCache/>
            </c:numRef>
          </c:xVal>
          <c:yVal>
            <c:numRef>
              <c:f>Field!$T$9:$T$129</c:f>
              <c:numCache/>
            </c:numRef>
          </c:yVal>
          <c:smooth val="1"/>
        </c:ser>
        <c:ser>
          <c:idx val="18"/>
          <c:order val="5"/>
          <c:tx>
            <c:strRef>
              <c:f>Field!$U$8</c:f>
              <c:strCache>
                <c:ptCount val="1"/>
                <c:pt idx="0">
                  <c:v>300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Field!$B$9:$B$129</c:f>
              <c:numCache/>
            </c:numRef>
          </c:xVal>
          <c:yVal>
            <c:numRef>
              <c:f>Field!$U$9:$U$129</c:f>
              <c:numCache/>
            </c:numRef>
          </c:yVal>
          <c:smooth val="1"/>
        </c:ser>
        <c:ser>
          <c:idx val="19"/>
          <c:order val="6"/>
          <c:tx>
            <c:strRef>
              <c:f>Field!$V$8</c:f>
              <c:strCache>
                <c:ptCount val="1"/>
                <c:pt idx="0">
                  <c:v>∑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Field!$B$9:$B$129</c:f>
              <c:numCache/>
            </c:numRef>
          </c:xVal>
          <c:yVal>
            <c:numRef>
              <c:f>Field!$V$9:$V$129</c:f>
              <c:numCache/>
            </c:numRef>
          </c:yVal>
          <c:smooth val="1"/>
        </c:ser>
        <c:axId val="37790759"/>
        <c:axId val="4572512"/>
      </c:scatterChart>
      <c:valAx>
        <c:axId val="3779075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Toroidal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2512"/>
        <c:crosses val="autoZero"/>
        <c:crossBetween val="midCat"/>
        <c:dispUnits/>
      </c:valAx>
      <c:valAx>
        <c:axId val="4572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Br per amp-turn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37790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219075</xdr:colOff>
      <xdr:row>31</xdr:row>
      <xdr:rowOff>47625</xdr:rowOff>
    </xdr:from>
    <xdr:to>
      <xdr:col>28</xdr:col>
      <xdr:colOff>695325</xdr:colOff>
      <xdr:row>64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9925" y="5067300"/>
          <a:ext cx="63436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114300</xdr:colOff>
      <xdr:row>92</xdr:row>
      <xdr:rowOff>152400</xdr:rowOff>
    </xdr:from>
    <xdr:to>
      <xdr:col>23</xdr:col>
      <xdr:colOff>828675</xdr:colOff>
      <xdr:row>138</xdr:row>
      <xdr:rowOff>38100</xdr:rowOff>
    </xdr:to>
    <xdr:graphicFrame>
      <xdr:nvGraphicFramePr>
        <xdr:cNvPr id="2" name="Chart 10"/>
        <xdr:cNvGraphicFramePr/>
      </xdr:nvGraphicFramePr>
      <xdr:xfrm>
        <a:off x="17716500" y="14725650"/>
        <a:ext cx="6829425" cy="733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809625</xdr:colOff>
      <xdr:row>162</xdr:row>
      <xdr:rowOff>28575</xdr:rowOff>
    </xdr:from>
    <xdr:to>
      <xdr:col>23</xdr:col>
      <xdr:colOff>809625</xdr:colOff>
      <xdr:row>190</xdr:row>
      <xdr:rowOff>0</xdr:rowOff>
    </xdr:to>
    <xdr:graphicFrame>
      <xdr:nvGraphicFramePr>
        <xdr:cNvPr id="3" name="Chart 11"/>
        <xdr:cNvGraphicFramePr/>
      </xdr:nvGraphicFramePr>
      <xdr:xfrm>
        <a:off x="18411825" y="25936575"/>
        <a:ext cx="61150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1219200</xdr:colOff>
      <xdr:row>137</xdr:row>
      <xdr:rowOff>114300</xdr:rowOff>
    </xdr:from>
    <xdr:to>
      <xdr:col>20</xdr:col>
      <xdr:colOff>200025</xdr:colOff>
      <xdr:row>161</xdr:row>
      <xdr:rowOff>47625</xdr:rowOff>
    </xdr:to>
    <xdr:graphicFrame>
      <xdr:nvGraphicFramePr>
        <xdr:cNvPr id="4" name="Chart 16"/>
        <xdr:cNvGraphicFramePr/>
      </xdr:nvGraphicFramePr>
      <xdr:xfrm>
        <a:off x="14744700" y="21974175"/>
        <a:ext cx="65341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3</xdr:row>
      <xdr:rowOff>85725</xdr:rowOff>
    </xdr:from>
    <xdr:to>
      <xdr:col>9</xdr:col>
      <xdr:colOff>609600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924050" y="571500"/>
        <a:ext cx="6229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10</xdr:row>
      <xdr:rowOff>95250</xdr:rowOff>
    </xdr:from>
    <xdr:to>
      <xdr:col>9</xdr:col>
      <xdr:colOff>771525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085975" y="1714500"/>
        <a:ext cx="62293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361950</xdr:colOff>
      <xdr:row>5</xdr:row>
      <xdr:rowOff>76200</xdr:rowOff>
    </xdr:from>
    <xdr:to>
      <xdr:col>11</xdr:col>
      <xdr:colOff>314325</xdr:colOff>
      <xdr:row>37</xdr:row>
      <xdr:rowOff>152400</xdr:rowOff>
    </xdr:to>
    <xdr:graphicFrame>
      <xdr:nvGraphicFramePr>
        <xdr:cNvPr id="3" name="Chart 4"/>
        <xdr:cNvGraphicFramePr/>
      </xdr:nvGraphicFramePr>
      <xdr:xfrm>
        <a:off x="1200150" y="885825"/>
        <a:ext cx="8334375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workbookViewId="0" topLeftCell="A20">
      <selection activeCell="B37" sqref="B37"/>
    </sheetView>
  </sheetViews>
  <sheetFormatPr defaultColWidth="11.00390625" defaultRowHeight="12"/>
  <cols>
    <col min="1" max="1" width="23.625" style="0" bestFit="1" customWidth="1"/>
    <col min="2" max="2" width="14.625" style="0" bestFit="1" customWidth="1"/>
    <col min="3" max="6" width="14.625" style="0" customWidth="1"/>
    <col min="7" max="7" width="23.625" style="0" bestFit="1" customWidth="1"/>
    <col min="8" max="8" width="12.00390625" style="0" bestFit="1" customWidth="1"/>
    <col min="9" max="9" width="8.50390625" style="0" customWidth="1"/>
    <col min="10" max="11" width="12.00390625" style="0" bestFit="1" customWidth="1"/>
    <col min="12" max="12" width="12.625" style="0" bestFit="1" customWidth="1"/>
    <col min="13" max="13" width="20.50390625" style="0" bestFit="1" customWidth="1"/>
    <col min="20" max="21" width="12.625" style="0" bestFit="1" customWidth="1"/>
  </cols>
  <sheetData>
    <row r="1" spans="3:13" ht="12.75">
      <c r="C1" t="s">
        <v>267</v>
      </c>
      <c r="D1" t="s">
        <v>235</v>
      </c>
      <c r="E1" t="s">
        <v>236</v>
      </c>
      <c r="F1" t="s">
        <v>221</v>
      </c>
      <c r="G1" t="s">
        <v>222</v>
      </c>
      <c r="H1" s="33"/>
      <c r="I1" s="33" t="s">
        <v>141</v>
      </c>
      <c r="J1" s="33"/>
      <c r="K1" s="33" t="s">
        <v>267</v>
      </c>
      <c r="L1" s="33" t="s">
        <v>268</v>
      </c>
      <c r="M1" s="33"/>
    </row>
    <row r="2" spans="1:14" ht="12.75">
      <c r="A2" t="s">
        <v>43</v>
      </c>
      <c r="B2">
        <f aca="true" t="shared" si="0" ref="B2:G2">4*PI()*0.0000001</f>
        <v>1.2566370614359173E-06</v>
      </c>
      <c r="C2">
        <f t="shared" si="0"/>
        <v>1.2566370614359173E-06</v>
      </c>
      <c r="D2">
        <f t="shared" si="0"/>
        <v>1.2566370614359173E-06</v>
      </c>
      <c r="E2">
        <f t="shared" si="0"/>
        <v>1.2566370614359173E-06</v>
      </c>
      <c r="F2">
        <f t="shared" si="0"/>
        <v>1.2566370614359173E-06</v>
      </c>
      <c r="G2">
        <f t="shared" si="0"/>
        <v>1.2566370614359173E-06</v>
      </c>
      <c r="H2" t="s">
        <v>22</v>
      </c>
      <c r="I2" s="33" t="s">
        <v>43</v>
      </c>
      <c r="J2" s="33">
        <v>1.2566370614359173E-06</v>
      </c>
      <c r="K2" s="33"/>
      <c r="L2" s="33">
        <v>1.2566370614359173E-06</v>
      </c>
      <c r="M2" s="33">
        <v>1.2566370614359173E-06</v>
      </c>
      <c r="N2" s="33"/>
    </row>
    <row r="3" spans="1:14" ht="12.75">
      <c r="A3" t="s">
        <v>246</v>
      </c>
      <c r="B3">
        <v>0.854</v>
      </c>
      <c r="C3">
        <v>0.854</v>
      </c>
      <c r="D3">
        <v>0.854</v>
      </c>
      <c r="E3">
        <v>0.854</v>
      </c>
      <c r="F3">
        <v>1.67</v>
      </c>
      <c r="G3">
        <v>1.67</v>
      </c>
      <c r="I3" s="33"/>
      <c r="J3" s="33"/>
      <c r="K3" s="33"/>
      <c r="L3" s="33"/>
      <c r="M3" s="33"/>
      <c r="N3" s="33"/>
    </row>
    <row r="4" spans="1:14" ht="12.75">
      <c r="A4" t="s">
        <v>247</v>
      </c>
      <c r="B4">
        <v>1.25</v>
      </c>
      <c r="C4">
        <v>1.25</v>
      </c>
      <c r="D4">
        <v>1.25</v>
      </c>
      <c r="E4">
        <v>1.25</v>
      </c>
      <c r="F4">
        <v>2.5</v>
      </c>
      <c r="G4">
        <v>2.5</v>
      </c>
      <c r="I4" s="33"/>
      <c r="J4" s="33"/>
      <c r="K4" s="33"/>
      <c r="L4" s="33"/>
      <c r="M4" s="33"/>
      <c r="N4" s="33"/>
    </row>
    <row r="5" spans="1:14" ht="12.75">
      <c r="A5" t="s">
        <v>32</v>
      </c>
      <c r="B5" s="18">
        <v>5000</v>
      </c>
      <c r="C5" s="18">
        <v>5000</v>
      </c>
      <c r="D5" s="18">
        <v>5000</v>
      </c>
      <c r="E5" s="18">
        <v>5000</v>
      </c>
      <c r="F5" s="18">
        <v>5000</v>
      </c>
      <c r="G5" s="18">
        <v>5000</v>
      </c>
      <c r="H5" t="s">
        <v>48</v>
      </c>
      <c r="I5" s="33" t="s">
        <v>32</v>
      </c>
      <c r="J5" s="34">
        <v>5000</v>
      </c>
      <c r="K5" s="34">
        <v>5000</v>
      </c>
      <c r="L5" s="35">
        <v>5000</v>
      </c>
      <c r="M5" s="35">
        <v>5000</v>
      </c>
      <c r="N5" s="33" t="s">
        <v>48</v>
      </c>
    </row>
    <row r="6" spans="1:14" ht="12.75">
      <c r="A6" t="s">
        <v>31</v>
      </c>
      <c r="B6" s="19">
        <v>1</v>
      </c>
      <c r="C6" s="19">
        <v>1</v>
      </c>
      <c r="D6" s="19">
        <v>1</v>
      </c>
      <c r="E6" s="19">
        <v>2</v>
      </c>
      <c r="F6" s="19">
        <v>1</v>
      </c>
      <c r="G6" s="19">
        <v>4</v>
      </c>
      <c r="I6" s="33" t="s">
        <v>31</v>
      </c>
      <c r="J6" s="33">
        <v>1</v>
      </c>
      <c r="K6" s="33">
        <v>1</v>
      </c>
      <c r="L6" s="36">
        <v>1</v>
      </c>
      <c r="M6" s="36">
        <v>1</v>
      </c>
      <c r="N6" s="33"/>
    </row>
    <row r="7" spans="1:14" ht="12.75">
      <c r="A7" t="s">
        <v>40</v>
      </c>
      <c r="B7" s="2">
        <f aca="true" t="shared" si="1" ref="B7:G7">B5*B6</f>
        <v>5000</v>
      </c>
      <c r="C7" s="2">
        <f t="shared" si="1"/>
        <v>5000</v>
      </c>
      <c r="D7" s="2">
        <f t="shared" si="1"/>
        <v>5000</v>
      </c>
      <c r="E7" s="2">
        <f t="shared" si="1"/>
        <v>10000</v>
      </c>
      <c r="F7" s="2">
        <f t="shared" si="1"/>
        <v>5000</v>
      </c>
      <c r="G7" s="2">
        <f t="shared" si="1"/>
        <v>20000</v>
      </c>
      <c r="H7" t="s">
        <v>16</v>
      </c>
      <c r="I7" s="33" t="s">
        <v>40</v>
      </c>
      <c r="J7" s="34">
        <v>5000</v>
      </c>
      <c r="K7" s="34">
        <v>5000</v>
      </c>
      <c r="L7" s="34">
        <v>5000</v>
      </c>
      <c r="M7" s="34">
        <v>5000</v>
      </c>
      <c r="N7" s="33" t="s">
        <v>16</v>
      </c>
    </row>
    <row r="8" spans="1:14" ht="12.75">
      <c r="A8" t="s">
        <v>35</v>
      </c>
      <c r="B8" s="20">
        <f>(133.5/2+6)*2.54/100</f>
        <v>1.84785</v>
      </c>
      <c r="C8" s="20">
        <f>(133.5/2-5/8)*2.54/100</f>
        <v>1.679575</v>
      </c>
      <c r="D8" s="20">
        <f>(133.5/2+6)*2.54/100</f>
        <v>1.84785</v>
      </c>
      <c r="E8" s="20">
        <f>(133.5/2+6)*2.54/100</f>
        <v>1.84785</v>
      </c>
      <c r="F8" s="20">
        <f>F3+F3/F4</f>
        <v>2.338</v>
      </c>
      <c r="G8" s="20">
        <v>2.56</v>
      </c>
      <c r="H8" t="s">
        <v>49</v>
      </c>
      <c r="I8" s="33" t="s">
        <v>35</v>
      </c>
      <c r="J8" s="37">
        <v>2.34</v>
      </c>
      <c r="K8" s="37">
        <v>2.34</v>
      </c>
      <c r="L8" s="38">
        <v>1.679575</v>
      </c>
      <c r="M8" s="38">
        <v>1.812925</v>
      </c>
      <c r="N8" s="33" t="s">
        <v>49</v>
      </c>
    </row>
    <row r="9" spans="1:14" ht="12.75">
      <c r="A9" t="s">
        <v>47</v>
      </c>
      <c r="B9" s="20">
        <v>6</v>
      </c>
      <c r="C9" s="20">
        <v>6</v>
      </c>
      <c r="D9" s="20">
        <v>6</v>
      </c>
      <c r="E9" s="20">
        <v>6</v>
      </c>
      <c r="F9" s="20">
        <v>6</v>
      </c>
      <c r="G9" s="20">
        <v>6</v>
      </c>
      <c r="I9" s="33" t="s">
        <v>47</v>
      </c>
      <c r="J9" s="37"/>
      <c r="K9" s="37"/>
      <c r="L9" s="38">
        <v>6</v>
      </c>
      <c r="M9" s="38">
        <v>6</v>
      </c>
      <c r="N9" s="33"/>
    </row>
    <row r="10" spans="1:14" ht="12.75">
      <c r="A10" t="s">
        <v>33</v>
      </c>
      <c r="B10" s="4">
        <f aca="true" t="shared" si="2" ref="B10:G10">2*PI()*B8/B9</f>
        <v>1.935063994978633</v>
      </c>
      <c r="C10" s="4">
        <f t="shared" si="2"/>
        <v>1.7588468270510258</v>
      </c>
      <c r="D10" s="4">
        <f t="shared" si="2"/>
        <v>1.935063994978633</v>
      </c>
      <c r="E10" s="4">
        <f t="shared" si="2"/>
        <v>1.935063994978633</v>
      </c>
      <c r="F10" s="4">
        <f t="shared" si="2"/>
        <v>2.4483478746976455</v>
      </c>
      <c r="G10" s="4">
        <f t="shared" si="2"/>
        <v>2.6808257310632904</v>
      </c>
      <c r="H10" t="s">
        <v>49</v>
      </c>
      <c r="I10" s="33" t="s">
        <v>33</v>
      </c>
      <c r="J10" s="37">
        <v>2</v>
      </c>
      <c r="K10" s="37">
        <v>2</v>
      </c>
      <c r="L10" s="37">
        <v>1.7588468270510258</v>
      </c>
      <c r="M10" s="37">
        <v>1.8984906205030916</v>
      </c>
      <c r="N10" s="33" t="s">
        <v>49</v>
      </c>
    </row>
    <row r="11" spans="1:14" ht="12.75">
      <c r="A11" t="s">
        <v>34</v>
      </c>
      <c r="B11" s="20">
        <v>1</v>
      </c>
      <c r="C11" s="20">
        <v>1</v>
      </c>
      <c r="D11" s="20">
        <v>1</v>
      </c>
      <c r="E11" s="20">
        <v>1</v>
      </c>
      <c r="F11" s="20">
        <f>2*0.51</f>
        <v>1.02</v>
      </c>
      <c r="G11" s="20">
        <v>1.6</v>
      </c>
      <c r="H11" t="s">
        <v>49</v>
      </c>
      <c r="I11" s="33" t="s">
        <v>34</v>
      </c>
      <c r="J11" s="37">
        <v>0.51</v>
      </c>
      <c r="K11" s="37">
        <v>0.51</v>
      </c>
      <c r="L11" s="38">
        <v>1</v>
      </c>
      <c r="M11" s="38">
        <v>1</v>
      </c>
      <c r="N11" s="33" t="s">
        <v>49</v>
      </c>
    </row>
    <row r="12" spans="1:14" ht="12.75">
      <c r="A12" t="s">
        <v>103</v>
      </c>
      <c r="B12" s="20">
        <v>1</v>
      </c>
      <c r="C12" s="20">
        <v>0.5</v>
      </c>
      <c r="D12" s="20">
        <v>1</v>
      </c>
      <c r="E12" s="20">
        <v>1</v>
      </c>
      <c r="F12" s="20">
        <v>0.5</v>
      </c>
      <c r="G12" s="20">
        <v>1</v>
      </c>
      <c r="H12" t="s">
        <v>49</v>
      </c>
      <c r="I12" s="33" t="s">
        <v>103</v>
      </c>
      <c r="J12" s="37">
        <v>0.5464249986626168</v>
      </c>
      <c r="K12" s="37"/>
      <c r="L12" s="38">
        <v>0.5</v>
      </c>
      <c r="M12" s="38">
        <v>0.5</v>
      </c>
      <c r="N12" s="33" t="s">
        <v>49</v>
      </c>
    </row>
    <row r="13" spans="1:14" ht="12.75">
      <c r="A13" t="s">
        <v>90</v>
      </c>
      <c r="B13" s="4">
        <f>2*(B10+B11)</f>
        <v>5.8701279899572665</v>
      </c>
      <c r="C13" s="4">
        <f>2*(C10+C11)</f>
        <v>5.517693654102052</v>
      </c>
      <c r="D13" s="4">
        <f>2*(D10+D11)</f>
        <v>5.8701279899572665</v>
      </c>
      <c r="E13" s="4">
        <f aca="true" t="shared" si="3" ref="B13:G13">2*(E10+E11)</f>
        <v>5.8701279899572665</v>
      </c>
      <c r="F13" s="4">
        <f t="shared" si="3"/>
        <v>6.936695749395291</v>
      </c>
      <c r="G13" s="4">
        <f t="shared" si="3"/>
        <v>8.56165146212658</v>
      </c>
      <c r="H13" t="s">
        <v>49</v>
      </c>
      <c r="I13" s="33" t="s">
        <v>90</v>
      </c>
      <c r="J13" s="37">
        <v>5.02</v>
      </c>
      <c r="K13" s="37"/>
      <c r="L13" s="37">
        <v>5.517693654102052</v>
      </c>
      <c r="M13" s="37">
        <v>5.796981241006183</v>
      </c>
      <c r="N13" s="33" t="s">
        <v>49</v>
      </c>
    </row>
    <row r="14" spans="1:14" ht="12.75">
      <c r="A14" t="s">
        <v>14</v>
      </c>
      <c r="B14" s="4">
        <f aca="true" t="shared" si="4" ref="B14:G14">B6*B13+2*B12</f>
        <v>7.8701279899572665</v>
      </c>
      <c r="C14" s="4">
        <f t="shared" si="4"/>
        <v>6.517693654102052</v>
      </c>
      <c r="D14" s="4">
        <f t="shared" si="4"/>
        <v>7.8701279899572665</v>
      </c>
      <c r="E14" s="4">
        <f t="shared" si="4"/>
        <v>13.740255979914533</v>
      </c>
      <c r="F14" s="4">
        <f t="shared" si="4"/>
        <v>7.936695749395291</v>
      </c>
      <c r="G14" s="4">
        <f t="shared" si="4"/>
        <v>36.24660584850632</v>
      </c>
      <c r="H14" t="s">
        <v>49</v>
      </c>
      <c r="I14" s="33" t="s">
        <v>14</v>
      </c>
      <c r="J14" s="37">
        <v>6.112849997325233</v>
      </c>
      <c r="K14" s="37"/>
      <c r="L14" s="37">
        <v>6.517693654102052</v>
      </c>
      <c r="M14" s="37">
        <v>6.796981241006183</v>
      </c>
      <c r="N14" s="33" t="s">
        <v>49</v>
      </c>
    </row>
    <row r="15" spans="1:14" ht="12.75">
      <c r="A15" t="s">
        <v>36</v>
      </c>
      <c r="B15" s="20">
        <f>B3+0.6*B3/B4</f>
        <v>1.26392</v>
      </c>
      <c r="C15" s="20">
        <f>C3+0.6*C3/C4</f>
        <v>1.26392</v>
      </c>
      <c r="D15" s="20">
        <f>D3+0.6*D3/D4</f>
        <v>1.26392</v>
      </c>
      <c r="E15" s="20">
        <f>E3+0.6*E3/E4</f>
        <v>1.26392</v>
      </c>
      <c r="F15" s="20">
        <f>F3+0.6*F3/F4</f>
        <v>2.0707999999999998</v>
      </c>
      <c r="G15" s="20">
        <f>G3+0.6*G3/G4</f>
        <v>2.0707999999999998</v>
      </c>
      <c r="H15" t="s">
        <v>49</v>
      </c>
      <c r="I15" s="33" t="s">
        <v>36</v>
      </c>
      <c r="J15" s="37">
        <v>2.14</v>
      </c>
      <c r="K15" s="37"/>
      <c r="L15" s="38">
        <v>1.26392</v>
      </c>
      <c r="M15" s="38">
        <v>1.26392</v>
      </c>
      <c r="N15" s="33" t="s">
        <v>49</v>
      </c>
    </row>
    <row r="16" spans="1:14" ht="12.75">
      <c r="A16" t="s">
        <v>38</v>
      </c>
      <c r="B16" s="4">
        <f aca="true" t="shared" si="5" ref="B16:G16">SQRT((B11/2)^2+(B8-B15)^2)</f>
        <v>0.7687484926164083</v>
      </c>
      <c r="C16" s="4">
        <f t="shared" si="5"/>
        <v>0.6502069509202436</v>
      </c>
      <c r="D16" s="4">
        <f t="shared" si="5"/>
        <v>0.7687484926164083</v>
      </c>
      <c r="E16" s="4">
        <f t="shared" si="5"/>
        <v>0.7687484926164083</v>
      </c>
      <c r="F16" s="4">
        <f t="shared" si="5"/>
        <v>0.5757567541939913</v>
      </c>
      <c r="G16" s="4">
        <f t="shared" si="5"/>
        <v>0.9377188491226996</v>
      </c>
      <c r="H16" t="s">
        <v>49</v>
      </c>
      <c r="I16" s="33" t="s">
        <v>38</v>
      </c>
      <c r="J16" s="37">
        <v>0.32407560846197614</v>
      </c>
      <c r="K16" s="37"/>
      <c r="L16" s="37">
        <v>0.6502069509202436</v>
      </c>
      <c r="M16" s="37">
        <v>0.7425674986322792</v>
      </c>
      <c r="N16" s="33" t="s">
        <v>49</v>
      </c>
    </row>
    <row r="17" spans="1:14" ht="12.75">
      <c r="A17" t="s">
        <v>39</v>
      </c>
      <c r="B17" s="4">
        <f>SQRT((B10/2)^2+(B8-B15)^2)</f>
        <v>1.1300851344326528</v>
      </c>
      <c r="C17" s="4">
        <f>SQRT((C10/2)^2+(C8-C15)^2)</f>
        <v>0.9727047955478915</v>
      </c>
      <c r="D17" s="4">
        <f>SQRT((D10/2)^2+(D8-D15)^2)</f>
        <v>1.1300851344326528</v>
      </c>
      <c r="E17" s="4">
        <f aca="true" t="shared" si="6" ref="B17:G17">SQRT((E10/2)^2+(E8-E15)^2)</f>
        <v>1.1300851344326528</v>
      </c>
      <c r="F17" s="4">
        <f t="shared" si="6"/>
        <v>1.2529954783973163</v>
      </c>
      <c r="G17" s="4">
        <f t="shared" si="6"/>
        <v>1.4268928796804463</v>
      </c>
      <c r="H17" t="s">
        <v>49</v>
      </c>
      <c r="I17" s="33" t="s">
        <v>39</v>
      </c>
      <c r="J17" s="37">
        <v>1.019803902718557</v>
      </c>
      <c r="K17" s="37"/>
      <c r="L17" s="37">
        <v>0.9727047955478915</v>
      </c>
      <c r="M17" s="37">
        <v>1.0965733669297069</v>
      </c>
      <c r="N17" s="33" t="s">
        <v>49</v>
      </c>
    </row>
    <row r="18" spans="1:14" ht="12.75">
      <c r="A18" t="s">
        <v>41</v>
      </c>
      <c r="B18" s="2">
        <f>PI()-(ASIN(B11/2/B16)+PI()/2)</f>
        <v>0.8626751685500333</v>
      </c>
      <c r="C18" s="2">
        <f>PI()-(ASIN(C11/2/C16)+PI()/2)</f>
        <v>0.6935429889959828</v>
      </c>
      <c r="D18" s="2">
        <f>PI()-(ASIN(D11/2/D16)+PI()/2)</f>
        <v>0.8626751685500333</v>
      </c>
      <c r="E18" s="2">
        <f aca="true" t="shared" si="7" ref="B18:G18">PI()-(ASIN(E11/2/E16)+PI()/2)</f>
        <v>0.8626751685500333</v>
      </c>
      <c r="F18" s="2">
        <f t="shared" si="7"/>
        <v>0.4826012122628214</v>
      </c>
      <c r="G18" s="2">
        <f t="shared" si="7"/>
        <v>0.5488324995250435</v>
      </c>
      <c r="H18" t="s">
        <v>50</v>
      </c>
      <c r="I18" s="33" t="s">
        <v>41</v>
      </c>
      <c r="J18" s="34">
        <v>0.6651026864694947</v>
      </c>
      <c r="K18" s="34"/>
      <c r="L18" s="34">
        <v>0.6935429889959828</v>
      </c>
      <c r="M18" s="34">
        <v>0.832079921649385</v>
      </c>
      <c r="N18" s="33" t="s">
        <v>50</v>
      </c>
    </row>
    <row r="19" spans="2:14" ht="12.75">
      <c r="B19" s="2">
        <f aca="true" t="shared" si="8" ref="B19:G19">B18*180/PI()</f>
        <v>49.427646248653836</v>
      </c>
      <c r="C19" s="2">
        <f t="shared" si="8"/>
        <v>39.737086180357906</v>
      </c>
      <c r="D19" s="2">
        <f t="shared" si="8"/>
        <v>49.427646248653836</v>
      </c>
      <c r="E19" s="2">
        <f t="shared" si="8"/>
        <v>49.427646248653836</v>
      </c>
      <c r="F19" s="2">
        <f t="shared" si="8"/>
        <v>27.651012650556854</v>
      </c>
      <c r="G19" s="2">
        <f t="shared" si="8"/>
        <v>31.445785882400756</v>
      </c>
      <c r="H19" t="s">
        <v>51</v>
      </c>
      <c r="I19" s="33"/>
      <c r="J19" s="34">
        <v>38.10757687751489</v>
      </c>
      <c r="K19" s="34"/>
      <c r="L19" s="34">
        <v>39.737086180357906</v>
      </c>
      <c r="M19" s="34">
        <v>47.67466772808598</v>
      </c>
      <c r="N19" s="33" t="s">
        <v>51</v>
      </c>
    </row>
    <row r="20" spans="1:14" ht="12.75">
      <c r="A20" t="s">
        <v>42</v>
      </c>
      <c r="B20" s="2">
        <f>PI()-(ASIN(B10/2/B17)+PI()/2)</f>
        <v>0.5430075720349885</v>
      </c>
      <c r="C20" s="2">
        <f>PI()-(ASIN(C10/2/C17)+PI()/2)</f>
        <v>0.4415250411367557</v>
      </c>
      <c r="D20" s="2">
        <f>PI()-(ASIN(D10/2/D17)+PI()/2)</f>
        <v>0.5430075720349885</v>
      </c>
      <c r="E20" s="2">
        <f aca="true" t="shared" si="9" ref="B20:G20">PI()-(ASIN(E10/2/E17)+PI()/2)</f>
        <v>0.5430075720349885</v>
      </c>
      <c r="F20" s="2">
        <f t="shared" si="9"/>
        <v>0.21489922645649484</v>
      </c>
      <c r="G20" s="2">
        <f t="shared" si="9"/>
        <v>0.3499414801544116</v>
      </c>
      <c r="H20" t="s">
        <v>50</v>
      </c>
      <c r="I20" s="33" t="s">
        <v>42</v>
      </c>
      <c r="J20" s="34">
        <v>0.19739555984988089</v>
      </c>
      <c r="K20" s="34"/>
      <c r="L20" s="34">
        <v>0.4415250411367557</v>
      </c>
      <c r="M20" s="34">
        <v>0.5243553339673652</v>
      </c>
      <c r="N20" s="33" t="s">
        <v>50</v>
      </c>
    </row>
    <row r="21" spans="2:18" ht="12.75">
      <c r="B21" s="2">
        <f aca="true" t="shared" si="10" ref="B21:G21">B20*180/PI()</f>
        <v>31.112042121250866</v>
      </c>
      <c r="C21" s="2">
        <f t="shared" si="10"/>
        <v>25.29752140647616</v>
      </c>
      <c r="D21" s="2">
        <f t="shared" si="10"/>
        <v>31.112042121250866</v>
      </c>
      <c r="E21" s="2">
        <f t="shared" si="10"/>
        <v>31.112042121250866</v>
      </c>
      <c r="F21" s="2">
        <f t="shared" si="10"/>
        <v>12.312818696583276</v>
      </c>
      <c r="G21" s="2">
        <f t="shared" si="10"/>
        <v>20.050169889408842</v>
      </c>
      <c r="H21" t="s">
        <v>51</v>
      </c>
      <c r="I21" s="33"/>
      <c r="J21" s="34">
        <v>11.30993247402022</v>
      </c>
      <c r="K21" s="34"/>
      <c r="L21" s="34">
        <v>25.29752140647616</v>
      </c>
      <c r="M21" s="34">
        <v>30.043347601502806</v>
      </c>
      <c r="N21" s="33" t="s">
        <v>51</v>
      </c>
      <c r="P21">
        <v>0</v>
      </c>
      <c r="Q21">
        <v>1</v>
      </c>
      <c r="R21" s="9">
        <f>xm0+xm1*P21+xm2*P21^2+xm3*P21^3+xm4*P21^4</f>
        <v>1.0014</v>
      </c>
    </row>
    <row r="22" spans="1:18" ht="12.75">
      <c r="A22" t="s">
        <v>44</v>
      </c>
      <c r="B22" s="2">
        <f>10000*mu0*B7/2/PI()/B16</f>
        <v>13.008155588006886</v>
      </c>
      <c r="C22" s="2">
        <f>10000*mu0*C7/2/PI()/C16</f>
        <v>15.379718697019332</v>
      </c>
      <c r="D22" s="2">
        <f>10000*mu0*D7/2/PI()/D16</f>
        <v>13.008155588006886</v>
      </c>
      <c r="E22" s="2">
        <f aca="true" t="shared" si="11" ref="B22:G22">10000*mu0*E7/2/PI()/E16</f>
        <v>26.016311176013772</v>
      </c>
      <c r="F22" s="2">
        <f t="shared" si="11"/>
        <v>17.368445836122444</v>
      </c>
      <c r="G22" s="2">
        <f t="shared" si="11"/>
        <v>42.65670892445294</v>
      </c>
      <c r="H22" t="s">
        <v>52</v>
      </c>
      <c r="I22" s="33" t="s">
        <v>44</v>
      </c>
      <c r="J22" s="34">
        <v>30.856996759055082</v>
      </c>
      <c r="K22" s="34"/>
      <c r="L22" s="34">
        <v>15.379718697019332</v>
      </c>
      <c r="M22" s="34">
        <v>13.46678923925274</v>
      </c>
      <c r="N22" s="33" t="s">
        <v>52</v>
      </c>
      <c r="P22">
        <v>0.5</v>
      </c>
      <c r="Q22">
        <v>1.0003</v>
      </c>
      <c r="R22" s="9">
        <f aca="true" t="shared" si="12" ref="R22:R60">xm0+xm1*P22+xm2*P22^2+xm3*P22^3+xm4*P22^4</f>
        <v>1.001806475</v>
      </c>
    </row>
    <row r="23" spans="1:18" ht="12.75">
      <c r="A23" t="s">
        <v>45</v>
      </c>
      <c r="B23" s="2">
        <f>10000*mu0*B7/2/PI()/B17</f>
        <v>8.848890844865767</v>
      </c>
      <c r="C23" s="2">
        <f>10000*mu0*C7/2/PI()/C17</f>
        <v>10.280611389776631</v>
      </c>
      <c r="D23" s="2">
        <f>10000*mu0*D7/2/PI()/D17</f>
        <v>8.848890844865767</v>
      </c>
      <c r="E23" s="2">
        <f aca="true" t="shared" si="13" ref="B23:G23">10000*mu0*E7/2/PI()/E17</f>
        <v>17.697781689731535</v>
      </c>
      <c r="F23" s="2">
        <f t="shared" si="13"/>
        <v>7.980874769628714</v>
      </c>
      <c r="G23" s="2">
        <f t="shared" si="13"/>
        <v>28.032938260199348</v>
      </c>
      <c r="H23" t="s">
        <v>52</v>
      </c>
      <c r="I23" s="33" t="s">
        <v>45</v>
      </c>
      <c r="J23" s="34">
        <v>9.805806756909202</v>
      </c>
      <c r="K23" s="34"/>
      <c r="L23" s="34">
        <v>10.280611389776631</v>
      </c>
      <c r="M23" s="34">
        <v>9.119316866138176</v>
      </c>
      <c r="N23" s="33" t="s">
        <v>52</v>
      </c>
      <c r="P23">
        <f>P22+0.1</f>
        <v>0.6</v>
      </c>
      <c r="Q23">
        <v>1.0007</v>
      </c>
      <c r="R23" s="9">
        <f t="shared" si="12"/>
        <v>1.00127597856</v>
      </c>
    </row>
    <row r="24" spans="1:18" ht="12.75">
      <c r="A24" t="s">
        <v>46</v>
      </c>
      <c r="B24" s="2">
        <f aca="true" t="shared" si="14" ref="B24:G24">2*(B22*COS(B18)+B23*COS(B20))</f>
        <v>32.073317466395075</v>
      </c>
      <c r="C24" s="2">
        <f t="shared" si="14"/>
        <v>42.24299753950444</v>
      </c>
      <c r="D24" s="2">
        <f t="shared" si="14"/>
        <v>32.073317466395075</v>
      </c>
      <c r="E24" s="2">
        <f t="shared" si="14"/>
        <v>64.14663493279015</v>
      </c>
      <c r="F24" s="2">
        <f t="shared" si="14"/>
        <v>46.36421250271573</v>
      </c>
      <c r="G24" s="2">
        <f t="shared" si="14"/>
        <v>125.45167212176949</v>
      </c>
      <c r="H24" t="s">
        <v>52</v>
      </c>
      <c r="I24" s="33" t="s">
        <v>46</v>
      </c>
      <c r="J24" s="34">
        <v>67.79063592917434</v>
      </c>
      <c r="K24" s="34"/>
      <c r="L24" s="34">
        <v>42.24299753950444</v>
      </c>
      <c r="M24" s="34">
        <v>33.9236575686697</v>
      </c>
      <c r="N24" s="33" t="s">
        <v>52</v>
      </c>
      <c r="P24">
        <f>P23+0.1</f>
        <v>0.7</v>
      </c>
      <c r="Q24">
        <v>1.0012</v>
      </c>
      <c r="R24" s="9">
        <f t="shared" si="12"/>
        <v>1.0009860163600002</v>
      </c>
    </row>
    <row r="25" spans="2:18" s="1" customFormat="1" ht="12.75">
      <c r="B25" s="1">
        <f aca="true" t="shared" si="15" ref="B25:G25">B24/B7</f>
        <v>0.006414663493279015</v>
      </c>
      <c r="C25" s="1">
        <f t="shared" si="15"/>
        <v>0.008448599507900887</v>
      </c>
      <c r="D25" s="1">
        <f t="shared" si="15"/>
        <v>0.006414663493279015</v>
      </c>
      <c r="E25" s="1">
        <f t="shared" si="15"/>
        <v>0.006414663493279015</v>
      </c>
      <c r="F25" s="1">
        <f t="shared" si="15"/>
        <v>0.009272842500543147</v>
      </c>
      <c r="G25" s="1">
        <f t="shared" si="15"/>
        <v>0.0062725836060884745</v>
      </c>
      <c r="H25" s="1" t="s">
        <v>127</v>
      </c>
      <c r="I25" s="39"/>
      <c r="J25" s="39">
        <v>0.013558127185834868</v>
      </c>
      <c r="K25" s="39"/>
      <c r="L25" s="39">
        <v>0.008448599507900887</v>
      </c>
      <c r="M25" s="39">
        <v>0.0067847315137339395</v>
      </c>
      <c r="N25" s="39" t="s">
        <v>15</v>
      </c>
      <c r="P25">
        <f>P24+0.1</f>
        <v>0.7999999999999999</v>
      </c>
      <c r="Q25">
        <v>1.0021</v>
      </c>
      <c r="R25" s="9">
        <f t="shared" si="12"/>
        <v>1.0011058265600001</v>
      </c>
    </row>
    <row r="26" spans="1:18" s="1" customFormat="1" ht="12.75">
      <c r="A26" t="s">
        <v>239</v>
      </c>
      <c r="B26" s="4">
        <f>SQRT((B11/2)^2+(B8+B15)^2)</f>
        <v>3.1516840788537164</v>
      </c>
      <c r="C26" s="4">
        <f>SQRT((C11/2)^2+(C8+C15)^2)</f>
        <v>2.9856595276462787</v>
      </c>
      <c r="D26" s="4">
        <f>SQRT((D11/2)^2+(D8+D15)^2)</f>
        <v>3.1516840788537164</v>
      </c>
      <c r="E26" s="4">
        <f aca="true" t="shared" si="16" ref="B26:G26">SQRT((E11/2)^2+(E8+E15)^2)</f>
        <v>3.1516840788537164</v>
      </c>
      <c r="F26" s="4">
        <f t="shared" si="16"/>
        <v>4.438199797215082</v>
      </c>
      <c r="G26" s="4">
        <f t="shared" si="16"/>
        <v>4.6993944971666295</v>
      </c>
      <c r="H26" t="s">
        <v>49</v>
      </c>
      <c r="I26" s="39"/>
      <c r="J26" s="39"/>
      <c r="K26" s="39"/>
      <c r="L26" s="39"/>
      <c r="M26" s="39"/>
      <c r="N26" s="39"/>
      <c r="P26"/>
      <c r="Q26"/>
      <c r="R26" s="9"/>
    </row>
    <row r="27" spans="1:18" s="1" customFormat="1" ht="12.75">
      <c r="A27" t="s">
        <v>240</v>
      </c>
      <c r="B27" s="4">
        <f>SQRT((B10/2)^2+(B8+B15)^2)</f>
        <v>3.258716112070161</v>
      </c>
      <c r="C27" s="4">
        <f>SQRT((C10/2)^2+(C8+C15)^2)</f>
        <v>3.072059302045106</v>
      </c>
      <c r="D27" s="4">
        <f>SQRT((D10/2)^2+(D8+D15)^2)</f>
        <v>3.258716112070161</v>
      </c>
      <c r="E27" s="4">
        <f aca="true" t="shared" si="17" ref="B27:G27">SQRT((E10/2)^2+(E8+E15)^2)</f>
        <v>3.258716112070161</v>
      </c>
      <c r="F27" s="4">
        <f t="shared" si="17"/>
        <v>4.57560042714441</v>
      </c>
      <c r="G27" s="4">
        <f t="shared" si="17"/>
        <v>4.820893619453011</v>
      </c>
      <c r="H27" t="s">
        <v>49</v>
      </c>
      <c r="I27" s="39"/>
      <c r="J27" s="39"/>
      <c r="K27" s="39"/>
      <c r="L27" s="39"/>
      <c r="M27" s="39"/>
      <c r="N27" s="39"/>
      <c r="P27"/>
      <c r="Q27"/>
      <c r="R27" s="9"/>
    </row>
    <row r="28" spans="1:18" s="1" customFormat="1" ht="12.75">
      <c r="A28" t="s">
        <v>241</v>
      </c>
      <c r="B28" s="2">
        <f>PI()-(ASIN(B11/2/B26)+PI()/2)</f>
        <v>1.4114778590236166</v>
      </c>
      <c r="C28" s="2">
        <f>PI()-(ASIN(C11/2/C26)+PI()/2)</f>
        <v>1.4025363167989302</v>
      </c>
      <c r="D28" s="2">
        <f>PI()-(ASIN(D11/2/D26)+PI()/2)</f>
        <v>1.4114778590236166</v>
      </c>
      <c r="E28" s="2">
        <f aca="true" t="shared" si="18" ref="B28:G28">PI()-(ASIN(E11/2/E26)+PI()/2)</f>
        <v>1.4114778590236166</v>
      </c>
      <c r="F28" s="2">
        <f t="shared" si="18"/>
        <v>1.455630462199503</v>
      </c>
      <c r="G28" s="2">
        <f t="shared" si="18"/>
        <v>1.399728488709603</v>
      </c>
      <c r="H28" t="s">
        <v>50</v>
      </c>
      <c r="I28" s="39"/>
      <c r="J28" s="39"/>
      <c r="K28" s="39"/>
      <c r="L28" s="39"/>
      <c r="M28" s="39"/>
      <c r="N28" s="39"/>
      <c r="P28"/>
      <c r="Q28"/>
      <c r="R28" s="9"/>
    </row>
    <row r="29" spans="1:18" s="1" customFormat="1" ht="12.75">
      <c r="A29"/>
      <c r="B29" s="2">
        <f aca="true" t="shared" si="19" ref="B29:G29">B28*180/PI()</f>
        <v>80.87172419821464</v>
      </c>
      <c r="C29" s="2">
        <f t="shared" si="19"/>
        <v>80.35941156640209</v>
      </c>
      <c r="D29" s="2">
        <f t="shared" si="19"/>
        <v>80.87172419821464</v>
      </c>
      <c r="E29" s="2">
        <f t="shared" si="19"/>
        <v>80.87172419821464</v>
      </c>
      <c r="F29" s="2">
        <f t="shared" si="19"/>
        <v>83.40148201470885</v>
      </c>
      <c r="G29" s="2">
        <f t="shared" si="19"/>
        <v>80.19853486728536</v>
      </c>
      <c r="H29" t="s">
        <v>51</v>
      </c>
      <c r="I29" s="39"/>
      <c r="J29" s="39"/>
      <c r="K29" s="39"/>
      <c r="L29" s="39"/>
      <c r="M29" s="39"/>
      <c r="N29" s="39"/>
      <c r="P29"/>
      <c r="Q29"/>
      <c r="R29" s="9"/>
    </row>
    <row r="30" spans="1:18" s="1" customFormat="1" ht="12.75">
      <c r="A30" t="s">
        <v>242</v>
      </c>
      <c r="B30" s="2">
        <f>PI()-(ASIN(B10/2/B27)+PI()/2)</f>
        <v>1.2693455377075833</v>
      </c>
      <c r="C30" s="2">
        <f>PI()-(ASIN(C10/2/C27)+PI()/2)</f>
        <v>1.2804697851895654</v>
      </c>
      <c r="D30" s="2">
        <f>PI()-(ASIN(D10/2/D27)+PI()/2)</f>
        <v>1.2693455377075833</v>
      </c>
      <c r="E30" s="2">
        <f aca="true" t="shared" si="20" ref="B30:G30">PI()-(ASIN(E10/2/E27)+PI()/2)</f>
        <v>1.2693455377075833</v>
      </c>
      <c r="F30" s="2">
        <f t="shared" si="20"/>
        <v>1.299953234101129</v>
      </c>
      <c r="G30" s="2">
        <f t="shared" si="20"/>
        <v>1.2890407724007158</v>
      </c>
      <c r="H30" t="s">
        <v>50</v>
      </c>
      <c r="I30" s="39"/>
      <c r="J30" s="39"/>
      <c r="K30" s="39"/>
      <c r="L30" s="39"/>
      <c r="M30" s="39"/>
      <c r="N30" s="39"/>
      <c r="P30"/>
      <c r="Q30"/>
      <c r="R30" s="9"/>
    </row>
    <row r="31" spans="1:18" s="1" customFormat="1" ht="12.75">
      <c r="A31"/>
      <c r="B31" s="2">
        <f aca="true" t="shared" si="21" ref="B31:G31">B30*180/PI()</f>
        <v>72.72814205440861</v>
      </c>
      <c r="C31" s="2">
        <f t="shared" si="21"/>
        <v>73.36551448538523</v>
      </c>
      <c r="D31" s="2">
        <f t="shared" si="21"/>
        <v>72.72814205440861</v>
      </c>
      <c r="E31" s="2">
        <f t="shared" si="21"/>
        <v>72.72814205440861</v>
      </c>
      <c r="F31" s="2">
        <f t="shared" si="21"/>
        <v>74.48183387837658</v>
      </c>
      <c r="G31" s="2">
        <f t="shared" si="21"/>
        <v>73.85659587884474</v>
      </c>
      <c r="H31" t="s">
        <v>51</v>
      </c>
      <c r="I31" s="33"/>
      <c r="J31" s="39"/>
      <c r="K31" s="39"/>
      <c r="L31" s="34"/>
      <c r="M31" s="34"/>
      <c r="N31" s="39"/>
      <c r="P31"/>
      <c r="Q31"/>
      <c r="R31" s="9"/>
    </row>
    <row r="32" spans="1:18" s="1" customFormat="1" ht="12">
      <c r="A32" t="s">
        <v>243</v>
      </c>
      <c r="B32" s="2">
        <f>10000*mu0*B7/2/PI()/B26</f>
        <v>3.1729068491017833</v>
      </c>
      <c r="C32" s="2">
        <f>10000*mu0*C7/2/PI()/C26</f>
        <v>3.3493437236909003</v>
      </c>
      <c r="D32" s="2">
        <f>10000*mu0*D7/2/PI()/D26</f>
        <v>3.1729068491017833</v>
      </c>
      <c r="E32" s="2">
        <f aca="true" t="shared" si="22" ref="B32:G32">10000*mu0*E7/2/PI()/E26</f>
        <v>6.345813698203567</v>
      </c>
      <c r="F32" s="2">
        <f t="shared" si="22"/>
        <v>2.2531658007543696</v>
      </c>
      <c r="G32" s="2">
        <f t="shared" si="22"/>
        <v>8.511734867995633</v>
      </c>
      <c r="H32" t="s">
        <v>52</v>
      </c>
      <c r="I32" s="33"/>
      <c r="J32" s="39"/>
      <c r="K32" s="39"/>
      <c r="L32" s="34"/>
      <c r="M32" s="34"/>
      <c r="N32" s="39"/>
      <c r="P32"/>
      <c r="Q32"/>
      <c r="R32" s="9"/>
    </row>
    <row r="33" spans="1:18" s="1" customFormat="1" ht="12">
      <c r="A33" t="s">
        <v>244</v>
      </c>
      <c r="B33" s="2">
        <f>10000*mu0*B7/2/PI()/B27</f>
        <v>3.0686932080276588</v>
      </c>
      <c r="C33" s="2">
        <f>10000*mu0*C7/2/PI()/C27</f>
        <v>3.25514549583821</v>
      </c>
      <c r="D33" s="2">
        <f>10000*mu0*D7/2/PI()/D27</f>
        <v>3.0686932080276588</v>
      </c>
      <c r="E33" s="2">
        <f aca="true" t="shared" si="23" ref="B33:G33">10000*mu0*E7/2/PI()/E27</f>
        <v>6.1373864160553175</v>
      </c>
      <c r="F33" s="2">
        <f t="shared" si="23"/>
        <v>2.185505522002259</v>
      </c>
      <c r="G33" s="2">
        <f t="shared" si="23"/>
        <v>8.29721689742212</v>
      </c>
      <c r="H33" t="s">
        <v>52</v>
      </c>
      <c r="I33" s="33"/>
      <c r="J33" s="39"/>
      <c r="K33" s="39"/>
      <c r="L33" s="34"/>
      <c r="M33" s="34"/>
      <c r="N33" s="39"/>
      <c r="P33"/>
      <c r="Q33"/>
      <c r="R33" s="9"/>
    </row>
    <row r="34" spans="1:18" ht="12">
      <c r="A34" t="s">
        <v>46</v>
      </c>
      <c r="B34" s="2">
        <f aca="true" t="shared" si="24" ref="B34:G34">2*(B32*COS(B28)+B33*COS(B30))</f>
        <v>2.828959944564922</v>
      </c>
      <c r="C34" s="2">
        <f t="shared" si="24"/>
        <v>2.9854795461292953</v>
      </c>
      <c r="D34" s="2">
        <f t="shared" si="24"/>
        <v>2.828959944564922</v>
      </c>
      <c r="E34" s="2">
        <f t="shared" si="24"/>
        <v>5.657919889129844</v>
      </c>
      <c r="F34" s="2">
        <f t="shared" si="24"/>
        <v>1.687266422751835</v>
      </c>
      <c r="G34" s="2">
        <f t="shared" si="24"/>
        <v>7.5119415325687395</v>
      </c>
      <c r="H34" t="s">
        <v>52</v>
      </c>
      <c r="I34" s="39"/>
      <c r="J34" s="33"/>
      <c r="K34" s="33"/>
      <c r="L34" s="39"/>
      <c r="M34" s="39"/>
      <c r="N34" s="33"/>
      <c r="R34" s="9"/>
    </row>
    <row r="35" spans="1:18" ht="12">
      <c r="A35" s="1"/>
      <c r="B35" s="1">
        <f aca="true" t="shared" si="25" ref="B35:G35">B34/B7</f>
        <v>0.0005657919889129844</v>
      </c>
      <c r="C35" s="1">
        <f t="shared" si="25"/>
        <v>0.0005970959092258591</v>
      </c>
      <c r="D35" s="1">
        <f t="shared" si="25"/>
        <v>0.0005657919889129844</v>
      </c>
      <c r="E35" s="1">
        <f t="shared" si="25"/>
        <v>0.0005657919889129844</v>
      </c>
      <c r="F35" s="1">
        <f t="shared" si="25"/>
        <v>0.00033745328455036703</v>
      </c>
      <c r="G35" s="1">
        <f t="shared" si="25"/>
        <v>0.00037559707662843697</v>
      </c>
      <c r="H35" s="1" t="s">
        <v>127</v>
      </c>
      <c r="I35" s="33"/>
      <c r="J35" s="33"/>
      <c r="K35" s="33"/>
      <c r="L35" s="33"/>
      <c r="M35" s="33"/>
      <c r="N35" s="33"/>
      <c r="P35">
        <f>P34+0.1</f>
        <v>0.1</v>
      </c>
      <c r="Q35">
        <v>1.015</v>
      </c>
      <c r="R35" s="9">
        <f t="shared" si="12"/>
        <v>1.00257722236</v>
      </c>
    </row>
    <row r="36" spans="1:18" ht="12">
      <c r="A36" s="1" t="s">
        <v>245</v>
      </c>
      <c r="B36" s="2">
        <f>B24+B34</f>
        <v>34.90227741096</v>
      </c>
      <c r="C36" s="2">
        <f>C24+C34</f>
        <v>45.228477085633735</v>
      </c>
      <c r="D36" s="2">
        <f>D24+D34</f>
        <v>34.90227741096</v>
      </c>
      <c r="E36" s="2">
        <f>E24+E34</f>
        <v>69.80455482192</v>
      </c>
      <c r="F36" s="2">
        <f>F24+F34</f>
        <v>48.05147892546756</v>
      </c>
      <c r="G36" s="2">
        <f>G24+G34</f>
        <v>132.96361365433822</v>
      </c>
      <c r="H36" s="1"/>
      <c r="I36" s="33"/>
      <c r="J36" s="33"/>
      <c r="K36" s="33"/>
      <c r="L36" s="33"/>
      <c r="M36" s="33"/>
      <c r="N36" s="33"/>
      <c r="R36" s="9"/>
    </row>
    <row r="37" spans="1:18" ht="12">
      <c r="A37" s="1"/>
      <c r="B37" s="1">
        <f>B25+B35</f>
        <v>0.006980455482192</v>
      </c>
      <c r="C37" s="1">
        <f>C25+C35</f>
        <v>0.009045695417126746</v>
      </c>
      <c r="D37" s="1">
        <f>D25+D35</f>
        <v>0.006980455482192</v>
      </c>
      <c r="E37" s="1">
        <f>E25+E35</f>
        <v>0.006980455482192</v>
      </c>
      <c r="F37" s="1">
        <f>F25+F35</f>
        <v>0.009610295785093514</v>
      </c>
      <c r="G37" s="1">
        <f>G25+G35</f>
        <v>0.006648180682716912</v>
      </c>
      <c r="H37" s="1" t="s">
        <v>127</v>
      </c>
      <c r="I37" s="33"/>
      <c r="J37" s="33"/>
      <c r="K37" s="33"/>
      <c r="L37" s="33"/>
      <c r="M37" s="33"/>
      <c r="N37" s="33"/>
      <c r="R37" s="9"/>
    </row>
    <row r="38" spans="1:18" ht="12">
      <c r="A38" s="10" t="s">
        <v>0</v>
      </c>
      <c r="B38" s="1">
        <f>B6^2*0.0001*0.004*(B10*LN(2*B10/(B57/2))+B11*LN(2*B11/(B57/2))+2*SQRT(B10^2+B11^2)-B10*ASINH(B10/B11)-B11*ASINH(B11/B10)-2*(B10+B11)+(B10+B11)/4)</f>
        <v>5.253777234781688E-06</v>
      </c>
      <c r="C38" s="1">
        <f>C6^2*0.0001*0.004*(C10*LN(2*C10/(C57/2))+C11*LN(2*C11/(C57/2))+2*SQRT(C10^2+C11^2)-C10*ASINH(C10/C11)-C11*ASINH(C11/C10)-2*(C10+C11)+(C10+C11)/4)</f>
        <v>5.1415097028676375E-06</v>
      </c>
      <c r="D38" s="1">
        <f>D6^2*0.0001*0.004*(D10*LN(2*D10/(D57/2))+D11*LN(2*D11/(D57/2))+2*SQRT(D10^2+D11^2)-D10*ASINH(D10/D11)-D11*ASINH(D11/D10)-2*(D10+D11)+(D10+D11)/4)</f>
        <v>5.253777234781688E-06</v>
      </c>
      <c r="E38" s="1">
        <f aca="true" t="shared" si="26" ref="B38:G38">E6^2*0.0001*0.004*(E10*LN(2*E10/(E57/2))+E11*LN(2*E11/(E57/2))+2*SQRT(E10^2+E11^2)-E10*ASINH(E10/E11)-E11*ASINH(E11/E10)-2*(E10+E11)+(E10+E11)/4)</f>
        <v>2.2627893395616182E-05</v>
      </c>
      <c r="F38" s="1">
        <f t="shared" si="26"/>
        <v>6.643645422534458E-06</v>
      </c>
      <c r="G38" s="1">
        <f t="shared" si="26"/>
        <v>0.00012838443327659163</v>
      </c>
      <c r="H38" s="6" t="s">
        <v>53</v>
      </c>
      <c r="I38" s="40" t="s">
        <v>0</v>
      </c>
      <c r="J38" s="39">
        <v>4.2488096067807825E-06</v>
      </c>
      <c r="K38" s="39">
        <v>3.5E-06</v>
      </c>
      <c r="L38" s="39">
        <v>5.1415097028676375E-06</v>
      </c>
      <c r="M38" s="39">
        <v>5.178814893734088E-06</v>
      </c>
      <c r="N38" s="33" t="s">
        <v>53</v>
      </c>
      <c r="P38">
        <f>P35+0.1</f>
        <v>0.2</v>
      </c>
      <c r="Q38">
        <v>1.02</v>
      </c>
      <c r="R38" s="9">
        <f t="shared" si="12"/>
        <v>1.0029894377600002</v>
      </c>
    </row>
    <row r="39" spans="1:21" ht="12">
      <c r="A39" s="6" t="s">
        <v>54</v>
      </c>
      <c r="B39" s="24">
        <v>35</v>
      </c>
      <c r="C39" s="24">
        <v>20</v>
      </c>
      <c r="D39" s="24">
        <v>35</v>
      </c>
      <c r="E39" s="24">
        <v>35</v>
      </c>
      <c r="F39" s="24">
        <v>37</v>
      </c>
      <c r="G39" s="24">
        <v>35</v>
      </c>
      <c r="H39" s="6" t="s">
        <v>55</v>
      </c>
      <c r="I39" s="33" t="s">
        <v>54</v>
      </c>
      <c r="J39" s="33">
        <v>37</v>
      </c>
      <c r="K39" s="33"/>
      <c r="L39" s="35">
        <v>20</v>
      </c>
      <c r="M39" s="35">
        <v>40</v>
      </c>
      <c r="N39" s="33" t="s">
        <v>55</v>
      </c>
      <c r="P39">
        <f aca="true" t="shared" si="27" ref="P39:P44">P38+0.1</f>
        <v>0.30000000000000004</v>
      </c>
      <c r="Q39">
        <v>1.026</v>
      </c>
      <c r="R39" s="9">
        <f t="shared" si="12"/>
        <v>1.00285900116</v>
      </c>
      <c r="T39" t="s">
        <v>120</v>
      </c>
      <c r="U39" t="s">
        <v>121</v>
      </c>
    </row>
    <row r="40" spans="1:21" s="1" customFormat="1" ht="12">
      <c r="A40" s="6" t="s">
        <v>56</v>
      </c>
      <c r="B40" s="24">
        <v>105</v>
      </c>
      <c r="C40" s="24">
        <v>85</v>
      </c>
      <c r="D40" s="24">
        <v>105</v>
      </c>
      <c r="E40" s="24">
        <v>105</v>
      </c>
      <c r="F40" s="24">
        <v>100</v>
      </c>
      <c r="G40" s="24">
        <v>105</v>
      </c>
      <c r="H40" s="6" t="s">
        <v>55</v>
      </c>
      <c r="I40" s="33" t="s">
        <v>56</v>
      </c>
      <c r="J40" s="33">
        <v>100</v>
      </c>
      <c r="K40" s="33"/>
      <c r="L40" s="35">
        <v>85</v>
      </c>
      <c r="M40" s="35">
        <v>50.61847931447855</v>
      </c>
      <c r="N40" s="33" t="s">
        <v>55</v>
      </c>
      <c r="P40">
        <f t="shared" si="27"/>
        <v>0.4</v>
      </c>
      <c r="Q40">
        <v>1.033</v>
      </c>
      <c r="R40" s="9">
        <f t="shared" si="12"/>
        <v>1.00239764416</v>
      </c>
      <c r="S40" s="1" t="s">
        <v>122</v>
      </c>
      <c r="T40" s="1">
        <f>B60</f>
        <v>1.72E-08</v>
      </c>
      <c r="U40" s="1">
        <v>7.7E-07</v>
      </c>
    </row>
    <row r="41" spans="1:21" s="1" customFormat="1" ht="12">
      <c r="A41" s="6" t="s">
        <v>57</v>
      </c>
      <c r="B41" s="16">
        <f aca="true" t="shared" si="28" ref="B41:G41">B40-B39</f>
        <v>70</v>
      </c>
      <c r="C41" s="16">
        <f t="shared" si="28"/>
        <v>65</v>
      </c>
      <c r="D41" s="16">
        <f t="shared" si="28"/>
        <v>70</v>
      </c>
      <c r="E41" s="16">
        <f t="shared" si="28"/>
        <v>70</v>
      </c>
      <c r="F41" s="16">
        <f t="shared" si="28"/>
        <v>63</v>
      </c>
      <c r="G41" s="16">
        <f t="shared" si="28"/>
        <v>70</v>
      </c>
      <c r="H41" s="6" t="s">
        <v>55</v>
      </c>
      <c r="I41" s="33" t="s">
        <v>57</v>
      </c>
      <c r="J41" s="33">
        <v>63</v>
      </c>
      <c r="K41" s="33"/>
      <c r="L41" s="34">
        <v>65</v>
      </c>
      <c r="M41" s="34">
        <v>10.618479314478549</v>
      </c>
      <c r="N41" s="33" t="s">
        <v>55</v>
      </c>
      <c r="P41">
        <f t="shared" si="27"/>
        <v>0.5</v>
      </c>
      <c r="Q41">
        <v>1.042</v>
      </c>
      <c r="R41" s="9">
        <f t="shared" si="12"/>
        <v>1.001806475</v>
      </c>
      <c r="S41" s="1" t="s">
        <v>123</v>
      </c>
      <c r="T41" s="1">
        <f>1/T40</f>
        <v>58139534.883720934</v>
      </c>
      <c r="U41" s="1">
        <f>1/U40</f>
        <v>1298701.2987012987</v>
      </c>
    </row>
    <row r="42" spans="1:21" s="1" customFormat="1" ht="12">
      <c r="A42" s="7" t="s">
        <v>58</v>
      </c>
      <c r="B42" s="14">
        <f>62949000000000+209340000000000*B39-287090000000*B39^2</f>
        <v>7038163750000000</v>
      </c>
      <c r="C42" s="14">
        <f>62949000000000+209340000000000*C39-287090000000*C39^2</f>
        <v>4134913000000000</v>
      </c>
      <c r="D42" s="14">
        <f>62949000000000+209340000000000*D39-287090000000*D39^2</f>
        <v>7038163750000000</v>
      </c>
      <c r="E42" s="14">
        <f>62949000000000+209340000000000*E39-287090000000*E39^2</f>
        <v>7038163750000000</v>
      </c>
      <c r="F42" s="14">
        <f>62949000000000+209340000000000*F39-287090000000*F39^2</f>
        <v>7415502790000000</v>
      </c>
      <c r="G42" s="14">
        <f>62949000000000+209340000000000*G39-287090000000*G39^2</f>
        <v>7038163750000000</v>
      </c>
      <c r="H42" s="15" t="s">
        <v>60</v>
      </c>
      <c r="I42" s="39" t="s">
        <v>58</v>
      </c>
      <c r="J42" s="41">
        <v>7415502790000000</v>
      </c>
      <c r="K42" s="41"/>
      <c r="L42" s="41">
        <v>4134913000000000</v>
      </c>
      <c r="M42" s="41">
        <v>7977205000000000</v>
      </c>
      <c r="N42" s="42" t="s">
        <v>60</v>
      </c>
      <c r="P42">
        <f t="shared" si="27"/>
        <v>0.6</v>
      </c>
      <c r="Q42">
        <v>1.052</v>
      </c>
      <c r="R42" s="9">
        <f t="shared" si="12"/>
        <v>1.00127597856</v>
      </c>
      <c r="S42" s="1" t="s">
        <v>124</v>
      </c>
      <c r="T42" s="1">
        <v>1000</v>
      </c>
      <c r="U42" s="1">
        <v>1001</v>
      </c>
    </row>
    <row r="43" spans="1:21" s="2" customFormat="1" ht="12">
      <c r="A43" s="7" t="s">
        <v>61</v>
      </c>
      <c r="B43" s="14">
        <f>62949000000000+209340000000000*B40-287090000000*B40^2</f>
        <v>18878481750000000</v>
      </c>
      <c r="C43" s="14">
        <f>62949000000000+209340000000000*C40-287090000000*C40^2</f>
        <v>15782623750000000</v>
      </c>
      <c r="D43" s="14">
        <f>62949000000000+209340000000000*D40-287090000000*D40^2</f>
        <v>18878481750000000</v>
      </c>
      <c r="E43" s="14">
        <f>62949000000000+209340000000000*E40-287090000000*E40^2</f>
        <v>18878481750000000</v>
      </c>
      <c r="F43" s="14">
        <f>62949000000000+209340000000000*F40-287090000000*F40^2</f>
        <v>18126049000000000</v>
      </c>
      <c r="G43" s="14">
        <f>62949000000000+209340000000000*G40-287090000000*G40^2</f>
        <v>18878481750000000</v>
      </c>
      <c r="H43" s="15" t="s">
        <v>60</v>
      </c>
      <c r="I43" s="39" t="s">
        <v>61</v>
      </c>
      <c r="J43" s="41">
        <v>18126049000000000</v>
      </c>
      <c r="K43" s="41"/>
      <c r="L43" s="41">
        <v>15782623750000000</v>
      </c>
      <c r="M43" s="41">
        <v>9923830720344956</v>
      </c>
      <c r="N43" s="42" t="s">
        <v>60</v>
      </c>
      <c r="P43">
        <f t="shared" si="27"/>
        <v>0.7</v>
      </c>
      <c r="Q43">
        <v>1.064</v>
      </c>
      <c r="R43" s="9">
        <f t="shared" si="12"/>
        <v>1.0009860163600002</v>
      </c>
      <c r="S43" s="2" t="s">
        <v>125</v>
      </c>
      <c r="T43" s="1">
        <f>1/SQRT(T41*PI()*mu0*T42)</f>
        <v>0.002087297510327774</v>
      </c>
      <c r="U43" s="1">
        <f>1/SQRT(U41*PI()*mu0*U42)</f>
        <v>0.013958811915110067</v>
      </c>
    </row>
    <row r="44" spans="1:21" ht="12">
      <c r="A44" s="7" t="s">
        <v>59</v>
      </c>
      <c r="B44" s="7">
        <f aca="true" t="shared" si="29" ref="B44:G44">B43-B42</f>
        <v>11840318000000000</v>
      </c>
      <c r="C44" s="7">
        <f t="shared" si="29"/>
        <v>11647710750000000</v>
      </c>
      <c r="D44" s="7">
        <f t="shared" si="29"/>
        <v>11840318000000000</v>
      </c>
      <c r="E44" s="7">
        <f t="shared" si="29"/>
        <v>11840318000000000</v>
      </c>
      <c r="F44" s="7">
        <f t="shared" si="29"/>
        <v>10710546210000000</v>
      </c>
      <c r="G44" s="7">
        <f t="shared" si="29"/>
        <v>11840318000000000</v>
      </c>
      <c r="H44" s="15" t="s">
        <v>60</v>
      </c>
      <c r="I44" s="39" t="s">
        <v>59</v>
      </c>
      <c r="J44" s="39">
        <v>10710546210000000</v>
      </c>
      <c r="K44" s="39"/>
      <c r="L44" s="39">
        <v>11647710750000000</v>
      </c>
      <c r="M44" s="39">
        <v>1946625720344956</v>
      </c>
      <c r="N44" s="42" t="s">
        <v>60</v>
      </c>
      <c r="P44">
        <f t="shared" si="27"/>
        <v>0.7999999999999999</v>
      </c>
      <c r="Q44">
        <v>1.078</v>
      </c>
      <c r="R44" s="9">
        <f t="shared" si="12"/>
        <v>1.0011058265600001</v>
      </c>
      <c r="S44" s="1" t="s">
        <v>126</v>
      </c>
      <c r="T44" s="4">
        <f>T43*100/2.54</f>
        <v>0.08217706733573914</v>
      </c>
      <c r="U44" s="4">
        <f>U43*100/2.54</f>
        <v>0.5495595242169318</v>
      </c>
    </row>
    <row r="45" spans="1:18" ht="12">
      <c r="A45" s="16" t="s">
        <v>62</v>
      </c>
      <c r="B45" s="16">
        <v>14.172130670425933</v>
      </c>
      <c r="C45" s="16">
        <v>2.4682995694016787</v>
      </c>
      <c r="D45" s="16">
        <v>14.172130670425933</v>
      </c>
      <c r="E45" s="16">
        <v>4.260501043297839</v>
      </c>
      <c r="F45" s="16">
        <v>2.269186176721982</v>
      </c>
      <c r="G45" s="16">
        <v>7.407550172770381</v>
      </c>
      <c r="H45" s="17" t="s">
        <v>63</v>
      </c>
      <c r="I45" s="34" t="s">
        <v>62</v>
      </c>
      <c r="J45" s="34">
        <v>4.535973656184661</v>
      </c>
      <c r="K45" s="34"/>
      <c r="L45" s="34">
        <v>2.4682995694016787</v>
      </c>
      <c r="M45" s="34">
        <v>5</v>
      </c>
      <c r="N45" s="43" t="s">
        <v>63</v>
      </c>
      <c r="P45">
        <f>P44+0.2</f>
        <v>1</v>
      </c>
      <c r="Q45">
        <v>1.111</v>
      </c>
      <c r="R45" s="9">
        <f t="shared" si="12"/>
        <v>1.0031986</v>
      </c>
    </row>
    <row r="46" spans="1:21" ht="12">
      <c r="A46" s="16" t="s">
        <v>220</v>
      </c>
      <c r="B46" s="16">
        <v>6.722</v>
      </c>
      <c r="C46" s="16">
        <f>C45</f>
        <v>2.4682995694016787</v>
      </c>
      <c r="D46" s="16">
        <v>6.722</v>
      </c>
      <c r="E46" s="16">
        <v>2.553</v>
      </c>
      <c r="F46" s="16">
        <f>F45</f>
        <v>2.269186176721982</v>
      </c>
      <c r="G46" s="16">
        <v>11.688</v>
      </c>
      <c r="H46" s="17"/>
      <c r="I46" s="34"/>
      <c r="J46" s="34"/>
      <c r="K46" s="34"/>
      <c r="L46" s="34"/>
      <c r="M46" s="34"/>
      <c r="N46" s="43"/>
      <c r="R46" s="9"/>
      <c r="U46">
        <f>5/8</f>
        <v>0.625</v>
      </c>
    </row>
    <row r="47" spans="1:18" ht="12">
      <c r="A47" t="s">
        <v>107</v>
      </c>
      <c r="B47">
        <v>1000</v>
      </c>
      <c r="C47">
        <v>1000</v>
      </c>
      <c r="D47">
        <v>1000</v>
      </c>
      <c r="E47">
        <v>1000</v>
      </c>
      <c r="F47">
        <v>1000</v>
      </c>
      <c r="G47">
        <v>1000</v>
      </c>
      <c r="H47" t="s">
        <v>108</v>
      </c>
      <c r="I47" s="33" t="s">
        <v>107</v>
      </c>
      <c r="J47" s="33">
        <v>1000</v>
      </c>
      <c r="K47" s="33">
        <v>1000</v>
      </c>
      <c r="L47" s="33">
        <v>1000</v>
      </c>
      <c r="M47" s="33">
        <v>1000</v>
      </c>
      <c r="N47" s="33" t="s">
        <v>108</v>
      </c>
      <c r="P47">
        <f>P45+0.2</f>
        <v>1.2</v>
      </c>
      <c r="Q47">
        <v>1.152</v>
      </c>
      <c r="R47" s="9">
        <f t="shared" si="12"/>
        <v>1.0086957369600003</v>
      </c>
    </row>
    <row r="48" spans="1:18" ht="12">
      <c r="A48" t="s">
        <v>134</v>
      </c>
      <c r="B48" s="1">
        <f aca="true" t="shared" si="30" ref="B48:G48">2*PI()*B57/2*100*SQRT(2*B47/(B60*100000000000))</f>
        <v>6.077787044392952</v>
      </c>
      <c r="C48" s="1">
        <f t="shared" si="30"/>
        <v>4.878239837117438</v>
      </c>
      <c r="D48" s="1">
        <f t="shared" si="30"/>
        <v>6.077787044392952</v>
      </c>
      <c r="E48" s="1">
        <f t="shared" si="30"/>
        <v>4.311173877143351</v>
      </c>
      <c r="F48" s="1">
        <f t="shared" si="30"/>
        <v>4.878060660512501</v>
      </c>
      <c r="G48" s="1">
        <f t="shared" si="30"/>
        <v>7.4558041830147745</v>
      </c>
      <c r="I48" s="33" t="s">
        <v>134</v>
      </c>
      <c r="J48" s="39">
        <v>4.878206806930645</v>
      </c>
      <c r="K48" s="39"/>
      <c r="L48" s="39">
        <v>4.878239837117438</v>
      </c>
      <c r="M48" s="39">
        <v>6.085028261952559</v>
      </c>
      <c r="N48" s="33"/>
      <c r="P48">
        <f aca="true" t="shared" si="31" ref="P48:P60">P47+0.2</f>
        <v>1.4</v>
      </c>
      <c r="Q48">
        <v>1.201</v>
      </c>
      <c r="R48" s="9">
        <f t="shared" si="12"/>
        <v>1.01856870176</v>
      </c>
    </row>
    <row r="49" spans="1:18" ht="12">
      <c r="A49" t="s">
        <v>140</v>
      </c>
      <c r="B49" s="4">
        <f aca="true" t="shared" si="32" ref="B49:G49">xm0+xm1*B48+xm2*B48^2+xm3*B48^3+xm4*B48^4</f>
        <v>2.1357351455633857</v>
      </c>
      <c r="C49" s="4">
        <f t="shared" si="32"/>
        <v>1.9985740461289163</v>
      </c>
      <c r="D49" s="4">
        <f t="shared" si="32"/>
        <v>2.1357351455633857</v>
      </c>
      <c r="E49" s="4">
        <f t="shared" si="32"/>
        <v>1.7985476568532406</v>
      </c>
      <c r="F49" s="4">
        <f t="shared" si="32"/>
        <v>1.9985185235503562</v>
      </c>
      <c r="G49" s="4">
        <f t="shared" si="32"/>
        <v>1.1341452857280832</v>
      </c>
      <c r="I49" s="33" t="s">
        <v>140</v>
      </c>
      <c r="J49" s="37">
        <v>1.9985638113435638</v>
      </c>
      <c r="K49" s="37"/>
      <c r="L49" s="37">
        <v>1.9985740461289163</v>
      </c>
      <c r="M49" s="37">
        <v>2.13453447185948</v>
      </c>
      <c r="N49" s="33"/>
      <c r="P49">
        <f t="shared" si="31"/>
        <v>1.5999999999999999</v>
      </c>
      <c r="Q49">
        <v>1.256</v>
      </c>
      <c r="R49" s="9">
        <f t="shared" si="12"/>
        <v>1.03361898496</v>
      </c>
    </row>
    <row r="50" spans="1:18" ht="12">
      <c r="A50" t="s">
        <v>1</v>
      </c>
      <c r="B50" s="1">
        <f aca="true" t="shared" si="33" ref="B50:G50">B57/2-SQRT((B57/2)^2*(1-1/B49))</f>
        <v>0.0024289274912163462</v>
      </c>
      <c r="C50" s="1">
        <f t="shared" si="33"/>
        <v>0.002110647782574763</v>
      </c>
      <c r="D50" s="1">
        <f t="shared" si="33"/>
        <v>0.0024289274912163462</v>
      </c>
      <c r="E50" s="1">
        <f t="shared" si="33"/>
        <v>0.0021231559829767294</v>
      </c>
      <c r="F50" s="1">
        <f t="shared" si="33"/>
        <v>0.0021106410536806857</v>
      </c>
      <c r="G50" s="1">
        <f t="shared" si="33"/>
        <v>0.007219760371538236</v>
      </c>
      <c r="I50" s="33" t="s">
        <v>1</v>
      </c>
      <c r="J50" s="39">
        <v>0.002110646541543211</v>
      </c>
      <c r="K50" s="39"/>
      <c r="L50" s="39">
        <v>0.002110647782574763</v>
      </c>
      <c r="M50" s="39">
        <v>0.002433443426331528</v>
      </c>
      <c r="N50" s="33"/>
      <c r="P50">
        <f t="shared" si="31"/>
        <v>1.7999999999999998</v>
      </c>
      <c r="Q50">
        <v>1.318</v>
      </c>
      <c r="R50" s="9">
        <f t="shared" si="12"/>
        <v>1.0544781033600001</v>
      </c>
    </row>
    <row r="51" spans="1:18" ht="12">
      <c r="A51" s="10" t="s">
        <v>2</v>
      </c>
      <c r="B51" s="23">
        <v>2.1357345981984635</v>
      </c>
      <c r="C51" s="23">
        <v>1.99857398826457</v>
      </c>
      <c r="D51" s="23">
        <v>2.1357345981984635</v>
      </c>
      <c r="E51" s="23">
        <v>1.7985477727613424</v>
      </c>
      <c r="F51" s="23">
        <v>1.9985638113435638</v>
      </c>
      <c r="G51" s="23">
        <v>9.253454467230643</v>
      </c>
      <c r="H51" s="5"/>
      <c r="I51" s="40" t="s">
        <v>2</v>
      </c>
      <c r="J51" s="37">
        <v>1</v>
      </c>
      <c r="K51" s="37"/>
      <c r="L51" s="44">
        <v>1.99857398826457</v>
      </c>
      <c r="M51" s="44">
        <v>1</v>
      </c>
      <c r="N51" s="45"/>
      <c r="P51">
        <f t="shared" si="31"/>
        <v>1.9999999999999998</v>
      </c>
      <c r="Q51">
        <v>1.385</v>
      </c>
      <c r="R51" s="9">
        <f t="shared" si="12"/>
        <v>1.0816076</v>
      </c>
    </row>
    <row r="52" spans="1:18" ht="12">
      <c r="A52" s="10" t="s">
        <v>3</v>
      </c>
      <c r="B52" s="13">
        <f aca="true" t="shared" si="34" ref="B52:G52">B51-B49</f>
        <v>-5.47364922276472E-07</v>
      </c>
      <c r="C52" s="13">
        <f t="shared" si="34"/>
        <v>-5.7864346425517965E-08</v>
      </c>
      <c r="D52" s="13">
        <f t="shared" si="34"/>
        <v>-5.47364922276472E-07</v>
      </c>
      <c r="E52" s="13">
        <f t="shared" si="34"/>
        <v>1.1590810178319089E-07</v>
      </c>
      <c r="F52" s="13">
        <f t="shared" si="34"/>
        <v>4.5287793207560156E-05</v>
      </c>
      <c r="G52" s="13">
        <f t="shared" si="34"/>
        <v>8.11930918150256</v>
      </c>
      <c r="H52" s="5"/>
      <c r="I52" s="40" t="s">
        <v>3</v>
      </c>
      <c r="J52" s="46">
        <v>-0.9985638113435638</v>
      </c>
      <c r="K52" s="46"/>
      <c r="L52" s="46">
        <v>-5.7864346425517965E-08</v>
      </c>
      <c r="M52" s="46">
        <v>-1.1345344718594799</v>
      </c>
      <c r="N52" s="45"/>
      <c r="P52">
        <f t="shared" si="31"/>
        <v>2.1999999999999997</v>
      </c>
      <c r="Q52">
        <v>1.456</v>
      </c>
      <c r="R52" s="9">
        <f t="shared" si="12"/>
        <v>1.11529904416</v>
      </c>
    </row>
    <row r="53" spans="1:18" ht="12">
      <c r="A53" s="6" t="s">
        <v>64</v>
      </c>
      <c r="B53" s="7">
        <f>SQRT(B44/B45/B51)</f>
        <v>19778368.661471613</v>
      </c>
      <c r="C53" s="7">
        <f>SQRT(C44/C45/C51)</f>
        <v>48591604.473158844</v>
      </c>
      <c r="D53" s="7">
        <f>SQRT(D44/D45/D51)</f>
        <v>19778368.661471613</v>
      </c>
      <c r="E53" s="7">
        <f aca="true" t="shared" si="35" ref="B53:G53">SQRT(E44/E45/E51)</f>
        <v>39308851.61042504</v>
      </c>
      <c r="F53" s="7">
        <f t="shared" si="35"/>
        <v>48597254.5978117</v>
      </c>
      <c r="G53" s="7">
        <f t="shared" si="35"/>
        <v>13142937.306592831</v>
      </c>
      <c r="H53" s="5" t="s">
        <v>65</v>
      </c>
      <c r="I53" s="33" t="s">
        <v>64</v>
      </c>
      <c r="J53" s="39">
        <v>48592645.95828927</v>
      </c>
      <c r="K53" s="39">
        <v>0.015625</v>
      </c>
      <c r="L53" s="39">
        <v>48591604.473158844</v>
      </c>
      <c r="M53" s="39">
        <v>19731323.930973087</v>
      </c>
      <c r="N53" s="45" t="s">
        <v>65</v>
      </c>
      <c r="P53">
        <f t="shared" si="31"/>
        <v>2.4</v>
      </c>
      <c r="Q53">
        <v>1.529</v>
      </c>
      <c r="R53" s="9">
        <f t="shared" si="12"/>
        <v>1.1556740313600002</v>
      </c>
    </row>
    <row r="54" spans="1:18" ht="12">
      <c r="A54" s="6" t="s">
        <v>104</v>
      </c>
      <c r="B54" s="7">
        <f aca="true" t="shared" si="36" ref="B54:G54">B5/B53</f>
        <v>0.00025280143603248896</v>
      </c>
      <c r="C54" s="7">
        <f t="shared" si="36"/>
        <v>0.00010289843387990847</v>
      </c>
      <c r="D54" s="7">
        <f t="shared" si="36"/>
        <v>0.00025280143603248896</v>
      </c>
      <c r="E54" s="7">
        <f t="shared" si="36"/>
        <v>0.00012719781410948058</v>
      </c>
      <c r="F54" s="7">
        <f t="shared" si="36"/>
        <v>0.0001028864704679253</v>
      </c>
      <c r="G54" s="7">
        <f t="shared" si="36"/>
        <v>0.00038043246219335406</v>
      </c>
      <c r="H54" s="5" t="s">
        <v>66</v>
      </c>
      <c r="I54" s="33" t="s">
        <v>104</v>
      </c>
      <c r="J54" s="39">
        <v>0.00010289622845999941</v>
      </c>
      <c r="K54" s="39"/>
      <c r="L54" s="39">
        <v>0.00010289843387990847</v>
      </c>
      <c r="M54" s="39">
        <v>0.000253404181974393</v>
      </c>
      <c r="N54" s="45" t="s">
        <v>66</v>
      </c>
      <c r="P54">
        <f t="shared" si="31"/>
        <v>2.6</v>
      </c>
      <c r="Q54">
        <v>1.603</v>
      </c>
      <c r="R54" s="9">
        <f t="shared" si="12"/>
        <v>1.2026841833600002</v>
      </c>
    </row>
    <row r="55" spans="1:18" ht="12">
      <c r="A55" s="10" t="s">
        <v>84</v>
      </c>
      <c r="B55" s="25">
        <v>0.0001</v>
      </c>
      <c r="C55" s="25">
        <v>0.344</v>
      </c>
      <c r="D55" s="25">
        <v>0.0001</v>
      </c>
      <c r="E55" s="25">
        <v>0.0001</v>
      </c>
      <c r="F55" s="25">
        <v>0.344</v>
      </c>
      <c r="G55" s="25">
        <v>0.0001</v>
      </c>
      <c r="H55" s="5" t="s">
        <v>83</v>
      </c>
      <c r="I55" s="40" t="s">
        <v>84</v>
      </c>
      <c r="J55" s="33">
        <v>0.344</v>
      </c>
      <c r="K55" s="33"/>
      <c r="L55" s="38">
        <v>0.344</v>
      </c>
      <c r="M55" s="38">
        <v>0.0001</v>
      </c>
      <c r="N55" s="45" t="s">
        <v>83</v>
      </c>
      <c r="P55">
        <f t="shared" si="31"/>
        <v>2.8000000000000003</v>
      </c>
      <c r="Q55">
        <v>1.678</v>
      </c>
      <c r="R55" s="9">
        <f t="shared" si="12"/>
        <v>1.2561111481600002</v>
      </c>
    </row>
    <row r="56" spans="1:18" ht="12">
      <c r="A56" s="10"/>
      <c r="B56" s="7">
        <f aca="true" t="shared" si="37" ref="B56:G56">B55*2.54/100</f>
        <v>2.54E-06</v>
      </c>
      <c r="C56" s="7">
        <f t="shared" si="37"/>
        <v>0.0087376</v>
      </c>
      <c r="D56" s="7">
        <f t="shared" si="37"/>
        <v>2.54E-06</v>
      </c>
      <c r="E56" s="7">
        <f t="shared" si="37"/>
        <v>2.54E-06</v>
      </c>
      <c r="F56" s="7">
        <f t="shared" si="37"/>
        <v>0.0087376</v>
      </c>
      <c r="G56" s="7">
        <f t="shared" si="37"/>
        <v>2.54E-06</v>
      </c>
      <c r="H56" s="5" t="s">
        <v>49</v>
      </c>
      <c r="I56" s="40"/>
      <c r="J56" s="39">
        <v>0.0087376</v>
      </c>
      <c r="K56" s="39"/>
      <c r="L56" s="39">
        <v>0.0087376</v>
      </c>
      <c r="M56" s="39">
        <v>2.54E-06</v>
      </c>
      <c r="N56" s="45" t="s">
        <v>49</v>
      </c>
      <c r="P56">
        <f t="shared" si="31"/>
        <v>3.0000000000000004</v>
      </c>
      <c r="Q56">
        <v>1.752</v>
      </c>
      <c r="R56" s="9">
        <f t="shared" si="12"/>
        <v>1.3155666000000004</v>
      </c>
    </row>
    <row r="57" spans="1:18" ht="12">
      <c r="A57" s="10" t="s">
        <v>196</v>
      </c>
      <c r="B57" s="21">
        <f aca="true" t="shared" si="38" ref="B57:G57">SQRT(4/PI()*(PI()*B56^2/4+B54))</f>
        <v>0.017940925053463706</v>
      </c>
      <c r="C57" s="21">
        <f t="shared" si="38"/>
        <v>0.01440000030788944</v>
      </c>
      <c r="D57" s="21">
        <f t="shared" si="38"/>
        <v>0.017940925053463706</v>
      </c>
      <c r="E57" s="21">
        <f t="shared" si="38"/>
        <v>0.012726087119757704</v>
      </c>
      <c r="F57" s="21">
        <f t="shared" si="38"/>
        <v>0.014399471399255912</v>
      </c>
      <c r="G57" s="21">
        <f t="shared" si="38"/>
        <v>0.02200867241378142</v>
      </c>
      <c r="H57" s="5" t="s">
        <v>49</v>
      </c>
      <c r="I57" s="40" t="s">
        <v>105</v>
      </c>
      <c r="J57" s="39">
        <v>0.014399902806594736</v>
      </c>
      <c r="K57" s="39">
        <v>0.0144</v>
      </c>
      <c r="L57" s="47">
        <v>0.01440000030788944</v>
      </c>
      <c r="M57" s="47">
        <v>0.017962300290961138</v>
      </c>
      <c r="N57" s="45" t="s">
        <v>49</v>
      </c>
      <c r="P57">
        <f t="shared" si="31"/>
        <v>3.2000000000000006</v>
      </c>
      <c r="Q57">
        <v>1.826</v>
      </c>
      <c r="R57" s="9">
        <f t="shared" si="12"/>
        <v>1.38049223936</v>
      </c>
    </row>
    <row r="58" spans="1:18" ht="12">
      <c r="A58" s="10"/>
      <c r="B58" s="12">
        <f aca="true" t="shared" si="39" ref="B58:G58">B57*100/2.54</f>
        <v>0.7063356320261301</v>
      </c>
      <c r="C58" s="12">
        <f t="shared" si="39"/>
        <v>0.5669291459798992</v>
      </c>
      <c r="D58" s="12">
        <f t="shared" si="39"/>
        <v>0.7063356320261301</v>
      </c>
      <c r="E58" s="12">
        <f t="shared" si="39"/>
        <v>0.5010270519589648</v>
      </c>
      <c r="F58" s="12">
        <f t="shared" si="39"/>
        <v>0.5669083228053509</v>
      </c>
      <c r="G58" s="12">
        <f t="shared" si="39"/>
        <v>0.8664831658969063</v>
      </c>
      <c r="H58" s="5" t="s">
        <v>83</v>
      </c>
      <c r="I58" s="40"/>
      <c r="J58" s="37">
        <v>0.5669253073462495</v>
      </c>
      <c r="K58" s="33"/>
      <c r="L58" s="37">
        <v>0.5669291459798992</v>
      </c>
      <c r="M58" s="37">
        <v>0.7071771768094935</v>
      </c>
      <c r="N58" s="45" t="s">
        <v>83</v>
      </c>
      <c r="P58">
        <f t="shared" si="31"/>
        <v>3.400000000000001</v>
      </c>
      <c r="Q58">
        <v>1.899</v>
      </c>
      <c r="R58" s="9">
        <f t="shared" si="12"/>
        <v>1.4501597929600005</v>
      </c>
    </row>
    <row r="59" spans="1:18" ht="12">
      <c r="A59" t="s">
        <v>80</v>
      </c>
      <c r="B59" s="9">
        <v>0.0041</v>
      </c>
      <c r="C59" s="9">
        <v>0.0041</v>
      </c>
      <c r="D59" s="9">
        <v>0.0041</v>
      </c>
      <c r="E59" s="9">
        <v>0.0041</v>
      </c>
      <c r="F59" s="9">
        <v>0.0041</v>
      </c>
      <c r="G59" s="9">
        <v>0.0041</v>
      </c>
      <c r="H59" t="s">
        <v>99</v>
      </c>
      <c r="I59" s="33" t="s">
        <v>80</v>
      </c>
      <c r="J59" s="48">
        <v>0.0041</v>
      </c>
      <c r="K59" s="48"/>
      <c r="L59" s="48">
        <v>0.0041</v>
      </c>
      <c r="M59" s="48">
        <v>0.0041</v>
      </c>
      <c r="N59" s="33" t="s">
        <v>99</v>
      </c>
      <c r="P59">
        <f t="shared" si="31"/>
        <v>3.600000000000001</v>
      </c>
      <c r="Q59">
        <v>1.971</v>
      </c>
      <c r="R59" s="9">
        <f t="shared" si="12"/>
        <v>1.5236710137600005</v>
      </c>
    </row>
    <row r="60" spans="1:18" ht="12">
      <c r="A60" t="s">
        <v>81</v>
      </c>
      <c r="B60" s="1">
        <f aca="true" t="shared" si="40" ref="B60:G60">0.0000000172</f>
        <v>1.72E-08</v>
      </c>
      <c r="C60" s="1">
        <f t="shared" si="40"/>
        <v>1.72E-08</v>
      </c>
      <c r="D60" s="1">
        <f t="shared" si="40"/>
        <v>1.72E-08</v>
      </c>
      <c r="E60" s="1">
        <f t="shared" si="40"/>
        <v>1.72E-08</v>
      </c>
      <c r="F60" s="1">
        <f t="shared" si="40"/>
        <v>1.72E-08</v>
      </c>
      <c r="G60" s="1">
        <f t="shared" si="40"/>
        <v>1.72E-08</v>
      </c>
      <c r="H60" t="s">
        <v>100</v>
      </c>
      <c r="I60" s="33" t="s">
        <v>81</v>
      </c>
      <c r="J60" s="39">
        <v>1.72E-08</v>
      </c>
      <c r="K60" s="39"/>
      <c r="L60" s="39">
        <v>1.72E-08</v>
      </c>
      <c r="M60" s="39">
        <v>1.72E-08</v>
      </c>
      <c r="N60" s="33" t="s">
        <v>100</v>
      </c>
      <c r="P60">
        <f t="shared" si="31"/>
        <v>3.800000000000001</v>
      </c>
      <c r="Q60">
        <v>2.043</v>
      </c>
      <c r="R60" s="9">
        <f t="shared" si="12"/>
        <v>1.5999576809600007</v>
      </c>
    </row>
    <row r="61" spans="1:14" ht="12">
      <c r="A61" t="s">
        <v>4</v>
      </c>
      <c r="B61" s="1">
        <f aca="true" t="shared" si="41" ref="B61:G61">B60*B14/B54</f>
        <v>0.0005354645272262942</v>
      </c>
      <c r="C61" s="1">
        <f t="shared" si="41"/>
        <v>0.0010894658608836642</v>
      </c>
      <c r="D61" s="1">
        <f t="shared" si="41"/>
        <v>0.0005354645272262942</v>
      </c>
      <c r="E61" s="1">
        <f t="shared" si="41"/>
        <v>0.0018579910709087815</v>
      </c>
      <c r="F61" s="1">
        <f t="shared" si="41"/>
        <v>0.001326813586555641</v>
      </c>
      <c r="G61" s="1">
        <f t="shared" si="41"/>
        <v>0.0016387708267583266</v>
      </c>
      <c r="H61" t="s">
        <v>106</v>
      </c>
      <c r="I61" s="33" t="s">
        <v>4</v>
      </c>
      <c r="J61" s="39">
        <v>0.0010218160716635716</v>
      </c>
      <c r="K61" s="39">
        <v>0.00075</v>
      </c>
      <c r="L61" s="39">
        <v>0.0010894658608836642</v>
      </c>
      <c r="M61" s="39">
        <v>0.0004613502288494991</v>
      </c>
      <c r="N61" s="33" t="s">
        <v>106</v>
      </c>
    </row>
    <row r="62" spans="1:14" ht="12">
      <c r="A62" t="s">
        <v>5</v>
      </c>
      <c r="B62" s="1">
        <f aca="true" t="shared" si="42" ref="B62:G62">B51*B61*(1+B59*(B40-20))</f>
        <v>0.0015421582426466348</v>
      </c>
      <c r="C62" s="1">
        <f t="shared" si="42"/>
        <v>0.0027576494024864093</v>
      </c>
      <c r="D62" s="1">
        <f t="shared" si="42"/>
        <v>0.0015421582426466348</v>
      </c>
      <c r="E62" s="1">
        <f t="shared" si="42"/>
        <v>0.004506263169677568</v>
      </c>
      <c r="F62" s="1">
        <f t="shared" si="42"/>
        <v>0.003521486309353479</v>
      </c>
      <c r="G62" s="1">
        <f t="shared" si="42"/>
        <v>0.020449046720464572</v>
      </c>
      <c r="H62" t="s">
        <v>106</v>
      </c>
      <c r="I62" s="33" t="s">
        <v>5</v>
      </c>
      <c r="J62" s="39">
        <v>0.0013569717431692232</v>
      </c>
      <c r="K62" s="49"/>
      <c r="L62" s="39">
        <v>0.0027576494024864093</v>
      </c>
      <c r="M62" s="39">
        <v>0.0005192661828484083</v>
      </c>
      <c r="N62" s="33" t="s">
        <v>106</v>
      </c>
    </row>
    <row r="63" spans="1:18" ht="12">
      <c r="A63" s="10" t="s">
        <v>82</v>
      </c>
      <c r="B63" s="25">
        <v>0.0001</v>
      </c>
      <c r="C63" s="25">
        <v>5.5</v>
      </c>
      <c r="D63" s="25">
        <v>0.0001</v>
      </c>
      <c r="E63" s="25">
        <v>0.0001</v>
      </c>
      <c r="F63" s="25">
        <v>5.5</v>
      </c>
      <c r="G63" s="25">
        <v>0.0001</v>
      </c>
      <c r="H63" s="5" t="s">
        <v>85</v>
      </c>
      <c r="I63" s="40" t="s">
        <v>82</v>
      </c>
      <c r="J63" s="33">
        <v>5.5</v>
      </c>
      <c r="K63" s="33"/>
      <c r="L63" s="38">
        <v>6.5</v>
      </c>
      <c r="M63" s="38">
        <v>0.0001</v>
      </c>
      <c r="N63" s="45" t="s">
        <v>85</v>
      </c>
      <c r="P63" t="s">
        <v>135</v>
      </c>
      <c r="Q63">
        <v>1.0014</v>
      </c>
      <c r="R63">
        <v>1.0014</v>
      </c>
    </row>
    <row r="64" spans="1:18" ht="12">
      <c r="A64" t="s">
        <v>67</v>
      </c>
      <c r="B64" s="8">
        <f>PI()*B56</f>
        <v>7.979645340118074E-06</v>
      </c>
      <c r="C64" s="8">
        <f>PI()*C56</f>
        <v>0.027449979970006175</v>
      </c>
      <c r="D64" s="8">
        <f>PI()*D56</f>
        <v>7.979645340118074E-06</v>
      </c>
      <c r="E64" s="8">
        <f aca="true" t="shared" si="43" ref="B64:G64">PI()*E56</f>
        <v>7.979645340118074E-06</v>
      </c>
      <c r="F64" s="8">
        <f t="shared" si="43"/>
        <v>0.027449979970006175</v>
      </c>
      <c r="G64" s="8">
        <f t="shared" si="43"/>
        <v>7.979645340118074E-06</v>
      </c>
      <c r="H64" s="5" t="s">
        <v>49</v>
      </c>
      <c r="I64" s="33" t="s">
        <v>67</v>
      </c>
      <c r="J64" s="49">
        <v>0.027449979970006175</v>
      </c>
      <c r="K64" s="49"/>
      <c r="L64" s="49">
        <v>0.027449979970006175</v>
      </c>
      <c r="M64" s="49">
        <v>7.979645340118074E-06</v>
      </c>
      <c r="N64" s="45" t="s">
        <v>49</v>
      </c>
      <c r="P64" t="s">
        <v>136</v>
      </c>
      <c r="Q64">
        <v>0.016365</v>
      </c>
      <c r="R64">
        <v>0.016365</v>
      </c>
    </row>
    <row r="65" spans="1:18" ht="12">
      <c r="A65" t="s">
        <v>68</v>
      </c>
      <c r="B65" s="1">
        <f>PI()*B56^2/4*B63</f>
        <v>5.067074790974976E-16</v>
      </c>
      <c r="C65" s="1">
        <f>PI()*C56^2/4*C63</f>
        <v>0.0003297895493556482</v>
      </c>
      <c r="D65" s="1">
        <f>PI()*D56^2/4*D63</f>
        <v>5.067074790974976E-16</v>
      </c>
      <c r="E65" s="1">
        <f aca="true" t="shared" si="44" ref="B65:G65">PI()*E56^2/4*E63</f>
        <v>5.067074790974976E-16</v>
      </c>
      <c r="F65" s="1">
        <f t="shared" si="44"/>
        <v>0.0003297895493556482</v>
      </c>
      <c r="G65" s="1">
        <f t="shared" si="44"/>
        <v>5.067074790974976E-16</v>
      </c>
      <c r="H65" s="5" t="s">
        <v>86</v>
      </c>
      <c r="I65" s="33" t="s">
        <v>68</v>
      </c>
      <c r="J65" s="39">
        <v>0.0003297895493556482</v>
      </c>
      <c r="K65" s="39"/>
      <c r="L65" s="39">
        <v>0.0003897512856021297</v>
      </c>
      <c r="M65" s="39">
        <v>5.067074790974976E-16</v>
      </c>
      <c r="N65" s="45" t="s">
        <v>86</v>
      </c>
      <c r="P65" t="s">
        <v>137</v>
      </c>
      <c r="Q65">
        <v>-0.049855</v>
      </c>
      <c r="R65">
        <v>-0.049855</v>
      </c>
    </row>
    <row r="66" spans="2:18" ht="12.75">
      <c r="B66" s="2">
        <f aca="true" t="shared" si="45" ref="B66:G66">15850.32*B65</f>
        <v>8.031475690088648E-12</v>
      </c>
      <c r="C66" s="2">
        <f t="shared" si="45"/>
        <v>5.227269889942818</v>
      </c>
      <c r="D66" s="2">
        <f t="shared" si="45"/>
        <v>8.031475690088648E-12</v>
      </c>
      <c r="E66" s="2">
        <f t="shared" si="45"/>
        <v>8.031475690088648E-12</v>
      </c>
      <c r="F66" s="2">
        <f t="shared" si="45"/>
        <v>5.227269889942818</v>
      </c>
      <c r="G66" s="2">
        <f t="shared" si="45"/>
        <v>8.031475690088648E-12</v>
      </c>
      <c r="H66" s="5" t="s">
        <v>27</v>
      </c>
      <c r="I66" s="33"/>
      <c r="J66" s="34">
        <v>5.227269889942818</v>
      </c>
      <c r="K66" s="33"/>
      <c r="L66" s="34">
        <v>6.177682597205148</v>
      </c>
      <c r="M66" s="34">
        <v>8.031475690088648E-12</v>
      </c>
      <c r="N66" s="45" t="s">
        <v>27</v>
      </c>
      <c r="P66" t="s">
        <v>138</v>
      </c>
      <c r="Q66">
        <v>0.039715</v>
      </c>
      <c r="R66">
        <v>0.039715</v>
      </c>
    </row>
    <row r="67" spans="1:18" ht="12.75">
      <c r="A67" t="s">
        <v>69</v>
      </c>
      <c r="B67" s="8">
        <f>4229.2-3.857*B40+0.06786*B40^2-0.0003745*B40^3+0.000000819*B40^4</f>
        <v>4238.390899374999</v>
      </c>
      <c r="C67" s="8">
        <f>4229.2-3.857*C40+0.06786*C40^2-0.0003745*C40^3+0.000000819*C40^4</f>
        <v>4204.405999374999</v>
      </c>
      <c r="D67" s="8">
        <f>4229.2-3.857*D40+0.06786*D40^2-0.0003745*D40^3+0.000000819*D40^4</f>
        <v>4238.390899374999</v>
      </c>
      <c r="E67" s="8">
        <f aca="true" t="shared" si="46" ref="B67:G67">4229.2-3.857*E40+0.06786*E40^2-0.0003745*E40^3+0.000000819*E40^4</f>
        <v>4238.390899374999</v>
      </c>
      <c r="F67" s="8">
        <f t="shared" si="46"/>
        <v>4229.5</v>
      </c>
      <c r="G67" s="8">
        <f t="shared" si="46"/>
        <v>4238.390899374999</v>
      </c>
      <c r="I67" s="33" t="s">
        <v>69</v>
      </c>
      <c r="J67" s="49">
        <v>4229.5</v>
      </c>
      <c r="K67" s="49"/>
      <c r="L67" s="49">
        <v>4204.405999374999</v>
      </c>
      <c r="M67" s="49">
        <v>4164.643008613959</v>
      </c>
      <c r="N67" s="33"/>
      <c r="P67" t="s">
        <v>139</v>
      </c>
      <c r="Q67">
        <v>-0.0044264</v>
      </c>
      <c r="R67">
        <v>-0.0044264</v>
      </c>
    </row>
    <row r="68" spans="1:14" ht="12.75">
      <c r="A68" t="s">
        <v>70</v>
      </c>
      <c r="B68" s="1">
        <v>0.000524</v>
      </c>
      <c r="C68" s="1">
        <v>0.000524</v>
      </c>
      <c r="D68" s="1">
        <v>0.000524</v>
      </c>
      <c r="E68" s="1">
        <v>0.000524</v>
      </c>
      <c r="F68" s="1">
        <v>0.000524</v>
      </c>
      <c r="G68" s="1">
        <v>0.000524</v>
      </c>
      <c r="I68" s="33" t="s">
        <v>70</v>
      </c>
      <c r="J68" s="39">
        <v>0.000524</v>
      </c>
      <c r="K68" s="39"/>
      <c r="L68" s="39">
        <v>1.000524</v>
      </c>
      <c r="M68" s="39">
        <v>2.000524</v>
      </c>
      <c r="N68" s="33"/>
    </row>
    <row r="69" spans="1:14" ht="12.75">
      <c r="A69" t="s">
        <v>71</v>
      </c>
      <c r="B69" s="8">
        <f>1005.4-0.539*B40+0.0026713*B40^2</f>
        <v>978.2560824999999</v>
      </c>
      <c r="C69" s="8">
        <f>1005.4-0.539*C40+0.0026713*C40^2</f>
        <v>978.8851424999999</v>
      </c>
      <c r="D69" s="8">
        <f>1005.4-0.539*D40+0.0026713*D40^2</f>
        <v>978.2560824999999</v>
      </c>
      <c r="E69" s="8">
        <f aca="true" t="shared" si="47" ref="B69:G69">1005.4-0.539*E40+0.0026713*E40^2</f>
        <v>978.2560824999999</v>
      </c>
      <c r="F69" s="8">
        <f t="shared" si="47"/>
        <v>978.213</v>
      </c>
      <c r="G69" s="8">
        <f t="shared" si="47"/>
        <v>978.2560824999999</v>
      </c>
      <c r="I69" s="33" t="s">
        <v>71</v>
      </c>
      <c r="J69" s="49">
        <v>978.213</v>
      </c>
      <c r="K69" s="49"/>
      <c r="L69" s="49">
        <v>978.8851424999999</v>
      </c>
      <c r="M69" s="49">
        <v>984.961125845533</v>
      </c>
      <c r="N69" s="33"/>
    </row>
    <row r="70" spans="1:14" ht="12.75">
      <c r="A70" t="s">
        <v>72</v>
      </c>
      <c r="B70" s="8">
        <f>0.55183+0.0025297*B40-0.0000172*B40^2+0.0000000531*B40^3-0.0000000000813*B40^4</f>
        <v>0.6794063216875001</v>
      </c>
      <c r="C70" s="8">
        <f>0.55183+0.0025297*C40-0.0000172*C40^2+0.0000000531*C40^3-0.0000000000813*C40^4</f>
        <v>0.6709506266875</v>
      </c>
      <c r="D70" s="8">
        <f>0.55183+0.0025297*D40-0.0000172*D40^2+0.0000000531*D40^3-0.0000000000813*D40^4</f>
        <v>0.6794063216875001</v>
      </c>
      <c r="E70" s="8">
        <f aca="true" t="shared" si="48" ref="B70:G70">0.55183+0.0025297*E40-0.0000172*E40^2+0.0000000531*E40^3-0.0000000000813*E40^4</f>
        <v>0.6794063216875001</v>
      </c>
      <c r="F70" s="8">
        <f t="shared" si="48"/>
        <v>0.6777700000000001</v>
      </c>
      <c r="G70" s="8">
        <f t="shared" si="48"/>
        <v>0.6794063216875001</v>
      </c>
      <c r="I70" s="33" t="s">
        <v>72</v>
      </c>
      <c r="J70" s="49">
        <v>0.6777700000000001</v>
      </c>
      <c r="K70" s="49"/>
      <c r="L70" s="49">
        <v>0.6709506266875</v>
      </c>
      <c r="M70" s="49">
        <v>0.642162335587005</v>
      </c>
      <c r="N70" s="33"/>
    </row>
    <row r="71" spans="1:14" ht="12.75">
      <c r="A71" t="s">
        <v>73</v>
      </c>
      <c r="B71" s="8">
        <f>13.527-0.43243*B40+0.00704*B40^2-0.0000618*B40^3+0.000000294*B40^4-0.000000000711*B40^5+0.000000000000682*B40^6</f>
        <v>1.772092067531254</v>
      </c>
      <c r="C71" s="8">
        <f>13.527-0.43243*C40+0.00704*C40^2-0.0000618*C40^3+0.000000294*C40^4-0.000000000711*C40^5+0.000000000000682*C40^6</f>
        <v>2.130979947781259</v>
      </c>
      <c r="D71" s="8">
        <f>13.527-0.43243*D40+0.00704*D40^2-0.0000618*D40^3+0.000000294*D40^4-0.000000000711*D40^5+0.000000000000682*D40^6</f>
        <v>1.772092067531254</v>
      </c>
      <c r="E71" s="8">
        <f aca="true" t="shared" si="49" ref="B71:G71">13.527-0.43243*E40+0.00704*E40^2-0.0000618*E40^3+0.000000294*E40^4-0.000000000711*E40^5+0.000000000000682*E40^6</f>
        <v>1.772092067531254</v>
      </c>
      <c r="F71" s="8">
        <f t="shared" si="49"/>
        <v>1.8560000000000163</v>
      </c>
      <c r="G71" s="8">
        <f t="shared" si="49"/>
        <v>1.772092067531254</v>
      </c>
      <c r="I71" s="33" t="s">
        <v>73</v>
      </c>
      <c r="J71" s="49">
        <v>1.8560000000000163</v>
      </c>
      <c r="K71" s="49"/>
      <c r="L71" s="49">
        <v>2.130979947781259</v>
      </c>
      <c r="M71" s="49">
        <v>3.3662434085059543</v>
      </c>
      <c r="N71" s="33"/>
    </row>
    <row r="72" spans="1:14" ht="12.75">
      <c r="A72" t="s">
        <v>74</v>
      </c>
      <c r="B72" s="8">
        <f>B69*B63*B56/B68</f>
        <v>0.0004741928338835877</v>
      </c>
      <c r="C72" s="8">
        <f>C69*C63*C56/C68</f>
        <v>89774.97617575189</v>
      </c>
      <c r="D72" s="8">
        <f>D69*D63*D56/D68</f>
        <v>0.0004741928338835877</v>
      </c>
      <c r="E72" s="8">
        <f aca="true" t="shared" si="50" ref="B72:G72">E69*E63*E56/E68</f>
        <v>0.0004741928338835877</v>
      </c>
      <c r="F72" s="8">
        <f t="shared" si="50"/>
        <v>89713.33301221373</v>
      </c>
      <c r="G72" s="8">
        <f t="shared" si="50"/>
        <v>0.0004741928338835877</v>
      </c>
      <c r="H72" t="s">
        <v>89</v>
      </c>
      <c r="I72" s="33" t="s">
        <v>74</v>
      </c>
      <c r="J72" s="49">
        <v>89713.33301221373</v>
      </c>
      <c r="K72" s="49"/>
      <c r="L72" s="49">
        <v>55.566077712480656</v>
      </c>
      <c r="M72" s="49">
        <v>1.250572979703145E-07</v>
      </c>
      <c r="N72" s="33" t="s">
        <v>89</v>
      </c>
    </row>
    <row r="73" spans="1:14" ht="12.75">
      <c r="A73" s="10" t="s">
        <v>24</v>
      </c>
      <c r="B73" s="4">
        <f aca="true" t="shared" si="51" ref="B73:G73">IF(B72&lt;30000,0.316/B72^0.25,0.184/B72^0.2)</f>
        <v>2.1414026510070907</v>
      </c>
      <c r="C73" s="4">
        <f t="shared" si="51"/>
        <v>0.018801251689824692</v>
      </c>
      <c r="D73" s="4">
        <f t="shared" si="51"/>
        <v>2.1414026510070907</v>
      </c>
      <c r="E73" s="4">
        <f t="shared" si="51"/>
        <v>2.1414026510070907</v>
      </c>
      <c r="F73" s="4">
        <f t="shared" si="51"/>
        <v>0.018803834695467675</v>
      </c>
      <c r="G73" s="4">
        <f t="shared" si="51"/>
        <v>2.1414026510070907</v>
      </c>
      <c r="I73" s="40" t="s">
        <v>24</v>
      </c>
      <c r="J73" s="37">
        <v>0.018801251689824692</v>
      </c>
      <c r="K73" s="33"/>
      <c r="L73" s="37">
        <v>0.115740311566364</v>
      </c>
      <c r="M73" s="37">
        <v>16.803889707719208</v>
      </c>
      <c r="N73" s="33"/>
    </row>
    <row r="74" spans="1:14" ht="12.75">
      <c r="A74" s="10" t="s">
        <v>25</v>
      </c>
      <c r="B74" s="2">
        <f aca="true" t="shared" si="52" ref="B74:G74">B73*B14/B56*1000*B63^2/2/6895</f>
        <v>0.004811518372168465</v>
      </c>
      <c r="C74" s="2">
        <f t="shared" si="52"/>
        <v>30.764485805948297</v>
      </c>
      <c r="D74" s="2">
        <f t="shared" si="52"/>
        <v>0.004811518372168465</v>
      </c>
      <c r="E74" s="2">
        <f t="shared" si="52"/>
        <v>0.008400307360949969</v>
      </c>
      <c r="F74" s="2">
        <f t="shared" si="52"/>
        <v>37.467534023979496</v>
      </c>
      <c r="G74" s="2">
        <f t="shared" si="52"/>
        <v>0.022159895009507217</v>
      </c>
      <c r="H74" t="s">
        <v>26</v>
      </c>
      <c r="I74" s="40" t="s">
        <v>25</v>
      </c>
      <c r="J74" s="34">
        <v>30.670323016612507</v>
      </c>
      <c r="K74" s="33"/>
      <c r="L74" s="34">
        <v>264.51413147594235</v>
      </c>
      <c r="M74" s="34">
        <v>0.032608281454467265</v>
      </c>
      <c r="N74" s="33" t="s">
        <v>26</v>
      </c>
    </row>
    <row r="75" spans="1:14" ht="12.75">
      <c r="A75" t="s">
        <v>75</v>
      </c>
      <c r="B75" s="4">
        <f>B65*B69</f>
        <v>4.956896734753686E-13</v>
      </c>
      <c r="C75" s="4">
        <f>C65*C69</f>
        <v>0.3228260900160144</v>
      </c>
      <c r="D75" s="4">
        <f>D65*D69</f>
        <v>4.956896734753686E-13</v>
      </c>
      <c r="E75" s="4">
        <f aca="true" t="shared" si="53" ref="B75:G75">E65*E69</f>
        <v>4.956896734753686E-13</v>
      </c>
      <c r="F75" s="4">
        <f t="shared" si="53"/>
        <v>0.3226044244438367</v>
      </c>
      <c r="G75" s="4">
        <f t="shared" si="53"/>
        <v>4.956896734753686E-13</v>
      </c>
      <c r="H75" t="s">
        <v>87</v>
      </c>
      <c r="I75" s="33" t="s">
        <v>75</v>
      </c>
      <c r="J75" s="37">
        <v>0.3226044244438367</v>
      </c>
      <c r="K75" s="33"/>
      <c r="L75" s="37">
        <v>0.3815217427461989</v>
      </c>
      <c r="M75" s="37">
        <v>4.990871690862232E-13</v>
      </c>
      <c r="N75" s="33" t="s">
        <v>87</v>
      </c>
    </row>
    <row r="76" spans="1:14" ht="12.75">
      <c r="A76" t="s">
        <v>76</v>
      </c>
      <c r="B76" s="1">
        <f aca="true" t="shared" si="54" ref="B76:G76">1/B75/B67</f>
        <v>475980455.2606775</v>
      </c>
      <c r="C76" s="1">
        <f t="shared" si="54"/>
        <v>0.0007367611664398111</v>
      </c>
      <c r="D76" s="1">
        <f t="shared" si="54"/>
        <v>475980455.2606775</v>
      </c>
      <c r="E76" s="1">
        <f t="shared" si="54"/>
        <v>475980455.2606775</v>
      </c>
      <c r="F76" s="1">
        <f t="shared" si="54"/>
        <v>0.0007328931310885295</v>
      </c>
      <c r="G76" s="1">
        <f t="shared" si="54"/>
        <v>475980455.2606775</v>
      </c>
      <c r="H76" t="s">
        <v>88</v>
      </c>
      <c r="I76" s="33" t="s">
        <v>76</v>
      </c>
      <c r="J76" s="39">
        <v>0.0007328931310885295</v>
      </c>
      <c r="K76" s="39"/>
      <c r="L76" s="39">
        <v>0.0006234132946798402</v>
      </c>
      <c r="M76" s="39">
        <v>481111585.7434406</v>
      </c>
      <c r="N76" s="33" t="s">
        <v>88</v>
      </c>
    </row>
    <row r="77" spans="1:14" ht="12.75">
      <c r="A77" t="s">
        <v>91</v>
      </c>
      <c r="B77" s="1">
        <f>1/(0.023*B72^0.8*B71^0.4*B70*PI()*B14)</f>
        <v>939.4040120738281</v>
      </c>
      <c r="C77" s="1">
        <f>1/(0.023*C72^0.8*C71^0.4*C70*PI()*C14)</f>
        <v>0.00025490702273707185</v>
      </c>
      <c r="D77" s="1">
        <f>1/(0.023*D72^0.8*D71^0.4*D70*PI()*D14)</f>
        <v>939.4040120738281</v>
      </c>
      <c r="E77" s="1">
        <f aca="true" t="shared" si="55" ref="B77:G77">1/(0.023*E72^0.8*E71^0.4*E70*PI()*E14)</f>
        <v>538.0707477435493</v>
      </c>
      <c r="F77" s="1">
        <f t="shared" si="55"/>
        <v>0.0002191207143952906</v>
      </c>
      <c r="G77" s="1">
        <f t="shared" si="55"/>
        <v>203.97026524912687</v>
      </c>
      <c r="H77" t="s">
        <v>88</v>
      </c>
      <c r="I77" s="33" t="s">
        <v>91</v>
      </c>
      <c r="J77" s="39">
        <v>0.0002844981380708718</v>
      </c>
      <c r="K77" s="39"/>
      <c r="L77" s="39">
        <v>0.09398493508397507</v>
      </c>
      <c r="M77" s="39">
        <v>649555.0316364267</v>
      </c>
      <c r="N77" s="33" t="s">
        <v>88</v>
      </c>
    </row>
    <row r="78" spans="1:14" ht="12.75">
      <c r="A78" t="s">
        <v>13</v>
      </c>
      <c r="B78" s="22">
        <v>100</v>
      </c>
      <c r="C78" s="22">
        <v>100</v>
      </c>
      <c r="D78" s="22">
        <v>100</v>
      </c>
      <c r="E78" s="22">
        <v>100</v>
      </c>
      <c r="F78" s="7">
        <v>0.0004949443840578561</v>
      </c>
      <c r="G78" s="22">
        <v>100</v>
      </c>
      <c r="H78" t="s">
        <v>88</v>
      </c>
      <c r="I78" s="33" t="s">
        <v>13</v>
      </c>
      <c r="J78" s="39">
        <v>0.0003951708913906074</v>
      </c>
      <c r="K78" s="33"/>
      <c r="L78" s="47">
        <v>100</v>
      </c>
      <c r="M78" s="47">
        <v>100</v>
      </c>
      <c r="N78" s="33" t="s">
        <v>88</v>
      </c>
    </row>
    <row r="79" spans="1:14" ht="12.75">
      <c r="A79" t="s">
        <v>92</v>
      </c>
      <c r="B79" s="1">
        <f aca="true" t="shared" si="56" ref="B79:G79">B76+B77*B78/(B77+B78)</f>
        <v>475980545.6397795</v>
      </c>
      <c r="C79" s="1">
        <f t="shared" si="56"/>
        <v>0.0009916675394026368</v>
      </c>
      <c r="D79" s="1">
        <f t="shared" si="56"/>
        <v>475980545.6397795</v>
      </c>
      <c r="E79" s="1">
        <f t="shared" si="56"/>
        <v>475980539.5884342</v>
      </c>
      <c r="F79" s="1">
        <f t="shared" si="56"/>
        <v>0.0008847736350588698</v>
      </c>
      <c r="G79" s="1">
        <f t="shared" si="56"/>
        <v>475980522.3627229</v>
      </c>
      <c r="H79" t="s">
        <v>88</v>
      </c>
      <c r="I79" s="33" t="s">
        <v>92</v>
      </c>
      <c r="J79" s="39">
        <v>0.0008983050859476649</v>
      </c>
      <c r="K79" s="39"/>
      <c r="L79" s="39">
        <v>0.09452009963894824</v>
      </c>
      <c r="M79" s="39">
        <v>481111685.72804785</v>
      </c>
      <c r="N79" s="33" t="s">
        <v>88</v>
      </c>
    </row>
    <row r="80" spans="1:14" ht="12.75">
      <c r="A80" t="s">
        <v>6</v>
      </c>
      <c r="B80" s="19">
        <v>90</v>
      </c>
      <c r="C80" s="19">
        <v>76</v>
      </c>
      <c r="D80" s="19">
        <v>90</v>
      </c>
      <c r="E80" s="19">
        <v>90</v>
      </c>
      <c r="F80" s="19">
        <v>90</v>
      </c>
      <c r="G80" s="19">
        <v>90</v>
      </c>
      <c r="I80" s="33" t="s">
        <v>6</v>
      </c>
      <c r="J80" s="33">
        <v>90</v>
      </c>
      <c r="K80" s="33"/>
      <c r="L80" s="36">
        <v>76</v>
      </c>
      <c r="M80" s="36">
        <v>90</v>
      </c>
      <c r="N80" s="33"/>
    </row>
    <row r="81" spans="1:14" ht="12.75">
      <c r="A81" t="s">
        <v>7</v>
      </c>
      <c r="B81">
        <f aca="true" t="shared" si="57" ref="B81:G81">B80-B39</f>
        <v>55</v>
      </c>
      <c r="C81">
        <f t="shared" si="57"/>
        <v>56</v>
      </c>
      <c r="D81">
        <f t="shared" si="57"/>
        <v>55</v>
      </c>
      <c r="E81">
        <f t="shared" si="57"/>
        <v>55</v>
      </c>
      <c r="F81">
        <f t="shared" si="57"/>
        <v>53</v>
      </c>
      <c r="G81">
        <f t="shared" si="57"/>
        <v>55</v>
      </c>
      <c r="I81" s="33" t="s">
        <v>7</v>
      </c>
      <c r="J81" s="33">
        <v>53</v>
      </c>
      <c r="K81" s="33"/>
      <c r="L81" s="33">
        <v>56</v>
      </c>
      <c r="M81" s="33">
        <v>50</v>
      </c>
      <c r="N81" s="33"/>
    </row>
    <row r="82" spans="1:14" ht="12.75">
      <c r="A82" t="s">
        <v>9</v>
      </c>
      <c r="B82">
        <f aca="true" t="shared" si="58" ref="B82:G82">B39+B81/2</f>
        <v>62.5</v>
      </c>
      <c r="C82">
        <f t="shared" si="58"/>
        <v>48</v>
      </c>
      <c r="D82">
        <f t="shared" si="58"/>
        <v>62.5</v>
      </c>
      <c r="E82">
        <f t="shared" si="58"/>
        <v>62.5</v>
      </c>
      <c r="F82">
        <f t="shared" si="58"/>
        <v>63.5</v>
      </c>
      <c r="G82">
        <f t="shared" si="58"/>
        <v>62.5</v>
      </c>
      <c r="I82" s="33" t="s">
        <v>9</v>
      </c>
      <c r="J82" s="33">
        <v>63.5</v>
      </c>
      <c r="K82" s="33"/>
      <c r="L82" s="33">
        <v>48</v>
      </c>
      <c r="M82" s="33">
        <v>65</v>
      </c>
      <c r="N82" s="33"/>
    </row>
    <row r="83" spans="1:14" ht="12.75">
      <c r="A83" t="s">
        <v>8</v>
      </c>
      <c r="B83" s="2">
        <f>B81/B79</f>
        <v>1.1555094111267273E-07</v>
      </c>
      <c r="C83" s="2">
        <f>C81/C79</f>
        <v>56470.538537273715</v>
      </c>
      <c r="D83" s="2">
        <f>D81/D79</f>
        <v>1.1555094111267273E-07</v>
      </c>
      <c r="E83" s="2">
        <f aca="true" t="shared" si="59" ref="B83:G83">E81/E79</f>
        <v>1.1555094258172154E-07</v>
      </c>
      <c r="F83" s="2">
        <f t="shared" si="59"/>
        <v>59902.32744274027</v>
      </c>
      <c r="G83" s="2">
        <f t="shared" si="59"/>
        <v>1.1555094676350438E-07</v>
      </c>
      <c r="I83" s="33" t="s">
        <v>8</v>
      </c>
      <c r="J83" s="34">
        <v>58999.99992105998</v>
      </c>
      <c r="K83" s="33">
        <v>59000</v>
      </c>
      <c r="L83" s="34">
        <v>592.4665781554517</v>
      </c>
      <c r="M83" s="34">
        <v>1.0392597287329848E-07</v>
      </c>
      <c r="N83" s="33"/>
    </row>
    <row r="84" spans="1:14" ht="12.75">
      <c r="A84" t="s">
        <v>10</v>
      </c>
      <c r="B84" s="2">
        <f aca="true" t="shared" si="60" ref="B84:G84">SQRT(B83/B61/(1+B59*(B82-20)))</f>
        <v>0.013556297974580349</v>
      </c>
      <c r="C84" s="2">
        <f t="shared" si="60"/>
        <v>6818.764190734758</v>
      </c>
      <c r="D84" s="2">
        <f t="shared" si="60"/>
        <v>0.013556297974580349</v>
      </c>
      <c r="E84" s="2">
        <f t="shared" si="60"/>
        <v>0.007277540827654788</v>
      </c>
      <c r="F84" s="2">
        <f t="shared" si="60"/>
        <v>6189.844519866082</v>
      </c>
      <c r="G84" s="2">
        <f t="shared" si="60"/>
        <v>0.007749030274601201</v>
      </c>
      <c r="I84" s="33" t="s">
        <v>10</v>
      </c>
      <c r="J84" s="34">
        <v>7000.07169100027</v>
      </c>
      <c r="K84" s="39">
        <v>7000</v>
      </c>
      <c r="L84" s="34">
        <v>698.4360300932615</v>
      </c>
      <c r="M84" s="34">
        <v>0.013790472502340377</v>
      </c>
      <c r="N84" s="33"/>
    </row>
    <row r="85" spans="1:14" ht="12.75">
      <c r="A85" t="s">
        <v>94</v>
      </c>
      <c r="B85" s="1">
        <f>B54*B13*B6</f>
        <v>0.0014839767855557048</v>
      </c>
      <c r="C85" s="1">
        <f>C54*C13*C6</f>
        <v>0.0005677620356362105</v>
      </c>
      <c r="D85" s="1">
        <f>D54*D13*D6</f>
        <v>0.0014839767855557048</v>
      </c>
      <c r="E85" s="1">
        <f aca="true" t="shared" si="61" ref="B85:G85">E54*E13*E6</f>
        <v>0.0014933348977308864</v>
      </c>
      <c r="F85" s="1">
        <f t="shared" si="61"/>
        <v>0.0007136921423651415</v>
      </c>
      <c r="G85" s="1">
        <f t="shared" si="61"/>
        <v>0.013028520584712579</v>
      </c>
      <c r="H85" t="s">
        <v>97</v>
      </c>
      <c r="I85" s="33" t="s">
        <v>94</v>
      </c>
      <c r="J85" s="39">
        <v>0.000516539066869197</v>
      </c>
      <c r="K85" s="49"/>
      <c r="L85" s="39">
        <v>0.0005677620356362105</v>
      </c>
      <c r="M85" s="39">
        <v>0.0014689792892980734</v>
      </c>
      <c r="N85" s="33" t="s">
        <v>97</v>
      </c>
    </row>
    <row r="86" spans="1:14" ht="12.75">
      <c r="A86" t="s">
        <v>77</v>
      </c>
      <c r="B86" s="8">
        <v>8940</v>
      </c>
      <c r="C86" s="8">
        <v>8940</v>
      </c>
      <c r="D86" s="8">
        <v>8940</v>
      </c>
      <c r="E86" s="8">
        <v>8940</v>
      </c>
      <c r="F86" s="8">
        <v>8940</v>
      </c>
      <c r="G86" s="8">
        <v>8940</v>
      </c>
      <c r="H86" t="s">
        <v>96</v>
      </c>
      <c r="I86" s="33" t="s">
        <v>77</v>
      </c>
      <c r="J86" s="49">
        <v>8940</v>
      </c>
      <c r="K86" s="49"/>
      <c r="L86" s="49">
        <v>8940</v>
      </c>
      <c r="M86" s="49">
        <v>8940</v>
      </c>
      <c r="N86" s="33" t="s">
        <v>96</v>
      </c>
    </row>
    <row r="87" spans="1:14" ht="12.75">
      <c r="A87" t="s">
        <v>79</v>
      </c>
      <c r="B87" s="8">
        <v>386</v>
      </c>
      <c r="C87" s="8">
        <v>386</v>
      </c>
      <c r="D87" s="8">
        <v>386</v>
      </c>
      <c r="E87" s="8">
        <v>386</v>
      </c>
      <c r="F87" s="8">
        <v>386</v>
      </c>
      <c r="G87" s="8">
        <v>386</v>
      </c>
      <c r="H87" t="s">
        <v>78</v>
      </c>
      <c r="I87" s="33" t="s">
        <v>79</v>
      </c>
      <c r="J87" s="49">
        <v>386</v>
      </c>
      <c r="K87" s="49"/>
      <c r="L87" s="49">
        <v>386</v>
      </c>
      <c r="M87" s="49">
        <v>386</v>
      </c>
      <c r="N87" s="33" t="s">
        <v>78</v>
      </c>
    </row>
    <row r="88" spans="1:14" ht="12.75">
      <c r="A88" t="s">
        <v>95</v>
      </c>
      <c r="B88" s="8">
        <f>B85*B86</f>
        <v>13.266752462868</v>
      </c>
      <c r="C88" s="8">
        <f>C85*C86</f>
        <v>5.075792598587722</v>
      </c>
      <c r="D88" s="8">
        <f>D85*D86</f>
        <v>13.266752462868</v>
      </c>
      <c r="E88" s="8">
        <f aca="true" t="shared" si="62" ref="B88:G88">E85*E86</f>
        <v>13.350413985714125</v>
      </c>
      <c r="F88" s="8">
        <f t="shared" si="62"/>
        <v>6.3804077527443654</v>
      </c>
      <c r="G88" s="8">
        <f t="shared" si="62"/>
        <v>116.47497402733045</v>
      </c>
      <c r="H88" t="s">
        <v>98</v>
      </c>
      <c r="I88" s="33" t="s">
        <v>95</v>
      </c>
      <c r="J88" s="49">
        <v>4.617859257810621</v>
      </c>
      <c r="K88" s="34"/>
      <c r="L88" s="49">
        <v>5.075792598587722</v>
      </c>
      <c r="M88" s="49">
        <v>13.132674846324775</v>
      </c>
      <c r="N88" s="33" t="s">
        <v>98</v>
      </c>
    </row>
    <row r="89" spans="1:14" ht="12.75">
      <c r="A89" t="s">
        <v>93</v>
      </c>
      <c r="B89" s="2">
        <f aca="true" t="shared" si="63" ref="B89:G89">B88*B87</f>
        <v>5120.966450667048</v>
      </c>
      <c r="C89" s="2">
        <f t="shared" si="63"/>
        <v>1959.2559430548608</v>
      </c>
      <c r="D89" s="2">
        <f t="shared" si="63"/>
        <v>5120.966450667048</v>
      </c>
      <c r="E89" s="2">
        <f t="shared" si="63"/>
        <v>5153.259798485652</v>
      </c>
      <c r="F89" s="2">
        <f t="shared" si="63"/>
        <v>2462.837392559325</v>
      </c>
      <c r="G89" s="2">
        <f t="shared" si="63"/>
        <v>44959.339974549555</v>
      </c>
      <c r="H89" t="s">
        <v>101</v>
      </c>
      <c r="I89" s="33" t="s">
        <v>93</v>
      </c>
      <c r="J89" s="34">
        <v>1782.4936735148997</v>
      </c>
      <c r="K89" s="39"/>
      <c r="L89" s="34">
        <v>1959.2559430548608</v>
      </c>
      <c r="M89" s="34">
        <v>5069.212490681363</v>
      </c>
      <c r="N89" s="33" t="s">
        <v>101</v>
      </c>
    </row>
    <row r="90" spans="1:14" ht="12.75">
      <c r="A90" t="s">
        <v>102</v>
      </c>
      <c r="B90" s="1">
        <f aca="true" t="shared" si="64" ref="B90:G90">B79*B89</f>
        <v>2437480405391.5063</v>
      </c>
      <c r="C90" s="1">
        <f t="shared" si="64"/>
        <v>1.9429305201092066</v>
      </c>
      <c r="D90" s="1">
        <f t="shared" si="64"/>
        <v>2437480405391.5063</v>
      </c>
      <c r="E90" s="1">
        <f t="shared" si="64"/>
        <v>2452851379522.5864</v>
      </c>
      <c r="F90" s="1">
        <f t="shared" si="64"/>
        <v>2.1790535923736227</v>
      </c>
      <c r="G90" s="1">
        <f t="shared" si="64"/>
        <v>21399770126169.344</v>
      </c>
      <c r="H90" t="s">
        <v>63</v>
      </c>
      <c r="I90" s="33" t="s">
        <v>102</v>
      </c>
      <c r="J90" s="39">
        <v>1.6012231325879709</v>
      </c>
      <c r="K90" s="39"/>
      <c r="L90" s="39">
        <v>185.18906695574694</v>
      </c>
      <c r="M90" s="39">
        <v>2438857366705.3867</v>
      </c>
      <c r="N90" s="33" t="s">
        <v>63</v>
      </c>
    </row>
    <row r="91" spans="1:14" ht="12.75">
      <c r="A91" t="s">
        <v>11</v>
      </c>
      <c r="B91" s="1">
        <f aca="true" t="shared" si="65" ref="B91:G91">5*B90</f>
        <v>12187402026957.531</v>
      </c>
      <c r="C91" s="1">
        <f t="shared" si="65"/>
        <v>9.714652600546033</v>
      </c>
      <c r="D91" s="1">
        <f t="shared" si="65"/>
        <v>12187402026957.531</v>
      </c>
      <c r="E91" s="1">
        <f t="shared" si="65"/>
        <v>12264256897612.932</v>
      </c>
      <c r="F91" s="1">
        <f t="shared" si="65"/>
        <v>10.895267961868115</v>
      </c>
      <c r="G91" s="1">
        <f t="shared" si="65"/>
        <v>106998850630846.72</v>
      </c>
      <c r="H91" t="s">
        <v>63</v>
      </c>
      <c r="I91" s="33" t="s">
        <v>11</v>
      </c>
      <c r="J91" s="39">
        <v>8.006115662939855</v>
      </c>
      <c r="K91" s="50">
        <v>8</v>
      </c>
      <c r="L91" s="39">
        <v>925.9453347787347</v>
      </c>
      <c r="M91" s="39">
        <v>12194286833526.934</v>
      </c>
      <c r="N91" s="33" t="s">
        <v>63</v>
      </c>
    </row>
    <row r="92" spans="1:14" ht="12.75">
      <c r="A92" t="s">
        <v>12</v>
      </c>
      <c r="B92" s="3">
        <v>2</v>
      </c>
      <c r="C92" s="3">
        <v>2</v>
      </c>
      <c r="D92" s="3">
        <v>2</v>
      </c>
      <c r="E92" s="3">
        <v>2</v>
      </c>
      <c r="F92" s="3">
        <v>2</v>
      </c>
      <c r="G92" s="3">
        <v>2</v>
      </c>
      <c r="I92" s="33" t="s">
        <v>12</v>
      </c>
      <c r="J92" s="50">
        <v>1</v>
      </c>
      <c r="K92" s="39">
        <v>1</v>
      </c>
      <c r="L92" s="50">
        <v>2</v>
      </c>
      <c r="M92" s="50">
        <v>2</v>
      </c>
      <c r="N92" s="33"/>
    </row>
    <row r="93" spans="1:14" ht="12.75">
      <c r="A93" t="s">
        <v>112</v>
      </c>
      <c r="B93" s="1">
        <v>1.1811484414199308E-06</v>
      </c>
      <c r="C93" s="1">
        <v>1.370008711808028E-06</v>
      </c>
      <c r="D93" s="1">
        <v>1.1811484414199308E-06</v>
      </c>
      <c r="E93" s="1">
        <v>0</v>
      </c>
      <c r="F93" s="7">
        <f>0.000095-F94-F92*F38</f>
        <v>4.8961518761711886E-05</v>
      </c>
      <c r="G93" s="1">
        <v>0</v>
      </c>
      <c r="H93" t="s">
        <v>28</v>
      </c>
      <c r="I93" s="33" t="s">
        <v>112</v>
      </c>
      <c r="J93" s="39">
        <v>5.800000000000001E-05</v>
      </c>
      <c r="K93" s="39"/>
      <c r="L93" s="39">
        <v>0</v>
      </c>
      <c r="M93" s="39">
        <v>0</v>
      </c>
      <c r="N93" s="33" t="s">
        <v>28</v>
      </c>
    </row>
    <row r="94" spans="1:14" ht="12.75">
      <c r="A94" t="s">
        <v>115</v>
      </c>
      <c r="B94" s="1">
        <f>2.5*0.0000225</f>
        <v>5.6250000000000005E-05</v>
      </c>
      <c r="C94" s="1">
        <f>2.5*0.0000225</f>
        <v>5.6250000000000005E-05</v>
      </c>
      <c r="D94" s="1">
        <f>2.5*0.0000225</f>
        <v>5.6250000000000005E-05</v>
      </c>
      <c r="E94" s="1">
        <f>2.5*0.0000225</f>
        <v>5.6250000000000005E-05</v>
      </c>
      <c r="F94" s="1">
        <v>3.27511903932192E-05</v>
      </c>
      <c r="G94" s="1">
        <v>3.27511903932192E-05</v>
      </c>
      <c r="H94" t="s">
        <v>28</v>
      </c>
      <c r="I94" s="33" t="s">
        <v>115</v>
      </c>
      <c r="J94" s="39">
        <v>3.2751190393219215E-05</v>
      </c>
      <c r="K94" s="39"/>
      <c r="L94" s="39">
        <v>0.00012612681204867944</v>
      </c>
      <c r="M94" s="39">
        <v>0.00012606079288213288</v>
      </c>
      <c r="N94" s="33" t="s">
        <v>28</v>
      </c>
    </row>
    <row r="95" spans="1:14" ht="12.75">
      <c r="A95" t="s">
        <v>113</v>
      </c>
      <c r="B95" s="1">
        <f aca="true" t="shared" si="66" ref="B95:G95">B92*B38+B93+B94</f>
        <v>6.793870291098331E-05</v>
      </c>
      <c r="C95" s="1">
        <f t="shared" si="66"/>
        <v>6.79030281175433E-05</v>
      </c>
      <c r="D95" s="1">
        <f t="shared" si="66"/>
        <v>6.793870291098331E-05</v>
      </c>
      <c r="E95" s="1">
        <f t="shared" si="66"/>
        <v>0.00010150578679123237</v>
      </c>
      <c r="F95" s="1">
        <f t="shared" si="66"/>
        <v>9.5E-05</v>
      </c>
      <c r="G95" s="1">
        <f t="shared" si="66"/>
        <v>0.0002895200569464025</v>
      </c>
      <c r="H95" t="s">
        <v>28</v>
      </c>
      <c r="I95" s="33" t="s">
        <v>113</v>
      </c>
      <c r="J95" s="39">
        <v>9.5E-05</v>
      </c>
      <c r="K95" s="39">
        <v>9.5E-05</v>
      </c>
      <c r="L95" s="39">
        <v>0.00013640983145441472</v>
      </c>
      <c r="M95" s="39">
        <v>0.00013641842266960105</v>
      </c>
      <c r="N95" s="33" t="s">
        <v>28</v>
      </c>
    </row>
    <row r="96" spans="1:14" ht="12.75">
      <c r="A96" t="s">
        <v>226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t="s">
        <v>106</v>
      </c>
      <c r="I96" s="33" t="s">
        <v>117</v>
      </c>
      <c r="J96" s="39">
        <v>0</v>
      </c>
      <c r="K96" s="39"/>
      <c r="L96" s="39">
        <v>0</v>
      </c>
      <c r="M96" s="39">
        <v>0</v>
      </c>
      <c r="N96" s="33" t="s">
        <v>106</v>
      </c>
    </row>
    <row r="97" spans="1:14" ht="12.75">
      <c r="A97" t="s">
        <v>227</v>
      </c>
      <c r="B97" s="1">
        <f>2*B96</f>
        <v>0</v>
      </c>
      <c r="C97" s="1">
        <f>2*C96</f>
        <v>0</v>
      </c>
      <c r="D97" s="1">
        <f>2*D96</f>
        <v>0</v>
      </c>
      <c r="E97" s="1">
        <f>2*E96</f>
        <v>0</v>
      </c>
      <c r="F97" s="1">
        <f>2*F96</f>
        <v>0</v>
      </c>
      <c r="G97" s="1">
        <f>2*G96</f>
        <v>0</v>
      </c>
      <c r="I97" s="33"/>
      <c r="J97" s="39"/>
      <c r="K97" s="39"/>
      <c r="L97" s="39"/>
      <c r="M97" s="39"/>
      <c r="N97" s="33"/>
    </row>
    <row r="98" spans="1:14" ht="12.75">
      <c r="A98" t="s">
        <v>228</v>
      </c>
      <c r="B98" s="1">
        <f>2.5*0.00701*2</f>
        <v>0.03505</v>
      </c>
      <c r="C98" s="1">
        <f>2.5*0.00701*2</f>
        <v>0.03505</v>
      </c>
      <c r="D98" s="1">
        <f>2.5*0.00701*2</f>
        <v>0.03505</v>
      </c>
      <c r="E98" s="1">
        <f>2.5*0.00701*2</f>
        <v>0.03505</v>
      </c>
      <c r="F98" s="7">
        <f>0.0075-F61</f>
        <v>0.006173186413444359</v>
      </c>
      <c r="G98" s="1">
        <v>0.006329778109284694</v>
      </c>
      <c r="H98" t="s">
        <v>106</v>
      </c>
      <c r="I98" s="33" t="s">
        <v>114</v>
      </c>
      <c r="J98" s="39">
        <v>0.0061461934481934904</v>
      </c>
      <c r="K98" s="39"/>
      <c r="L98" s="39">
        <v>0.00416</v>
      </c>
      <c r="M98" s="39">
        <v>0.00416</v>
      </c>
      <c r="N98" s="33" t="s">
        <v>106</v>
      </c>
    </row>
    <row r="99" spans="1:14" ht="12.75">
      <c r="A99" t="s">
        <v>229</v>
      </c>
      <c r="B99" s="1">
        <f>2*B98</f>
        <v>0.0701</v>
      </c>
      <c r="C99" s="1">
        <f>2*C98</f>
        <v>0.0701</v>
      </c>
      <c r="D99" s="1">
        <f>2*D98</f>
        <v>0.0701</v>
      </c>
      <c r="E99" s="1">
        <f>2*E98</f>
        <v>0.0701</v>
      </c>
      <c r="F99" s="1">
        <f>2*F98</f>
        <v>0.012346372826888719</v>
      </c>
      <c r="G99" s="1">
        <f>2*G98</f>
        <v>0.012659556218569387</v>
      </c>
      <c r="I99" s="33"/>
      <c r="J99" s="39"/>
      <c r="K99" s="39"/>
      <c r="L99" s="39"/>
      <c r="M99" s="39"/>
      <c r="N99" s="33"/>
    </row>
    <row r="100" spans="1:14" ht="12.75">
      <c r="A100" t="s">
        <v>224</v>
      </c>
      <c r="B100" s="1">
        <f>(B92*B61+B96+B98)*(1+B59*(B40-20))</f>
        <v>0.04870907282992931</v>
      </c>
      <c r="C100" s="1">
        <f>(C92*C61+C96+C98)*(1+C59*(C40-20))</f>
        <v>0.047150442025618314</v>
      </c>
      <c r="D100" s="1">
        <f>(D92*D61+D96+D98)*(1+D59*(D40-20))</f>
        <v>0.04870907282992931</v>
      </c>
      <c r="E100" s="1">
        <f aca="true" t="shared" si="67" ref="B100:G100">(E92*E61+E96+E98)*(1+E59*(E40-20))</f>
        <v>0.052275926918240984</v>
      </c>
      <c r="F100" s="1">
        <f t="shared" si="67"/>
        <v>0.01172200844294589</v>
      </c>
      <c r="G100" s="1">
        <f t="shared" si="67"/>
        <v>0.012955470700137615</v>
      </c>
      <c r="I100" s="33"/>
      <c r="J100" s="39"/>
      <c r="K100" s="39"/>
      <c r="L100" s="39"/>
      <c r="M100" s="39"/>
      <c r="N100" s="33"/>
    </row>
    <row r="101" spans="1:14" ht="12.75">
      <c r="A101" t="s">
        <v>248</v>
      </c>
      <c r="B101" s="1">
        <f>B92*B62+B96+B98</f>
        <v>0.038134316485293265</v>
      </c>
      <c r="C101" s="1">
        <f>C92*C62+C96+C98</f>
        <v>0.04056529880497282</v>
      </c>
      <c r="D101" s="1">
        <f>D92*D62+D96+D98</f>
        <v>0.038134316485293265</v>
      </c>
      <c r="E101" s="1">
        <f>E92*E62+E96+E98</f>
        <v>0.04406252633935513</v>
      </c>
      <c r="F101" s="1">
        <f>F92*F62+F96+F98</f>
        <v>0.013216159032151318</v>
      </c>
      <c r="G101" s="1">
        <f>G92*G61*G49*(1+G59*(G40-20))+G97+G99</f>
        <v>0.017672211766349723</v>
      </c>
      <c r="H101" t="s">
        <v>106</v>
      </c>
      <c r="I101" s="33" t="s">
        <v>116</v>
      </c>
      <c r="J101" s="39">
        <v>0.007503165191362714</v>
      </c>
      <c r="K101" s="33"/>
      <c r="L101" s="39">
        <v>0.009675298804972818</v>
      </c>
      <c r="M101" s="39">
        <v>0.005198532365696816</v>
      </c>
      <c r="N101" s="33" t="s">
        <v>106</v>
      </c>
    </row>
    <row r="102" spans="1:14" ht="12.75">
      <c r="A102" t="s">
        <v>111</v>
      </c>
      <c r="B102" s="1">
        <f>2*PI()*B47*B95</f>
        <v>0.4268714599191293</v>
      </c>
      <c r="C102" s="1">
        <f>2*PI()*C47*C95</f>
        <v>0.4266473085811504</v>
      </c>
      <c r="D102" s="1">
        <f>2*PI()*D47*D95</f>
        <v>0.4268714599191293</v>
      </c>
      <c r="E102" s="1">
        <f aca="true" t="shared" si="68" ref="B102:G102">2*PI()*E47*E95</f>
        <v>0.6377796681603749</v>
      </c>
      <c r="F102" s="1">
        <f t="shared" si="68"/>
        <v>0.5969026041820606</v>
      </c>
      <c r="G102" s="1">
        <f t="shared" si="68"/>
        <v>1.8191081679394332</v>
      </c>
      <c r="H102" t="s">
        <v>106</v>
      </c>
      <c r="I102" s="33" t="s">
        <v>111</v>
      </c>
      <c r="J102" s="39">
        <v>0.5969026041820606</v>
      </c>
      <c r="K102" s="39"/>
      <c r="L102" s="39">
        <v>0.8570882487492223</v>
      </c>
      <c r="M102" s="39">
        <v>0.8571422289462519</v>
      </c>
      <c r="N102" s="33" t="s">
        <v>106</v>
      </c>
    </row>
    <row r="103" spans="1:14" ht="12.75">
      <c r="A103" t="s">
        <v>110</v>
      </c>
      <c r="B103" s="1">
        <f aca="true" t="shared" si="69" ref="B103:G103">SQRT(B101^2+B102^2)</f>
        <v>0.42857142857088515</v>
      </c>
      <c r="C103" s="1">
        <f t="shared" si="69"/>
        <v>0.4285714285701697</v>
      </c>
      <c r="D103" s="1">
        <f t="shared" si="69"/>
        <v>0.42857142857088515</v>
      </c>
      <c r="E103" s="1">
        <f t="shared" si="69"/>
        <v>0.6392999384844051</v>
      </c>
      <c r="F103" s="1">
        <f t="shared" si="69"/>
        <v>0.597048897276336</v>
      </c>
      <c r="G103" s="1">
        <f t="shared" si="69"/>
        <v>1.8191940066228989</v>
      </c>
      <c r="H103" t="s">
        <v>106</v>
      </c>
      <c r="I103" s="33" t="s">
        <v>110</v>
      </c>
      <c r="J103" s="39">
        <v>0.5969497603376809</v>
      </c>
      <c r="K103" s="51"/>
      <c r="L103" s="39">
        <v>0.8571428571428302</v>
      </c>
      <c r="M103" s="39">
        <v>0.8571579932437813</v>
      </c>
      <c r="N103" s="33" t="s">
        <v>106</v>
      </c>
    </row>
    <row r="104" spans="1:14" ht="12.75">
      <c r="A104" t="s">
        <v>128</v>
      </c>
      <c r="B104" s="11">
        <v>0.14</v>
      </c>
      <c r="C104" s="11">
        <v>0.14</v>
      </c>
      <c r="D104" s="11">
        <v>0.14</v>
      </c>
      <c r="E104" s="11">
        <v>0.14</v>
      </c>
      <c r="F104" s="11">
        <v>0.10049737547843426</v>
      </c>
      <c r="G104" s="11">
        <v>0.03298163900142917</v>
      </c>
      <c r="I104" s="33" t="s">
        <v>128</v>
      </c>
      <c r="J104" s="51">
        <v>0.10051097091664685</v>
      </c>
      <c r="K104" s="34"/>
      <c r="L104" s="51">
        <v>0.07</v>
      </c>
      <c r="M104" s="51">
        <v>0.07</v>
      </c>
      <c r="N104" s="33"/>
    </row>
    <row r="105" spans="1:14" ht="12.75">
      <c r="A105" t="s">
        <v>129</v>
      </c>
      <c r="B105" s="2">
        <f aca="true" t="shared" si="70" ref="B105:G105">B5*B104</f>
        <v>700.0000000000001</v>
      </c>
      <c r="C105" s="2">
        <f t="shared" si="70"/>
        <v>700.0000000000001</v>
      </c>
      <c r="D105" s="2">
        <f t="shared" si="70"/>
        <v>700.0000000000001</v>
      </c>
      <c r="E105" s="2">
        <f t="shared" si="70"/>
        <v>700.0000000000001</v>
      </c>
      <c r="F105" s="2">
        <f t="shared" si="70"/>
        <v>502.4868773921713</v>
      </c>
      <c r="G105" s="2">
        <f t="shared" si="70"/>
        <v>164.90819500714585</v>
      </c>
      <c r="H105" t="s">
        <v>48</v>
      </c>
      <c r="I105" s="33" t="s">
        <v>129</v>
      </c>
      <c r="J105" s="34">
        <v>502.55485458323426</v>
      </c>
      <c r="K105" s="34"/>
      <c r="L105" s="34">
        <v>350</v>
      </c>
      <c r="M105" s="34">
        <v>350</v>
      </c>
      <c r="N105" s="33" t="s">
        <v>48</v>
      </c>
    </row>
    <row r="106" spans="1:14" ht="12.75">
      <c r="A106" t="s">
        <v>119</v>
      </c>
      <c r="B106" s="2">
        <f aca="true" t="shared" si="71" ref="B106:G106">B105*B37</f>
        <v>4.886318837534401</v>
      </c>
      <c r="C106" s="2">
        <f t="shared" si="71"/>
        <v>6.331986791988723</v>
      </c>
      <c r="D106" s="2">
        <f t="shared" si="71"/>
        <v>4.886318837534401</v>
      </c>
      <c r="E106" s="2">
        <f t="shared" si="71"/>
        <v>4.886318837534401</v>
      </c>
      <c r="F106" s="2">
        <f t="shared" si="71"/>
        <v>4.829047519866785</v>
      </c>
      <c r="G106" s="2">
        <f t="shared" si="71"/>
        <v>1.0963394764682206</v>
      </c>
      <c r="I106" s="33"/>
      <c r="J106" s="34"/>
      <c r="K106" s="34"/>
      <c r="L106" s="34"/>
      <c r="M106" s="34"/>
      <c r="N106" s="33"/>
    </row>
    <row r="107" spans="1:14" ht="12.75">
      <c r="A107" t="s">
        <v>118</v>
      </c>
      <c r="B107" s="2">
        <f aca="true" t="shared" si="72" ref="B107:G107">B105/SQRT(2)*B103</f>
        <v>212.13203435569528</v>
      </c>
      <c r="C107" s="2">
        <f t="shared" si="72"/>
        <v>212.13203435534118</v>
      </c>
      <c r="D107" s="2">
        <f t="shared" si="72"/>
        <v>212.13203435569528</v>
      </c>
      <c r="E107" s="2">
        <f t="shared" si="72"/>
        <v>316.4373252001259</v>
      </c>
      <c r="F107" s="2">
        <f t="shared" si="72"/>
        <v>212.1385652244774</v>
      </c>
      <c r="G107" s="2">
        <f t="shared" si="72"/>
        <v>212.13203435596424</v>
      </c>
      <c r="H107" t="s">
        <v>130</v>
      </c>
      <c r="I107" s="33" t="s">
        <v>118</v>
      </c>
      <c r="J107" s="34">
        <v>212.13203435596407</v>
      </c>
      <c r="K107" s="34"/>
      <c r="L107" s="34">
        <v>212.13203435595761</v>
      </c>
      <c r="M107" s="34">
        <v>212.13578034982572</v>
      </c>
      <c r="N107" s="33" t="s">
        <v>130</v>
      </c>
    </row>
    <row r="108" spans="1:14" ht="12.75">
      <c r="A108" t="s">
        <v>131</v>
      </c>
      <c r="B108" s="2">
        <f aca="true" t="shared" si="73" ref="B108:G108">SQRT(2)*B107</f>
        <v>299.9999999996196</v>
      </c>
      <c r="C108" s="2">
        <f t="shared" si="73"/>
        <v>299.99999999911887</v>
      </c>
      <c r="D108" s="2">
        <f t="shared" si="73"/>
        <v>299.9999999996196</v>
      </c>
      <c r="E108" s="2">
        <v>300</v>
      </c>
      <c r="F108" s="2">
        <f t="shared" si="73"/>
        <v>300.00923604282536</v>
      </c>
      <c r="G108" s="2">
        <f t="shared" si="73"/>
        <v>300</v>
      </c>
      <c r="H108" t="s">
        <v>130</v>
      </c>
      <c r="I108" s="33" t="s">
        <v>131</v>
      </c>
      <c r="J108" s="34">
        <v>300</v>
      </c>
      <c r="K108" s="52"/>
      <c r="L108" s="34">
        <v>299.9999999999906</v>
      </c>
      <c r="M108" s="34">
        <v>300.0052976353235</v>
      </c>
      <c r="N108" s="33" t="s">
        <v>130</v>
      </c>
    </row>
    <row r="109" spans="1:14" ht="12.75">
      <c r="A109" t="s">
        <v>223</v>
      </c>
      <c r="B109" s="2">
        <f aca="true" t="shared" si="74" ref="B109:G109">B108/B100</f>
        <v>6159.016843681009</v>
      </c>
      <c r="C109" s="2">
        <f t="shared" si="74"/>
        <v>6362.612673622857</v>
      </c>
      <c r="D109" s="2">
        <f t="shared" si="74"/>
        <v>6159.016843681009</v>
      </c>
      <c r="E109" s="2">
        <f t="shared" si="74"/>
        <v>5738.779160610522</v>
      </c>
      <c r="F109" s="2">
        <f t="shared" si="74"/>
        <v>25593.67172469202</v>
      </c>
      <c r="G109" s="2">
        <f t="shared" si="74"/>
        <v>23156.24086099885</v>
      </c>
      <c r="H109" t="s">
        <v>16</v>
      </c>
      <c r="I109" s="33"/>
      <c r="J109" s="34"/>
      <c r="K109" s="52"/>
      <c r="L109" s="34"/>
      <c r="M109" s="34"/>
      <c r="N109" s="33"/>
    </row>
    <row r="110" spans="1:14" ht="12.75">
      <c r="A110" t="s">
        <v>109</v>
      </c>
      <c r="B110" s="8">
        <v>7000</v>
      </c>
      <c r="C110" s="8">
        <v>7000</v>
      </c>
      <c r="D110" s="8">
        <v>7000</v>
      </c>
      <c r="E110" s="8">
        <v>7000</v>
      </c>
      <c r="F110" s="8">
        <v>3500</v>
      </c>
      <c r="G110" s="8">
        <v>3500</v>
      </c>
      <c r="H110" t="s">
        <v>108</v>
      </c>
      <c r="I110" s="33" t="s">
        <v>109</v>
      </c>
      <c r="J110" s="49">
        <v>3500</v>
      </c>
      <c r="K110" s="39">
        <v>3500</v>
      </c>
      <c r="L110" s="49">
        <v>7000</v>
      </c>
      <c r="M110" s="49">
        <v>7000</v>
      </c>
      <c r="N110" s="33" t="s">
        <v>108</v>
      </c>
    </row>
    <row r="111" spans="1:14" ht="12.75">
      <c r="A111" t="s">
        <v>132</v>
      </c>
      <c r="B111" s="2">
        <f aca="true" t="shared" si="75" ref="B111:G111">B107*B47/B110/B103</f>
        <v>70.71067811865474</v>
      </c>
      <c r="C111" s="2">
        <f t="shared" si="75"/>
        <v>70.71067811865476</v>
      </c>
      <c r="D111" s="2">
        <f t="shared" si="75"/>
        <v>70.71067811865474</v>
      </c>
      <c r="E111" s="2">
        <f t="shared" si="75"/>
        <v>70.71067811865474</v>
      </c>
      <c r="F111" s="2">
        <f t="shared" si="75"/>
        <v>101.51767956035931</v>
      </c>
      <c r="G111" s="2">
        <f t="shared" si="75"/>
        <v>33.31648656079611</v>
      </c>
      <c r="H111" t="s">
        <v>48</v>
      </c>
      <c r="I111" s="33" t="s">
        <v>132</v>
      </c>
      <c r="J111" s="34">
        <v>101.53141302686406</v>
      </c>
      <c r="K111" s="34"/>
      <c r="L111" s="34">
        <v>35.35533905932738</v>
      </c>
      <c r="M111" s="34">
        <v>35.35533905932737</v>
      </c>
      <c r="N111" s="33" t="s">
        <v>48</v>
      </c>
    </row>
    <row r="112" spans="1:14" ht="12.75">
      <c r="A112" t="s">
        <v>143</v>
      </c>
      <c r="B112" s="2">
        <f aca="true" t="shared" si="76" ref="B112:G112">B6*SQRT(2)*B111*2</f>
        <v>199.99999999999997</v>
      </c>
      <c r="C112" s="2">
        <f t="shared" si="76"/>
        <v>200.00000000000003</v>
      </c>
      <c r="D112" s="2">
        <f t="shared" si="76"/>
        <v>199.99999999999997</v>
      </c>
      <c r="E112" s="2">
        <f t="shared" si="76"/>
        <v>399.99999999999994</v>
      </c>
      <c r="F112" s="2">
        <f t="shared" si="76"/>
        <v>287.1353585098122</v>
      </c>
      <c r="G112" s="2">
        <f t="shared" si="76"/>
        <v>376.9330171591905</v>
      </c>
      <c r="H112" t="s">
        <v>16</v>
      </c>
      <c r="I112" s="33" t="s">
        <v>133</v>
      </c>
      <c r="J112" s="34">
        <v>287.174202618991</v>
      </c>
      <c r="K112" s="52"/>
      <c r="L112" s="34">
        <v>100</v>
      </c>
      <c r="M112" s="34">
        <v>100</v>
      </c>
      <c r="N112" s="33" t="s">
        <v>48</v>
      </c>
    </row>
    <row r="113" spans="1:14" ht="12.75">
      <c r="A113" t="s">
        <v>216</v>
      </c>
      <c r="B113" s="11">
        <f>B112/B7</f>
        <v>0.039999999999999994</v>
      </c>
      <c r="C113" s="11">
        <f>C112/C7</f>
        <v>0.04000000000000001</v>
      </c>
      <c r="D113" s="11">
        <f>D112/D7</f>
        <v>0.039999999999999994</v>
      </c>
      <c r="E113" s="11">
        <f>E112/E7</f>
        <v>0.039999999999999994</v>
      </c>
      <c r="F113" s="11">
        <f>F112/F7</f>
        <v>0.057427071701962436</v>
      </c>
      <c r="G113" s="11">
        <f>G112/G7</f>
        <v>0.018846650857959526</v>
      </c>
      <c r="H113" t="s">
        <v>205</v>
      </c>
      <c r="I113" s="6"/>
      <c r="J113" s="16"/>
      <c r="K113" s="54"/>
      <c r="L113" s="16"/>
      <c r="M113" s="16"/>
      <c r="N113" s="6"/>
    </row>
    <row r="114" spans="1:14" ht="12.75">
      <c r="A114" t="s">
        <v>215</v>
      </c>
      <c r="B114" s="2">
        <f>B112*B37</f>
        <v>1.3960910964383997</v>
      </c>
      <c r="C114" s="2">
        <f>C112*C37</f>
        <v>1.8091390834253493</v>
      </c>
      <c r="D114" s="2">
        <f>D112*D37</f>
        <v>1.3960910964383997</v>
      </c>
      <c r="E114" s="2">
        <f>E112*E37</f>
        <v>2.7921821928767994</v>
      </c>
      <c r="F114" s="2">
        <f>F112*F37</f>
        <v>2.7594557256381633</v>
      </c>
      <c r="G114" s="2">
        <f>G112*G37</f>
        <v>2.5059188033559328</v>
      </c>
      <c r="H114" t="s">
        <v>52</v>
      </c>
      <c r="I114" s="6"/>
      <c r="J114" s="16"/>
      <c r="K114" s="54"/>
      <c r="L114" s="16"/>
      <c r="M114" s="16"/>
      <c r="N114" s="6"/>
    </row>
    <row r="115" spans="5:7" s="56" customFormat="1" ht="12.75">
      <c r="E115" s="57"/>
      <c r="F115" s="57"/>
      <c r="G115" s="57"/>
    </row>
    <row r="116" spans="1:12" ht="12.75">
      <c r="A116" t="s">
        <v>23</v>
      </c>
      <c r="B116" s="8">
        <v>0</v>
      </c>
      <c r="C116" s="8">
        <v>100</v>
      </c>
      <c r="D116" s="8">
        <v>200</v>
      </c>
      <c r="E116" s="8">
        <v>300</v>
      </c>
      <c r="F116" s="8">
        <v>400</v>
      </c>
      <c r="G116" s="8">
        <v>500</v>
      </c>
      <c r="H116" s="8">
        <v>600</v>
      </c>
      <c r="I116" s="8">
        <v>700</v>
      </c>
      <c r="J116" s="8">
        <v>800</v>
      </c>
      <c r="K116" s="8">
        <v>900</v>
      </c>
      <c r="L116" s="8">
        <f>K116+100</f>
        <v>1000</v>
      </c>
    </row>
    <row r="117" spans="1:12" ht="12.75">
      <c r="A117" t="s">
        <v>134</v>
      </c>
      <c r="B117" s="8">
        <f>2*PI()*B57/2*100*SQRT(2*B116/(B60*100000000000))</f>
        <v>0</v>
      </c>
      <c r="C117" s="8">
        <f>2*PI()*B57/2*100*SQRT(2*C116/(B60*100000000000))</f>
        <v>1.9219650193744633</v>
      </c>
      <c r="D117" s="8">
        <f>2*PI()*B57/2*100*SQRT(2*D116/(B60*100000000000))</f>
        <v>2.7180689968060343</v>
      </c>
      <c r="E117" s="8">
        <f>2*PI()*B57/2*100*SQRT(2*E116/(B60*100000000000))</f>
        <v>3.3289410639266723</v>
      </c>
      <c r="F117" s="8">
        <f>2*PI()*B57/2*100*SQRT(2*F116/(B60*100000000000))</f>
        <v>3.8439300387489266</v>
      </c>
      <c r="G117" s="8">
        <f>2*PI()*B57/2*100*SQRT(2*G116/(B60*100000000000))</f>
        <v>4.297644433698</v>
      </c>
      <c r="H117" s="8">
        <f>2*PI()*B57/2*100*SQRT(2*H116/(B60*100000000000))</f>
        <v>4.70783360094582</v>
      </c>
      <c r="I117" s="8">
        <f>2*PI()*B57/2*100*SQRT(2*I116/(B60*100000000000))</f>
        <v>5.0850414698302675</v>
      </c>
      <c r="J117" s="8">
        <f>2*PI()*B57/2*100*SQRT(2*J116/(B60*100000000000))</f>
        <v>5.436137993612069</v>
      </c>
      <c r="K117" s="8">
        <f>2*PI()*B57/2*100*SQRT(2*K116/(B60*100000000000))</f>
        <v>5.76589505812339</v>
      </c>
      <c r="L117" s="8">
        <f>2*PI()*B57/2*100*SQRT(2*L116/(B60*100000000000))</f>
        <v>6.077787044392952</v>
      </c>
    </row>
    <row r="118" spans="1:12" ht="12.75">
      <c r="A118" t="s">
        <v>140</v>
      </c>
      <c r="B118" s="8">
        <f aca="true" t="shared" si="77" ref="B118:L118">xm0+xm1*B117+xm2*B117^2+xm3*B117^3+xm4*B117^4</f>
        <v>1.0014</v>
      </c>
      <c r="C118" s="8">
        <f t="shared" si="77"/>
        <v>1.0702539842614613</v>
      </c>
      <c r="D118" s="8">
        <f t="shared" si="77"/>
        <v>1.2334696624708419</v>
      </c>
      <c r="E118" s="8">
        <f t="shared" si="77"/>
        <v>1.4249169737929037</v>
      </c>
      <c r="F118" s="8">
        <f t="shared" si="77"/>
        <v>1.6169664020017749</v>
      </c>
      <c r="G118" s="8">
        <f t="shared" si="77"/>
        <v>1.7933709137258476</v>
      </c>
      <c r="H118" s="8">
        <f t="shared" si="77"/>
        <v>1.9430766117400036</v>
      </c>
      <c r="I118" s="8">
        <f t="shared" si="77"/>
        <v>2.057927860249242</v>
      </c>
      <c r="J118" s="8">
        <f t="shared" si="77"/>
        <v>2.1315843648019834</v>
      </c>
      <c r="K118" s="8">
        <f t="shared" si="77"/>
        <v>2.158932750976069</v>
      </c>
      <c r="L118" s="8">
        <f t="shared" si="77"/>
        <v>2.1357351455633857</v>
      </c>
    </row>
    <row r="119" spans="1:12" ht="12.75">
      <c r="A119" t="s">
        <v>29</v>
      </c>
      <c r="B119" s="1">
        <f>(1+B59*(B40-20))*(B92*B61*B118+B96+(B97-B96)*B116/fmax+B98+(B99-B98)*B116/fmax)</f>
        <v>0.04871109463689122</v>
      </c>
      <c r="C119" s="1">
        <f>(1+B59*(B40-20))*(B92*B61*C118+B96+(B97-B96)*C116/fmax+B98+(B99-B98)*C116/fmax)</f>
        <v>0.05353702246884439</v>
      </c>
      <c r="D119" s="1">
        <f>(1+B59*(B40-20))*(B92*B61*D118+B96+(B97-B96)*D116/fmax+B98+(B99-B98)*D116/fmax)</f>
        <v>0.05849922253634092</v>
      </c>
      <c r="E119" s="1">
        <f>(1+B59*(B40-20))*(B92*B61*E118+B96+(B97-B96)*E116/fmax+B98+(B99-B98)*E116/fmax)</f>
        <v>0.06350219325553245</v>
      </c>
      <c r="F119" s="1">
        <f>(1+B59*(B40-20))*(B92*B61*F118+B96+(B97-B96)*F116/fmax+B98+(B99-B98)*F116/fmax)</f>
        <v>0.06850603352051947</v>
      </c>
      <c r="G119" s="1">
        <f>(1+B59*(B40-20))*(B92*B61*G118+B96+(B97-B96)*G116/fmax+B98+(B99-B98)*G116/fmax)</f>
        <v>0.07348728021331553</v>
      </c>
      <c r="H119" s="1">
        <f>(1+B59*(B40-20))*(B92*B61*H118+B96+(B97-B96)*H116/fmax+B98+(B99-B98)*H116/fmax)</f>
        <v>0.07842996987223073</v>
      </c>
      <c r="I119" s="1">
        <f>(1+B59*(B40-20))*(B92*B61*I118+B96+(B97-B96)*I116/fmax+B98+(B99-B98)*I116/fmax)</f>
        <v>0.08332232455353002</v>
      </c>
      <c r="J119" s="1">
        <f>(1+B59*(B40-20))*(B92*B61*J118+B96+(B97-B96)*J116/fmax+B98+(B99-B98)*J116/fmax)</f>
        <v>0.08815518793474005</v>
      </c>
      <c r="K119" s="1">
        <f>(1+B59*(B40-20))*(B92*B61*K118+B96+(B97-B96)*K116/fmax+B98+(B99-B98)*K116/fmax)</f>
        <v>0.0929211755472854</v>
      </c>
      <c r="L119" s="1">
        <f>(1+B59*(B40-20))*(B92*B61*L118+B96+(B97-B96)*L116/fmax+B98+(B99-B98)*L116/fmax)</f>
        <v>0.09761416727576912</v>
      </c>
    </row>
    <row r="120" spans="1:12" ht="12.75">
      <c r="A120" t="s">
        <v>17</v>
      </c>
      <c r="B120" s="8">
        <f>2*PI()*B116*B95</f>
        <v>0</v>
      </c>
      <c r="C120" s="8">
        <f>2*PI()*C116*B95</f>
        <v>0.042687145991912936</v>
      </c>
      <c r="D120" s="8">
        <f>C120*D116/C116</f>
        <v>0.08537429198382589</v>
      </c>
      <c r="E120" s="8">
        <f aca="true" t="shared" si="78" ref="E120:L120">D120*E116/D116</f>
        <v>0.12806143797573882</v>
      </c>
      <c r="F120" s="8">
        <f>E120*F116/E116</f>
        <v>0.17074858396765177</v>
      </c>
      <c r="G120" s="8">
        <f>F120*G116/F116</f>
        <v>0.21343572995956472</v>
      </c>
      <c r="H120" s="8">
        <f t="shared" si="78"/>
        <v>0.2561228759514777</v>
      </c>
      <c r="I120" s="8">
        <f t="shared" si="78"/>
        <v>0.2988100219433907</v>
      </c>
      <c r="J120" s="8">
        <f t="shared" si="78"/>
        <v>0.34149716793530366</v>
      </c>
      <c r="K120" s="8">
        <f t="shared" si="78"/>
        <v>0.38418431392721664</v>
      </c>
      <c r="L120" s="8">
        <f t="shared" si="78"/>
        <v>0.4268714599191296</v>
      </c>
    </row>
    <row r="121" spans="1:12" ht="12.75">
      <c r="A121" t="s">
        <v>18</v>
      </c>
      <c r="B121" s="8">
        <f>ATAN(B120/B119)*180/PI()</f>
        <v>0</v>
      </c>
      <c r="C121" s="8">
        <f>ATAN(C120/C119)*180/PI()</f>
        <v>38.56671508835617</v>
      </c>
      <c r="D121" s="8">
        <f aca="true" t="shared" si="79" ref="B121:L121">ATAN(D120/D119)*180/PI()</f>
        <v>55.58071186501761</v>
      </c>
      <c r="E121" s="8">
        <f t="shared" si="79"/>
        <v>63.624434481856866</v>
      </c>
      <c r="F121" s="8">
        <f t="shared" si="79"/>
        <v>68.13885172806442</v>
      </c>
      <c r="G121" s="8">
        <f t="shared" si="79"/>
        <v>71.0010884338721</v>
      </c>
      <c r="H121" s="8">
        <f t="shared" si="79"/>
        <v>72.97435950055493</v>
      </c>
      <c r="I121" s="8">
        <f t="shared" si="79"/>
        <v>74.41902291953343</v>
      </c>
      <c r="J121" s="8">
        <f t="shared" si="79"/>
        <v>75.52547666740755</v>
      </c>
      <c r="K121" s="8">
        <f t="shared" si="79"/>
        <v>76.40321116911842</v>
      </c>
      <c r="L121" s="8">
        <f t="shared" si="79"/>
        <v>77.11944367227494</v>
      </c>
    </row>
    <row r="122" spans="1:12" ht="12.75">
      <c r="A122" t="s">
        <v>30</v>
      </c>
      <c r="B122" s="8">
        <f>SQRT(B119^2+B120^2)</f>
        <v>0.04871109463689122</v>
      </c>
      <c r="C122" s="8">
        <f aca="true" t="shared" si="80" ref="C122:L122">SQRT(C119^2+C120^2)</f>
        <v>0.06847193007185089</v>
      </c>
      <c r="D122" s="8">
        <f t="shared" si="80"/>
        <v>0.10349361704518735</v>
      </c>
      <c r="E122" s="8">
        <f t="shared" si="80"/>
        <v>0.1429414581032284</v>
      </c>
      <c r="F122" s="8">
        <f t="shared" si="80"/>
        <v>0.18397868234029932</v>
      </c>
      <c r="G122" s="8">
        <f t="shared" si="80"/>
        <v>0.22573256560922395</v>
      </c>
      <c r="H122" s="8">
        <f t="shared" si="80"/>
        <v>0.26786225519810564</v>
      </c>
      <c r="I122" s="8">
        <f t="shared" si="80"/>
        <v>0.3102096693896137</v>
      </c>
      <c r="J122" s="8">
        <f t="shared" si="80"/>
        <v>0.3526920085111687</v>
      </c>
      <c r="K122" s="8">
        <f t="shared" si="80"/>
        <v>0.3952618523622227</v>
      </c>
      <c r="L122" s="8">
        <f t="shared" si="80"/>
        <v>0.4378901334198236</v>
      </c>
    </row>
    <row r="123" spans="1:14" ht="12.75">
      <c r="A123" t="s">
        <v>19</v>
      </c>
      <c r="B123" s="8">
        <f>B125/SQRT(2)</f>
        <v>3535.5339059327375</v>
      </c>
      <c r="C123" s="8">
        <f aca="true" t="shared" si="81" ref="C123:L123">C125/SQRT(2)</f>
        <v>3098.087554025349</v>
      </c>
      <c r="D123" s="8">
        <f t="shared" si="81"/>
        <v>2049.7112808713046</v>
      </c>
      <c r="E123" s="8">
        <f t="shared" si="81"/>
        <v>1484.0483451798802</v>
      </c>
      <c r="F123" s="8">
        <f t="shared" si="81"/>
        <v>1153.025076912561</v>
      </c>
      <c r="G123" s="8">
        <f t="shared" si="81"/>
        <v>939.7493612991881</v>
      </c>
      <c r="H123" s="8">
        <f t="shared" si="81"/>
        <v>791.9444798178324</v>
      </c>
      <c r="I123" s="8">
        <f t="shared" si="81"/>
        <v>683.8343716786726</v>
      </c>
      <c r="J123" s="8">
        <f t="shared" si="81"/>
        <v>601.4653840646283</v>
      </c>
      <c r="K123" s="8">
        <f t="shared" si="81"/>
        <v>536.6873455860216</v>
      </c>
      <c r="L123" s="8">
        <f t="shared" si="81"/>
        <v>484.4412288968279</v>
      </c>
      <c r="N123" s="8"/>
    </row>
    <row r="124" spans="1:12" ht="12.75">
      <c r="A124" t="s">
        <v>21</v>
      </c>
      <c r="B124" s="8">
        <f aca="true" t="shared" si="82" ref="B124:L124">B123^2*B119</f>
        <v>608888.6829611402</v>
      </c>
      <c r="C124" s="8">
        <f t="shared" si="82"/>
        <v>513856.18442324124</v>
      </c>
      <c r="D124" s="8">
        <f t="shared" si="82"/>
        <v>245773.7392226977</v>
      </c>
      <c r="E124" s="8">
        <f t="shared" si="82"/>
        <v>139857.19809264538</v>
      </c>
      <c r="F124" s="8">
        <f t="shared" si="82"/>
        <v>91076.499082648</v>
      </c>
      <c r="G124" s="8">
        <f t="shared" si="82"/>
        <v>64898.73815083373</v>
      </c>
      <c r="H124" s="8">
        <f t="shared" si="82"/>
        <v>49189.3994208905</v>
      </c>
      <c r="I124" s="8">
        <f t="shared" si="82"/>
        <v>38963.97262780905</v>
      </c>
      <c r="J124" s="8">
        <f t="shared" si="82"/>
        <v>31891.074405726165</v>
      </c>
      <c r="K124" s="8">
        <f t="shared" si="82"/>
        <v>26764.393475050863</v>
      </c>
      <c r="L124" s="8">
        <f t="shared" si="82"/>
        <v>22908.415318384505</v>
      </c>
    </row>
    <row r="125" spans="1:12" ht="12.75">
      <c r="A125" t="s">
        <v>20</v>
      </c>
      <c r="B125" s="8">
        <f>MIN(Curr,B6*Vpeak/B122)</f>
        <v>5000</v>
      </c>
      <c r="C125" s="8">
        <f>MIN(Curr,B6*Vpeak/C122)</f>
        <v>4381.357436321938</v>
      </c>
      <c r="D125" s="8">
        <f>MIN(Curr,B6*Vpeak/D122)</f>
        <v>2898.7294923573277</v>
      </c>
      <c r="E125" s="8">
        <f>MIN(Curr,B6*Vpeak/E122)</f>
        <v>2098.761296970735</v>
      </c>
      <c r="F125" s="8">
        <f>MIN(Curr,B6*Vpeak/F122)</f>
        <v>1630.623701526025</v>
      </c>
      <c r="G125" s="8">
        <f>MIN(Curr,B6*Vpeak/G122)</f>
        <v>1329.0062919807656</v>
      </c>
      <c r="H125" s="8">
        <f>MIN(Curr,B6*Vpeak/H122)</f>
        <v>1119.9786240048845</v>
      </c>
      <c r="I125" s="8">
        <f>MIN(Curr,B6*Vpeak/I122)</f>
        <v>967.0878428448628</v>
      </c>
      <c r="J125" s="8">
        <f>MIN(Curr,B6*Vpeak/J122)</f>
        <v>850.6005034421399</v>
      </c>
      <c r="K125" s="8">
        <f>MIN(Curr,B6*Vpeak/K122)</f>
        <v>758.990522881768</v>
      </c>
      <c r="L125" s="8">
        <f>MIN(Curr,B6*Vpeak/L122)</f>
        <v>685.103356078583</v>
      </c>
    </row>
    <row r="126" spans="1:12" ht="12.75">
      <c r="A126" t="s">
        <v>219</v>
      </c>
      <c r="B126" s="8">
        <f>B46/B118*(Curr/B125)^2</f>
        <v>6.712602356700619</v>
      </c>
      <c r="C126" s="8">
        <f>B46/C118*(Curr/C125)^2</f>
        <v>8.179641953665172</v>
      </c>
      <c r="D126" s="8">
        <f>B46/D118*(Curr/D125)^2</f>
        <v>16.214167909313016</v>
      </c>
      <c r="E126" s="8">
        <f>B46/E118*(Curr/E125)^2</f>
        <v>26.774592102076156</v>
      </c>
      <c r="F126" s="8">
        <f>B46/F118*(Curr/F125)^2</f>
        <v>39.08679126338314</v>
      </c>
      <c r="G126" s="8">
        <f>B46/G118*(Curr/G125)^2</f>
        <v>53.053534310399066</v>
      </c>
      <c r="H126" s="8">
        <f>B46/H118*(Curr/H125)^2</f>
        <v>68.9491830762718</v>
      </c>
      <c r="I126" s="8">
        <f>B46/I118*(Curr/I125)^2</f>
        <v>87.31251989207907</v>
      </c>
      <c r="J126" s="8">
        <f>B46/J118*(Curr/J125)^2</f>
        <v>108.96442211217857</v>
      </c>
      <c r="K126" s="8">
        <f>B46/K118*(Curr/K125)^2</f>
        <v>135.12219636971741</v>
      </c>
      <c r="L126" s="8">
        <f>B46/L118*(Curr/L125)^2</f>
        <v>167.64049417970764</v>
      </c>
    </row>
    <row r="127" spans="1:12" ht="12.75">
      <c r="A127" t="s">
        <v>37</v>
      </c>
      <c r="B127" s="8">
        <f aca="true" t="shared" si="83" ref="B127:L127">B125*Brp</f>
        <v>34.90227741096</v>
      </c>
      <c r="C127" s="8">
        <f t="shared" si="83"/>
        <v>30.583870535816157</v>
      </c>
      <c r="D127" s="8">
        <f t="shared" si="83"/>
        <v>20.23445217631734</v>
      </c>
      <c r="E127" s="8">
        <f t="shared" si="83"/>
        <v>14.65030980125176</v>
      </c>
      <c r="F127" s="8">
        <f t="shared" si="83"/>
        <v>11.382496156709552</v>
      </c>
      <c r="G127" s="8">
        <f t="shared" si="83"/>
        <v>9.277069256724797</v>
      </c>
      <c r="H127" s="8">
        <f t="shared" si="83"/>
        <v>7.8179609258727485</v>
      </c>
      <c r="I127" s="8">
        <f t="shared" si="83"/>
        <v>6.750713634347658</v>
      </c>
      <c r="J127" s="8">
        <f t="shared" si="83"/>
        <v>5.937578947407961</v>
      </c>
      <c r="K127" s="8">
        <f t="shared" si="83"/>
        <v>5.29809955638181</v>
      </c>
      <c r="L127" s="8">
        <f t="shared" si="83"/>
        <v>4.7823334778068824</v>
      </c>
    </row>
    <row r="128" spans="1:12" ht="12.75">
      <c r="A128" t="s">
        <v>175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t="s">
        <v>222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t="s">
        <v>23</v>
      </c>
      <c r="B130" s="8">
        <v>0</v>
      </c>
      <c r="C130" s="8">
        <v>100</v>
      </c>
      <c r="D130" s="8">
        <v>200</v>
      </c>
      <c r="E130" s="8">
        <v>300</v>
      </c>
      <c r="F130" s="8">
        <v>400</v>
      </c>
      <c r="G130" s="8">
        <v>500</v>
      </c>
      <c r="H130" s="8">
        <v>600</v>
      </c>
      <c r="I130" s="8">
        <v>700</v>
      </c>
      <c r="J130" s="8">
        <v>800</v>
      </c>
      <c r="K130" s="8">
        <v>900</v>
      </c>
      <c r="L130" s="8">
        <v>1000</v>
      </c>
    </row>
    <row r="131" spans="1:12" ht="12.75">
      <c r="A131" t="s">
        <v>134</v>
      </c>
      <c r="B131" s="8">
        <v>0</v>
      </c>
      <c r="C131" s="8">
        <v>2.3577323006537574</v>
      </c>
      <c r="D131" s="8">
        <v>3.3343369960296636</v>
      </c>
      <c r="E131" s="8">
        <v>4.083712135378568</v>
      </c>
      <c r="F131" s="8">
        <v>4.715464601307515</v>
      </c>
      <c r="G131" s="8">
        <v>5.272049697008774</v>
      </c>
      <c r="H131" s="8">
        <v>5.775241086679963</v>
      </c>
      <c r="I131" s="8">
        <v>6.237973325594013</v>
      </c>
      <c r="J131" s="8">
        <v>6.668673992059327</v>
      </c>
      <c r="K131" s="8">
        <v>7.073196901961272</v>
      </c>
      <c r="L131" s="8">
        <v>7.4558041830147745</v>
      </c>
    </row>
    <row r="132" spans="1:12" ht="12.75">
      <c r="A132" t="s">
        <v>140</v>
      </c>
      <c r="B132" s="8">
        <v>1.0014</v>
      </c>
      <c r="C132" s="8">
        <v>1.1465841002230899</v>
      </c>
      <c r="D132" s="8">
        <v>1.426815756468709</v>
      </c>
      <c r="E132" s="8">
        <v>1.7104808916279894</v>
      </c>
      <c r="F132" s="8">
        <v>1.9456680286744996</v>
      </c>
      <c r="G132" s="8">
        <v>2.102033312395073</v>
      </c>
      <c r="H132" s="8">
        <v>2.158990630321812</v>
      </c>
      <c r="I132" s="8">
        <v>2.10137727962796</v>
      </c>
      <c r="J132" s="8">
        <v>1.9174190333127825</v>
      </c>
      <c r="K132" s="8">
        <v>1.5976279035770204</v>
      </c>
      <c r="L132" s="8">
        <v>1.1341452857280832</v>
      </c>
    </row>
    <row r="133" spans="1:12" ht="12.75">
      <c r="A133" t="s">
        <v>29</v>
      </c>
      <c r="B133" s="1">
        <v>0.012961658371025293</v>
      </c>
      <c r="C133" s="1">
        <v>0.01445690854213631</v>
      </c>
      <c r="D133" s="1">
        <v>0.016549037163856004</v>
      </c>
      <c r="E133" s="1">
        <v>0.018656340955231054</v>
      </c>
      <c r="F133" s="1">
        <v>0.020549383391166746</v>
      </c>
      <c r="G133" s="1">
        <v>0.02209405176486142</v>
      </c>
      <c r="H133" s="1">
        <v>0.023199360298595092</v>
      </c>
      <c r="I133" s="1">
        <v>0.0237982934103252</v>
      </c>
      <c r="J133" s="1">
        <v>0.02383881178459652</v>
      </c>
      <c r="K133" s="1">
        <v>0.02327898074577472</v>
      </c>
      <c r="L133" s="1">
        <v>0.022084067108521156</v>
      </c>
    </row>
    <row r="134" spans="1:12" ht="12.75">
      <c r="A134" t="s">
        <v>17</v>
      </c>
      <c r="B134" s="8">
        <v>0</v>
      </c>
      <c r="C134" s="8">
        <v>0.18191081679394333</v>
      </c>
      <c r="D134" s="8">
        <v>0.36382163358788666</v>
      </c>
      <c r="E134" s="8">
        <v>0.5457324503818299</v>
      </c>
      <c r="F134" s="8">
        <v>0.7276432671757733</v>
      </c>
      <c r="G134" s="8">
        <v>0.9095540839697166</v>
      </c>
      <c r="H134" s="8">
        <v>1.0914649007636599</v>
      </c>
      <c r="I134" s="8">
        <v>1.2733757175576033</v>
      </c>
      <c r="J134" s="8">
        <v>1.4552865343515466</v>
      </c>
      <c r="K134" s="8">
        <v>1.63719735114549</v>
      </c>
      <c r="L134" s="8">
        <v>1.8191081679394334</v>
      </c>
    </row>
    <row r="135" spans="1:12" ht="12.75">
      <c r="A135" t="s">
        <v>18</v>
      </c>
      <c r="B135" s="8">
        <v>0</v>
      </c>
      <c r="C135" s="8">
        <v>85.4561109585485</v>
      </c>
      <c r="D135" s="8">
        <v>87.39560058920682</v>
      </c>
      <c r="E135" s="8">
        <v>88.04205617823871</v>
      </c>
      <c r="F135" s="8">
        <v>88.38233907892241</v>
      </c>
      <c r="G135" s="8">
        <v>88.6084972345562</v>
      </c>
      <c r="H135" s="8">
        <v>88.78234718238087</v>
      </c>
      <c r="I135" s="8">
        <v>88.9293159653376</v>
      </c>
      <c r="J135" s="8">
        <v>89.06153109845187</v>
      </c>
      <c r="K135" s="8">
        <v>89.18537769912342</v>
      </c>
      <c r="L135" s="8">
        <v>89.30446044600596</v>
      </c>
    </row>
    <row r="136" spans="1:12" ht="12.75">
      <c r="A136" t="s">
        <v>30</v>
      </c>
      <c r="B136" s="8">
        <v>0.012961658371025293</v>
      </c>
      <c r="C136" s="8">
        <v>0.18248437596472555</v>
      </c>
      <c r="D136" s="8">
        <v>0.3641978194575156</v>
      </c>
      <c r="E136" s="8">
        <v>0.5460512489296168</v>
      </c>
      <c r="F136" s="8">
        <v>0.7279333770503938</v>
      </c>
      <c r="G136" s="8">
        <v>0.9098223885953668</v>
      </c>
      <c r="H136" s="8">
        <v>1.0917114270343102</v>
      </c>
      <c r="I136" s="8">
        <v>1.2735980829267077</v>
      </c>
      <c r="J136" s="8">
        <v>1.4554817711026946</v>
      </c>
      <c r="K136" s="8">
        <v>1.6373628423603521</v>
      </c>
      <c r="L136" s="8">
        <v>1.8192422138582909</v>
      </c>
    </row>
    <row r="137" spans="1:12" ht="12.75">
      <c r="A137" t="s">
        <v>19</v>
      </c>
      <c r="B137" s="8">
        <v>14142.13562373095</v>
      </c>
      <c r="C137" s="8">
        <v>4649.867326657481</v>
      </c>
      <c r="D137" s="8">
        <v>2329.8550735085864</v>
      </c>
      <c r="E137" s="8">
        <v>1553.9349815372877</v>
      </c>
      <c r="F137" s="8">
        <v>1165.667304420243</v>
      </c>
      <c r="G137" s="8">
        <v>932.6305310356901</v>
      </c>
      <c r="H137" s="8">
        <v>777.2458146095685</v>
      </c>
      <c r="I137" s="8">
        <v>666.244829353035</v>
      </c>
      <c r="J137" s="8">
        <v>582.9878149425392</v>
      </c>
      <c r="K137" s="8">
        <v>518.2285291149366</v>
      </c>
      <c r="L137" s="8">
        <v>466.4184521225895</v>
      </c>
    </row>
    <row r="138" spans="1:12" ht="12.75">
      <c r="A138" t="s">
        <v>21</v>
      </c>
      <c r="B138" s="8">
        <v>2592331.6742050587</v>
      </c>
      <c r="C138" s="8">
        <v>312576.6673754933</v>
      </c>
      <c r="D138" s="8">
        <v>89831.89169090995</v>
      </c>
      <c r="E138" s="8">
        <v>45049.7263285706</v>
      </c>
      <c r="F138" s="8">
        <v>27922.0966015004</v>
      </c>
      <c r="G138" s="8">
        <v>19217.39976079688</v>
      </c>
      <c r="H138" s="8">
        <v>14014.990056120272</v>
      </c>
      <c r="I138" s="8">
        <v>10563.638184091129</v>
      </c>
      <c r="J138" s="8">
        <v>8102.211205672446</v>
      </c>
      <c r="K138" s="8">
        <v>6251.821887548628</v>
      </c>
      <c r="L138" s="8">
        <v>4804.304272259785</v>
      </c>
    </row>
    <row r="139" spans="1:12" ht="12.75">
      <c r="A139" t="s">
        <v>20</v>
      </c>
      <c r="B139" s="8">
        <v>20000</v>
      </c>
      <c r="C139" s="8">
        <v>6575.905436594536</v>
      </c>
      <c r="D139" s="8">
        <v>3294.9126433196075</v>
      </c>
      <c r="E139" s="8">
        <v>2197.5959259360175</v>
      </c>
      <c r="F139" s="8">
        <v>1648.502511125995</v>
      </c>
      <c r="G139" s="8">
        <v>1318.9387456738948</v>
      </c>
      <c r="H139" s="8">
        <v>1099.1915723185762</v>
      </c>
      <c r="I139" s="8">
        <v>942.2124735320106</v>
      </c>
      <c r="J139" s="8">
        <v>824.4692745899952</v>
      </c>
      <c r="K139" s="8">
        <v>732.8858142830037</v>
      </c>
      <c r="L139" s="8">
        <v>659.6153007328322</v>
      </c>
    </row>
    <row r="140" spans="1:12" ht="12.75">
      <c r="A140" t="s">
        <v>219</v>
      </c>
      <c r="B140" s="8">
        <v>11.671659676452967</v>
      </c>
      <c r="C140" s="8">
        <v>94.29380490761615</v>
      </c>
      <c r="D140" s="8">
        <v>301.81754901373995</v>
      </c>
      <c r="E140" s="8">
        <v>565.9607126689062</v>
      </c>
      <c r="F140" s="8">
        <v>884.203491689811</v>
      </c>
      <c r="G140" s="8">
        <v>1278.531248429173</v>
      </c>
      <c r="H140" s="8">
        <v>1792.2667870439202</v>
      </c>
      <c r="I140" s="8">
        <v>2506.100384976398</v>
      </c>
      <c r="J140" s="8">
        <v>3587.0233950391985</v>
      </c>
      <c r="K140" s="8">
        <v>5448.186000590392</v>
      </c>
      <c r="L140" s="8">
        <v>9474.363867367583</v>
      </c>
    </row>
    <row r="141" spans="1:12" ht="12.75">
      <c r="A141" t="s">
        <v>37</v>
      </c>
      <c r="B141" s="8">
        <v>132.96361365433825</v>
      </c>
      <c r="C141" s="8">
        <v>43.717807494940914</v>
      </c>
      <c r="D141" s="8">
        <v>21.90517458655713</v>
      </c>
      <c r="E141" s="8">
        <v>14.610014783225216</v>
      </c>
      <c r="F141" s="8">
        <v>10.95954254987816</v>
      </c>
      <c r="G141" s="8">
        <v>8.768543090676062</v>
      </c>
      <c r="H141" s="8">
        <v>7.3076241776935875</v>
      </c>
      <c r="I141" s="8">
        <v>6.263998765550432</v>
      </c>
      <c r="J141" s="8">
        <v>5.481220704822831</v>
      </c>
      <c r="K141" s="8">
        <v>4.872357313153519</v>
      </c>
      <c r="L141" s="8">
        <v>4.385241700356522</v>
      </c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ht="12.75">
      <c r="A143" t="s">
        <v>221</v>
      </c>
    </row>
    <row r="144" spans="1:12" ht="12.75">
      <c r="A144" s="8" t="s">
        <v>23</v>
      </c>
      <c r="B144" s="8">
        <v>0</v>
      </c>
      <c r="C144" s="8">
        <v>100</v>
      </c>
      <c r="D144" s="8">
        <v>200</v>
      </c>
      <c r="E144" s="8">
        <v>300</v>
      </c>
      <c r="F144" s="8">
        <v>400</v>
      </c>
      <c r="G144" s="8">
        <v>500</v>
      </c>
      <c r="H144" s="8">
        <v>600</v>
      </c>
      <c r="I144" s="8">
        <v>700</v>
      </c>
      <c r="J144" s="8">
        <v>800</v>
      </c>
      <c r="K144" s="8">
        <v>900</v>
      </c>
      <c r="L144" s="8">
        <v>1000</v>
      </c>
    </row>
    <row r="145" spans="1:12" ht="12.75">
      <c r="A145" s="8" t="s">
        <v>134</v>
      </c>
      <c r="B145" s="8">
        <v>0</v>
      </c>
      <c r="C145" s="8">
        <v>1.542578225168489</v>
      </c>
      <c r="D145" s="8">
        <v>2.181535047054695</v>
      </c>
      <c r="E145" s="8">
        <v>2.671823860641247</v>
      </c>
      <c r="F145" s="8">
        <v>3.085156450336978</v>
      </c>
      <c r="G145" s="8">
        <v>3.449309772087718</v>
      </c>
      <c r="H145" s="8">
        <v>3.7785295399908936</v>
      </c>
      <c r="I145" s="8">
        <v>4.081278361659219</v>
      </c>
      <c r="J145" s="8">
        <v>4.36307009410939</v>
      </c>
      <c r="K145" s="8">
        <v>4.627734675505467</v>
      </c>
      <c r="L145" s="8">
        <v>4.878060660512501</v>
      </c>
    </row>
    <row r="146" spans="1:12" ht="12.75">
      <c r="A146" s="8" t="s">
        <v>140</v>
      </c>
      <c r="B146" s="8">
        <v>1.0014</v>
      </c>
      <c r="C146" s="8">
        <v>1.0287279787138355</v>
      </c>
      <c r="D146" s="8">
        <v>1.1119090644010274</v>
      </c>
      <c r="E146" s="8">
        <v>1.2211490244546541</v>
      </c>
      <c r="F146" s="8">
        <v>1.3425805023795874</v>
      </c>
      <c r="G146" s="8">
        <v>1.467965246971711</v>
      </c>
      <c r="H146" s="8">
        <v>1.5916711551414588</v>
      </c>
      <c r="I146" s="8">
        <v>1.7095308998357837</v>
      </c>
      <c r="J146" s="8">
        <v>1.8182985462188044</v>
      </c>
      <c r="K146" s="8">
        <v>1.9153526928433235</v>
      </c>
      <c r="L146" s="8">
        <v>1.9985185235503562</v>
      </c>
    </row>
    <row r="147" spans="1:12" ht="12.75">
      <c r="A147" s="8" t="s">
        <v>29</v>
      </c>
      <c r="B147" s="1">
        <v>0.01172694206658614</v>
      </c>
      <c r="C147" s="1">
        <v>0.012643045480736399</v>
      </c>
      <c r="D147" s="1">
        <v>0.013755976186990286</v>
      </c>
      <c r="E147" s="1">
        <v>0.01496073880653882</v>
      </c>
      <c r="F147" s="1">
        <v>0.01620846454093049</v>
      </c>
      <c r="G147" s="1">
        <v>0.017470121653811774</v>
      </c>
      <c r="H147" s="1">
        <v>0.018725862518791957</v>
      </c>
      <c r="I147" s="1">
        <v>0.01996100140496706</v>
      </c>
      <c r="J147" s="1">
        <v>0.021164099583164942</v>
      </c>
      <c r="K147" s="1">
        <v>0.02232591919042098</v>
      </c>
      <c r="L147" s="1">
        <v>0.023438796137867188</v>
      </c>
    </row>
    <row r="148" spans="1:12" ht="12.75">
      <c r="A148" s="8" t="s">
        <v>17</v>
      </c>
      <c r="B148" s="8">
        <v>0</v>
      </c>
      <c r="C148" s="8">
        <v>0.059690260418206076</v>
      </c>
      <c r="D148" s="8">
        <v>0.11938052083641215</v>
      </c>
      <c r="E148" s="8">
        <v>0.17907078125461823</v>
      </c>
      <c r="F148" s="8">
        <v>0.2387610416728243</v>
      </c>
      <c r="G148" s="8">
        <v>0.2984513020910304</v>
      </c>
      <c r="H148" s="8">
        <v>0.35814156250923646</v>
      </c>
      <c r="I148" s="8">
        <v>0.41783182292744253</v>
      </c>
      <c r="J148" s="8">
        <v>0.47752208334564855</v>
      </c>
      <c r="K148" s="8">
        <v>0.5372123437638546</v>
      </c>
      <c r="L148" s="8">
        <v>0.5969026041820606</v>
      </c>
    </row>
    <row r="149" spans="1:12" ht="12.75">
      <c r="A149" s="8" t="s">
        <v>18</v>
      </c>
      <c r="B149" s="8">
        <v>0</v>
      </c>
      <c r="C149" s="8">
        <v>78.04088476171907</v>
      </c>
      <c r="D149" s="8">
        <v>83.42691217348373</v>
      </c>
      <c r="E149" s="8">
        <v>85.22422863875103</v>
      </c>
      <c r="F149" s="8">
        <v>86.11639343318035</v>
      </c>
      <c r="G149" s="8">
        <v>86.6499615737906</v>
      </c>
      <c r="H149" s="8">
        <v>87.00694675974562</v>
      </c>
      <c r="I149" s="8">
        <v>87.26489891415568</v>
      </c>
      <c r="J149" s="8">
        <v>87.46227332259112</v>
      </c>
      <c r="K149" s="8">
        <v>87.6202235851933</v>
      </c>
      <c r="L149" s="8">
        <v>87.75130065825908</v>
      </c>
    </row>
    <row r="150" spans="1:12" ht="12.75">
      <c r="A150" s="8" t="s">
        <v>30</v>
      </c>
      <c r="B150" s="8">
        <v>0.01172694206658614</v>
      </c>
      <c r="C150" s="8">
        <v>0.061014537512147284</v>
      </c>
      <c r="D150" s="8">
        <v>0.12017044410349027</v>
      </c>
      <c r="E150" s="8">
        <v>0.17969465324482198</v>
      </c>
      <c r="F150" s="8">
        <v>0.23931057089787477</v>
      </c>
      <c r="G150" s="8">
        <v>0.2989621796656401</v>
      </c>
      <c r="H150" s="8">
        <v>0.35863078050221797</v>
      </c>
      <c r="I150" s="8">
        <v>0.4183083477866044</v>
      </c>
      <c r="J150" s="8">
        <v>0.47799085680997566</v>
      </c>
      <c r="K150" s="8">
        <v>0.5376760632201801</v>
      </c>
      <c r="L150" s="8">
        <v>0.5973626168783231</v>
      </c>
    </row>
    <row r="151" spans="1:12" ht="12.75">
      <c r="A151" s="8" t="s">
        <v>19</v>
      </c>
      <c r="B151" s="8">
        <v>3535.5339059327375</v>
      </c>
      <c r="C151" s="8">
        <v>3476.852794012297</v>
      </c>
      <c r="D151" s="8">
        <v>1765.3139822116707</v>
      </c>
      <c r="E151" s="8">
        <v>1180.5502356013496</v>
      </c>
      <c r="F151" s="8">
        <v>886.457144072449</v>
      </c>
      <c r="G151" s="8">
        <v>709.5832839516142</v>
      </c>
      <c r="H151" s="8">
        <v>591.523585698371</v>
      </c>
      <c r="I151" s="8">
        <v>507.1344292959165</v>
      </c>
      <c r="J151" s="8">
        <v>443.81301901934216</v>
      </c>
      <c r="K151" s="8">
        <v>394.5471627543998</v>
      </c>
      <c r="L151" s="8">
        <v>355.12527773007247</v>
      </c>
    </row>
    <row r="152" spans="1:12" ht="12.75">
      <c r="A152" s="8" t="s">
        <v>21</v>
      </c>
      <c r="B152" s="8">
        <v>146586.77583232676</v>
      </c>
      <c r="C152" s="8">
        <v>152835.52294974035</v>
      </c>
      <c r="D152" s="8">
        <v>42868.20880859626</v>
      </c>
      <c r="E152" s="8">
        <v>20850.764601154908</v>
      </c>
      <c r="F152" s="8">
        <v>12736.713035410003</v>
      </c>
      <c r="G152" s="8">
        <v>8796.35364572695</v>
      </c>
      <c r="H152" s="8">
        <v>6552.182149848188</v>
      </c>
      <c r="I152" s="8">
        <v>5133.6767210371</v>
      </c>
      <c r="J152" s="8">
        <v>4168.692607087482</v>
      </c>
      <c r="K152" s="8">
        <v>3475.419213749667</v>
      </c>
      <c r="L152" s="8">
        <v>2955.9594661499304</v>
      </c>
    </row>
    <row r="153" spans="1:12" ht="12.75">
      <c r="A153" s="8" t="s">
        <v>20</v>
      </c>
      <c r="B153" s="8">
        <v>5000</v>
      </c>
      <c r="C153" s="8">
        <v>4917.01237566698</v>
      </c>
      <c r="D153" s="8">
        <v>2496.5309754906016</v>
      </c>
      <c r="E153" s="8">
        <v>1669.5501542501813</v>
      </c>
      <c r="F153" s="8">
        <v>1253.639715609778</v>
      </c>
      <c r="G153" s="8">
        <v>1003.5023037976118</v>
      </c>
      <c r="H153" s="8">
        <v>836.5406773582</v>
      </c>
      <c r="I153" s="8">
        <v>717.1963878566246</v>
      </c>
      <c r="J153" s="8">
        <v>627.6463906549021</v>
      </c>
      <c r="K153" s="8">
        <v>557.9739485630971</v>
      </c>
      <c r="L153" s="8">
        <v>502.22298410738057</v>
      </c>
    </row>
    <row r="154" spans="1:12" ht="12.75">
      <c r="A154" s="8" t="s">
        <v>219</v>
      </c>
      <c r="B154" s="8">
        <v>2.2660137574615358</v>
      </c>
      <c r="C154" s="8">
        <v>2.280903877781333</v>
      </c>
      <c r="D154" s="8">
        <v>8.185909699009516</v>
      </c>
      <c r="E154" s="8">
        <v>16.666428021242567</v>
      </c>
      <c r="F154" s="8">
        <v>26.885883821872433</v>
      </c>
      <c r="G154" s="8">
        <v>38.37581538150125</v>
      </c>
      <c r="H154" s="8">
        <v>50.93105410252651</v>
      </c>
      <c r="I154" s="8">
        <v>64.51444948635051</v>
      </c>
      <c r="J154" s="8">
        <v>79.19812047135233</v>
      </c>
      <c r="K154" s="8">
        <v>95.13351346586981</v>
      </c>
      <c r="L154" s="8">
        <v>112.54048737754465</v>
      </c>
    </row>
    <row r="155" spans="1:12" ht="12.75">
      <c r="A155" t="s">
        <v>37</v>
      </c>
      <c r="B155" s="8">
        <v>48.05147892546757</v>
      </c>
      <c r="C155" s="8">
        <v>47.25394330912503</v>
      </c>
      <c r="D155" s="8">
        <v>23.992401111112727</v>
      </c>
      <c r="E155" s="8">
        <v>16.044870810392744</v>
      </c>
      <c r="F155" s="8">
        <v>12.04784847495048</v>
      </c>
      <c r="G155" s="8">
        <v>9.64395396051782</v>
      </c>
      <c r="H155" s="8">
        <v>8.039403345674783</v>
      </c>
      <c r="I155" s="8">
        <v>6.8924694233028125</v>
      </c>
      <c r="J155" s="8">
        <v>6.031867462639963</v>
      </c>
      <c r="K155" s="8">
        <v>5.3622946860679175</v>
      </c>
      <c r="L155" s="8">
        <v>4.826511427344246</v>
      </c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ht="12.75">
      <c r="A158" s="8" t="s">
        <v>142</v>
      </c>
    </row>
    <row r="159" spans="1:12" ht="12.75">
      <c r="A159" t="s">
        <v>23</v>
      </c>
      <c r="B159" s="8">
        <v>0</v>
      </c>
      <c r="C159" s="8">
        <v>100</v>
      </c>
      <c r="D159" s="8">
        <v>200</v>
      </c>
      <c r="E159" s="8">
        <v>300</v>
      </c>
      <c r="F159" s="8">
        <v>400</v>
      </c>
      <c r="G159" s="8">
        <v>500</v>
      </c>
      <c r="H159" s="8">
        <v>600</v>
      </c>
      <c r="I159" s="8">
        <v>700</v>
      </c>
      <c r="J159" s="8">
        <v>800</v>
      </c>
      <c r="K159" s="8">
        <v>900</v>
      </c>
      <c r="L159" s="8">
        <v>1000</v>
      </c>
    </row>
    <row r="160" spans="1:12" ht="12.75">
      <c r="A160" t="s">
        <v>134</v>
      </c>
      <c r="B160" s="8">
        <v>0</v>
      </c>
      <c r="C160" s="8">
        <v>1.5426348857859906</v>
      </c>
      <c r="D160" s="8">
        <v>2.1816151772684185</v>
      </c>
      <c r="E160" s="8">
        <v>2.6719219997095482</v>
      </c>
      <c r="F160" s="8">
        <v>3.0852697715719812</v>
      </c>
      <c r="G160" s="8">
        <v>3.449436469080099</v>
      </c>
      <c r="H160" s="8">
        <v>3.7786683295922834</v>
      </c>
      <c r="I160" s="8">
        <v>4.08142827156226</v>
      </c>
      <c r="J160" s="8">
        <v>4.363230354536837</v>
      </c>
      <c r="K160" s="8">
        <v>4.627904657357972</v>
      </c>
      <c r="L160" s="8">
        <v>4.878239837117438</v>
      </c>
    </row>
    <row r="161" spans="1:12" ht="12.75">
      <c r="A161" t="s">
        <v>140</v>
      </c>
      <c r="B161" s="8">
        <v>1.0014</v>
      </c>
      <c r="C161" s="8">
        <v>1.0287325726930505</v>
      </c>
      <c r="D161" s="8">
        <v>1.1119236522142861</v>
      </c>
      <c r="E161" s="8">
        <v>1.221174815048018</v>
      </c>
      <c r="F161" s="8">
        <v>1.3426170903352794</v>
      </c>
      <c r="G161" s="8">
        <v>1.4680112856426057</v>
      </c>
      <c r="H161" s="8">
        <v>1.591724660110089</v>
      </c>
      <c r="I161" s="8">
        <v>1.709589417281724</v>
      </c>
      <c r="J161" s="8">
        <v>1.8183592579989045</v>
      </c>
      <c r="K161" s="8">
        <v>1.9154124873381901</v>
      </c>
      <c r="L161" s="8">
        <v>1.9985740461289163</v>
      </c>
    </row>
    <row r="162" spans="1:12" ht="12.75">
      <c r="A162" t="s">
        <v>29</v>
      </c>
      <c r="B162" s="1">
        <v>0.047154305489454186</v>
      </c>
      <c r="C162" s="1">
        <v>0.051668815422411876</v>
      </c>
      <c r="D162" s="1">
        <v>0.056337473441838246</v>
      </c>
      <c r="E162" s="1">
        <v>0.061078047310862804</v>
      </c>
      <c r="F162" s="1">
        <v>0.06585226398137536</v>
      </c>
      <c r="G162" s="1">
        <v>0.07063738643765917</v>
      </c>
      <c r="H162" s="1">
        <v>0.07541787047213633</v>
      </c>
      <c r="I162" s="1">
        <v>0.08018221456274754</v>
      </c>
      <c r="J162" s="1">
        <v>0.08492146016706446</v>
      </c>
      <c r="K162" s="8">
        <v>0.0896283724111404</v>
      </c>
      <c r="L162" s="8">
        <v>0.09429694896465625</v>
      </c>
    </row>
    <row r="163" spans="1:12" ht="12.75">
      <c r="A163" t="s">
        <v>17</v>
      </c>
      <c r="B163" s="8">
        <v>0</v>
      </c>
      <c r="C163" s="8">
        <v>0.04266473085811504</v>
      </c>
      <c r="D163" s="8">
        <v>0.08532946171623008</v>
      </c>
      <c r="E163" s="8">
        <v>0.12799419257434513</v>
      </c>
      <c r="F163" s="8">
        <v>0.17065892343246017</v>
      </c>
      <c r="G163" s="8">
        <v>0.2133236542905752</v>
      </c>
      <c r="H163" s="8">
        <v>0.25598838514869027</v>
      </c>
      <c r="I163" s="8">
        <v>0.29865311600680533</v>
      </c>
      <c r="J163" s="8">
        <v>0.3413178468649204</v>
      </c>
      <c r="K163" s="8">
        <v>0.38398257772303546</v>
      </c>
      <c r="L163" s="8">
        <v>0.42664730858115046</v>
      </c>
    </row>
    <row r="164" spans="1:12" ht="12.75">
      <c r="A164" t="s">
        <v>18</v>
      </c>
      <c r="B164" s="8">
        <v>0</v>
      </c>
      <c r="C164" s="8">
        <v>39.547667652148256</v>
      </c>
      <c r="D164" s="8">
        <v>56.56582190906988</v>
      </c>
      <c r="E164" s="8">
        <v>64.48980845011435</v>
      </c>
      <c r="F164" s="8">
        <v>68.89986382805566</v>
      </c>
      <c r="G164" s="8">
        <v>71.67885873188509</v>
      </c>
      <c r="H164" s="8">
        <v>73.58426618308434</v>
      </c>
      <c r="I164" s="8">
        <v>74.97165916193693</v>
      </c>
      <c r="J164" s="8">
        <v>76.02823556180164</v>
      </c>
      <c r="K164" s="8">
        <v>76.86138753041041</v>
      </c>
      <c r="L164" s="8">
        <v>77.53693155836731</v>
      </c>
    </row>
    <row r="165" spans="1:12" ht="12.75">
      <c r="A165" t="s">
        <v>30</v>
      </c>
      <c r="B165" s="8">
        <v>0.047154305489454186</v>
      </c>
      <c r="C165" s="8">
        <v>0.0670070574368899</v>
      </c>
      <c r="D165" s="8">
        <v>0.10224983105409713</v>
      </c>
      <c r="E165" s="8">
        <v>0.14182045408214763</v>
      </c>
      <c r="F165" s="8">
        <v>0.18292345070711696</v>
      </c>
      <c r="G165" s="8">
        <v>0.22471453411523704</v>
      </c>
      <c r="H165" s="8">
        <v>0.26686683667624594</v>
      </c>
      <c r="I165" s="8">
        <v>0.3092294798895487</v>
      </c>
      <c r="J165" s="8">
        <v>0.35172365144444234</v>
      </c>
      <c r="K165" s="8">
        <v>0.3943042798853406</v>
      </c>
      <c r="L165" s="8">
        <v>0.4369437498163607</v>
      </c>
    </row>
    <row r="166" spans="1:12" ht="12.75">
      <c r="A166" t="s">
        <v>19</v>
      </c>
      <c r="B166" s="8">
        <v>3535.5339059327375</v>
      </c>
      <c r="C166" s="8">
        <v>3165.8162956213405</v>
      </c>
      <c r="D166" s="8">
        <v>2074.644350689527</v>
      </c>
      <c r="E166" s="8">
        <v>1495.7788404235857</v>
      </c>
      <c r="F166" s="8">
        <v>1159.6765397509955</v>
      </c>
      <c r="G166" s="8">
        <v>944.0067381069204</v>
      </c>
      <c r="H166" s="8">
        <v>794.8984482200492</v>
      </c>
      <c r="I166" s="8">
        <v>686.001976367554</v>
      </c>
      <c r="J166" s="8">
        <v>603.1213240399593</v>
      </c>
      <c r="K166" s="8">
        <v>537.9906969739889</v>
      </c>
      <c r="L166" s="8">
        <v>485.49048806510297</v>
      </c>
    </row>
    <row r="167" spans="1:12" ht="12.75">
      <c r="A167" t="s">
        <v>21</v>
      </c>
      <c r="B167" s="8">
        <v>589428.8186181773</v>
      </c>
      <c r="C167" s="8">
        <v>517845.1645845983</v>
      </c>
      <c r="D167" s="8">
        <v>242484.89022206978</v>
      </c>
      <c r="E167" s="8">
        <v>136653.2341966365</v>
      </c>
      <c r="F167" s="8">
        <v>88561.39593511731</v>
      </c>
      <c r="G167" s="8">
        <v>62948.41662046832</v>
      </c>
      <c r="H167" s="8">
        <v>47653.80284073005</v>
      </c>
      <c r="I167" s="8">
        <v>37733.64686487535</v>
      </c>
      <c r="J167" s="8">
        <v>30890.633895529314</v>
      </c>
      <c r="K167" s="8">
        <v>25941.497446901176</v>
      </c>
      <c r="L167" s="8">
        <v>22225.88648823527</v>
      </c>
    </row>
    <row r="168" spans="1:12" ht="12.75">
      <c r="A168" t="s">
        <v>20</v>
      </c>
      <c r="B168" s="8">
        <v>5000</v>
      </c>
      <c r="C168" s="8">
        <v>4477.140341249452</v>
      </c>
      <c r="D168" s="8">
        <v>2933.990177845853</v>
      </c>
      <c r="E168" s="8">
        <v>2115.3507224377367</v>
      </c>
      <c r="F168" s="8">
        <v>1640.0302904817597</v>
      </c>
      <c r="G168" s="8">
        <v>1335.0271320023933</v>
      </c>
      <c r="H168" s="8">
        <v>1124.156166182121</v>
      </c>
      <c r="I168" s="8">
        <v>970.1532987937424</v>
      </c>
      <c r="J168" s="8">
        <v>852.9423562137287</v>
      </c>
      <c r="K168" s="8">
        <v>760.8337400911691</v>
      </c>
      <c r="L168" s="8">
        <v>686.5872326248019</v>
      </c>
    </row>
    <row r="169" spans="1:12" ht="12.75">
      <c r="A169" t="s">
        <v>219</v>
      </c>
      <c r="B169" s="8">
        <v>2.464848781108127</v>
      </c>
      <c r="C169" s="8">
        <v>2.9924986895409456</v>
      </c>
      <c r="D169" s="8">
        <v>6.446820770994607</v>
      </c>
      <c r="E169" s="8">
        <v>11.292634471545703</v>
      </c>
      <c r="F169" s="8">
        <v>17.087635303988996</v>
      </c>
      <c r="G169" s="8">
        <v>23.584588205625522</v>
      </c>
      <c r="H169" s="8">
        <v>30.6772649633247</v>
      </c>
      <c r="I169" s="8">
        <v>38.34999625320162</v>
      </c>
      <c r="J169" s="8">
        <v>46.64647398892648</v>
      </c>
      <c r="K169" s="8">
        <v>55.65395523395231</v>
      </c>
      <c r="L169" s="8">
        <v>65.49772060134123</v>
      </c>
    </row>
    <row r="170" spans="1:12" ht="12.75">
      <c r="A170" t="s">
        <v>37</v>
      </c>
      <c r="B170" s="8">
        <v>45.22847708563373</v>
      </c>
      <c r="C170" s="8">
        <v>40.498847866673444</v>
      </c>
      <c r="D170" s="8">
        <v>26.53998150563512</v>
      </c>
      <c r="E170" s="8">
        <v>19.134818335570785</v>
      </c>
      <c r="F170" s="8">
        <v>14.8352144825599</v>
      </c>
      <c r="G170" s="8">
        <v>12.076248809693912</v>
      </c>
      <c r="H170" s="8">
        <v>10.168774280568385</v>
      </c>
      <c r="I170" s="8">
        <v>8.77571124880895</v>
      </c>
      <c r="J170" s="8">
        <v>7.715456762675814</v>
      </c>
      <c r="K170" s="8">
        <v>6.88227027593809</v>
      </c>
      <c r="L170" s="8">
        <v>6.210658983611905</v>
      </c>
    </row>
    <row r="173" ht="12.75">
      <c r="A173" t="s">
        <v>237</v>
      </c>
    </row>
    <row r="174" spans="1:12" ht="12.75">
      <c r="A174" t="s">
        <v>23</v>
      </c>
      <c r="B174" s="8">
        <v>0</v>
      </c>
      <c r="C174" s="8">
        <v>100</v>
      </c>
      <c r="D174" s="8">
        <v>200</v>
      </c>
      <c r="E174" s="8">
        <v>300</v>
      </c>
      <c r="F174" s="8">
        <v>400</v>
      </c>
      <c r="G174" s="8">
        <v>500</v>
      </c>
      <c r="H174" s="8">
        <v>600</v>
      </c>
      <c r="I174" s="8">
        <v>700</v>
      </c>
      <c r="J174" s="8">
        <v>800</v>
      </c>
      <c r="K174" s="8">
        <v>900</v>
      </c>
      <c r="L174" s="8">
        <v>1000</v>
      </c>
    </row>
    <row r="175" spans="1:12" ht="12.75">
      <c r="A175" t="s">
        <v>134</v>
      </c>
      <c r="B175" s="8">
        <v>0</v>
      </c>
      <c r="C175" s="8">
        <v>1.9219650193744633</v>
      </c>
      <c r="D175" s="8">
        <v>2.7180689968060343</v>
      </c>
      <c r="E175" s="8">
        <v>3.3289410639266723</v>
      </c>
      <c r="F175" s="8">
        <v>3.8439300387489266</v>
      </c>
      <c r="G175" s="8">
        <v>4.297644433698</v>
      </c>
      <c r="H175" s="8">
        <v>4.70783360094582</v>
      </c>
      <c r="I175" s="8">
        <v>5.0850414698302675</v>
      </c>
      <c r="J175" s="8">
        <v>5.436137993612069</v>
      </c>
      <c r="K175" s="8">
        <v>5.76589505812339</v>
      </c>
      <c r="L175" s="8">
        <v>6.077787044392952</v>
      </c>
    </row>
    <row r="176" spans="1:12" ht="12.75">
      <c r="A176" t="s">
        <v>140</v>
      </c>
      <c r="B176" s="8">
        <v>1.0014</v>
      </c>
      <c r="C176" s="8">
        <v>1.0702539842614613</v>
      </c>
      <c r="D176" s="8">
        <v>1.2334696624708419</v>
      </c>
      <c r="E176" s="8">
        <v>1.4249169737929037</v>
      </c>
      <c r="F176" s="8">
        <v>1.6169664020017749</v>
      </c>
      <c r="G176" s="8">
        <v>1.7933709137258476</v>
      </c>
      <c r="H176" s="8">
        <v>1.9430766117400036</v>
      </c>
      <c r="I176" s="8">
        <v>2.057927860249242</v>
      </c>
      <c r="J176" s="8">
        <v>2.1315843648019834</v>
      </c>
      <c r="K176" s="8">
        <v>2.158932750976069</v>
      </c>
      <c r="L176" s="8">
        <v>2.1357351455633857</v>
      </c>
    </row>
    <row r="177" spans="1:12" ht="12.75">
      <c r="A177" t="s">
        <v>29</v>
      </c>
      <c r="B177" s="1">
        <v>0.04871109463689122</v>
      </c>
      <c r="C177" s="1">
        <v>0.05353702246884439</v>
      </c>
      <c r="D177" s="1">
        <v>0.05849922253634092</v>
      </c>
      <c r="E177" s="1">
        <v>0.06350219325553245</v>
      </c>
      <c r="F177" s="1">
        <v>0.06850603352051947</v>
      </c>
      <c r="G177" s="1">
        <v>0.07348728021331553</v>
      </c>
      <c r="H177" s="1">
        <v>0.07842996987223073</v>
      </c>
      <c r="I177" s="1">
        <v>0.08332232455353002</v>
      </c>
      <c r="J177" s="1">
        <v>0.08815518793474005</v>
      </c>
      <c r="K177" s="8">
        <v>0.0929211755472854</v>
      </c>
      <c r="L177" s="8">
        <v>0.09761416727576912</v>
      </c>
    </row>
    <row r="178" spans="1:12" ht="12.75">
      <c r="A178" t="s">
        <v>17</v>
      </c>
      <c r="B178" s="8">
        <v>0</v>
      </c>
      <c r="C178" s="8">
        <v>0.042687145991912936</v>
      </c>
      <c r="D178" s="8">
        <v>0.08537429198382589</v>
      </c>
      <c r="E178" s="8">
        <v>0.12806143797573882</v>
      </c>
      <c r="F178" s="8">
        <v>0.17074858396765177</v>
      </c>
      <c r="G178" s="8">
        <v>0.21343572995956472</v>
      </c>
      <c r="H178" s="8">
        <v>0.2561228759514777</v>
      </c>
      <c r="I178" s="8">
        <v>0.2988100219433907</v>
      </c>
      <c r="J178" s="8">
        <v>0.34149716793530366</v>
      </c>
      <c r="K178" s="8">
        <v>0.38418431392721664</v>
      </c>
      <c r="L178" s="8">
        <v>0.4268714599191296</v>
      </c>
    </row>
    <row r="179" spans="1:12" ht="12.75">
      <c r="A179" t="s">
        <v>18</v>
      </c>
      <c r="B179" s="8">
        <v>0</v>
      </c>
      <c r="C179" s="8">
        <v>38.56671508835617</v>
      </c>
      <c r="D179" s="8">
        <v>55.58071186501761</v>
      </c>
      <c r="E179" s="8">
        <v>63.624434481856866</v>
      </c>
      <c r="F179" s="8">
        <v>68.13885172806442</v>
      </c>
      <c r="G179" s="8">
        <v>71.0010884338721</v>
      </c>
      <c r="H179" s="8">
        <v>72.97435950055493</v>
      </c>
      <c r="I179" s="8">
        <v>74.41902291953343</v>
      </c>
      <c r="J179" s="8">
        <v>75.52547666740755</v>
      </c>
      <c r="K179" s="8">
        <v>76.40321116911842</v>
      </c>
      <c r="L179" s="8">
        <v>77.11944367227494</v>
      </c>
    </row>
    <row r="180" spans="1:12" ht="12.75">
      <c r="A180" t="s">
        <v>30</v>
      </c>
      <c r="B180" s="8">
        <v>0.04871109463689122</v>
      </c>
      <c r="C180" s="8">
        <v>0.06847193007185089</v>
      </c>
      <c r="D180" s="8">
        <v>0.10349361704518735</v>
      </c>
      <c r="E180" s="8">
        <v>0.1429414581032284</v>
      </c>
      <c r="F180" s="8">
        <v>0.18397868234029932</v>
      </c>
      <c r="G180" s="8">
        <v>0.22573256560922395</v>
      </c>
      <c r="H180" s="8">
        <v>0.26786225519810564</v>
      </c>
      <c r="I180" s="8">
        <v>0.3102096693896137</v>
      </c>
      <c r="J180" s="8">
        <v>0.3526920085111687</v>
      </c>
      <c r="K180" s="8">
        <v>0.3952618523622227</v>
      </c>
      <c r="L180" s="8">
        <v>0.4378901334198236</v>
      </c>
    </row>
    <row r="181" spans="1:12" ht="12.75">
      <c r="A181" t="s">
        <v>19</v>
      </c>
      <c r="B181" s="8">
        <v>3535.5339059327375</v>
      </c>
      <c r="C181" s="8">
        <v>3098.087554025349</v>
      </c>
      <c r="D181" s="8">
        <v>2049.7112808713046</v>
      </c>
      <c r="E181" s="8">
        <v>1484.0483451798802</v>
      </c>
      <c r="F181" s="8">
        <v>1153.025076912561</v>
      </c>
      <c r="G181" s="8">
        <v>939.7493612991881</v>
      </c>
      <c r="H181" s="8">
        <v>791.9444798178324</v>
      </c>
      <c r="I181" s="8">
        <v>683.8343716786726</v>
      </c>
      <c r="J181" s="8">
        <v>601.4653840646283</v>
      </c>
      <c r="K181" s="8">
        <v>536.6873455860216</v>
      </c>
      <c r="L181" s="8">
        <v>484.4412288968279</v>
      </c>
    </row>
    <row r="182" spans="1:12" ht="12.75">
      <c r="A182" t="s">
        <v>21</v>
      </c>
      <c r="B182" s="8">
        <v>608888.6829611402</v>
      </c>
      <c r="C182" s="8">
        <v>513856.18442324124</v>
      </c>
      <c r="D182" s="8">
        <v>245773.7392226977</v>
      </c>
      <c r="E182" s="8">
        <v>139857.19809264538</v>
      </c>
      <c r="F182" s="8">
        <v>91076.499082648</v>
      </c>
      <c r="G182" s="8">
        <v>64898.73815083373</v>
      </c>
      <c r="H182" s="8">
        <v>49189.3994208905</v>
      </c>
      <c r="I182" s="8">
        <v>38963.97262780905</v>
      </c>
      <c r="J182" s="8">
        <v>31891.074405726165</v>
      </c>
      <c r="K182" s="8">
        <v>26764.393475050863</v>
      </c>
      <c r="L182" s="8">
        <v>22908.415318384505</v>
      </c>
    </row>
    <row r="183" spans="1:12" ht="12.75">
      <c r="A183" t="s">
        <v>20</v>
      </c>
      <c r="B183" s="8">
        <v>5000</v>
      </c>
      <c r="C183" s="8">
        <v>4381.357436321938</v>
      </c>
      <c r="D183" s="8">
        <v>2898.7294923573277</v>
      </c>
      <c r="E183" s="8">
        <v>2098.761296970735</v>
      </c>
      <c r="F183" s="8">
        <v>1630.623701526025</v>
      </c>
      <c r="G183" s="8">
        <v>1329.0062919807656</v>
      </c>
      <c r="H183" s="8">
        <v>1119.9786240048845</v>
      </c>
      <c r="I183" s="8">
        <v>967.0878428448628</v>
      </c>
      <c r="J183" s="8">
        <v>850.6005034421399</v>
      </c>
      <c r="K183" s="8">
        <v>758.990522881768</v>
      </c>
      <c r="L183" s="8">
        <v>685.103356078583</v>
      </c>
    </row>
    <row r="184" spans="1:12" ht="12.75">
      <c r="A184" t="s">
        <v>219</v>
      </c>
      <c r="B184" s="8">
        <v>6.712602356700619</v>
      </c>
      <c r="C184" s="8">
        <v>8.179641953665172</v>
      </c>
      <c r="D184" s="8">
        <v>16.214167909313016</v>
      </c>
      <c r="E184" s="8">
        <v>26.774592102076156</v>
      </c>
      <c r="F184" s="8">
        <v>39.08679126338314</v>
      </c>
      <c r="G184" s="8">
        <v>53.053534310399066</v>
      </c>
      <c r="H184" s="8">
        <v>68.9491830762718</v>
      </c>
      <c r="I184" s="8">
        <v>87.31251989207907</v>
      </c>
      <c r="J184" s="8">
        <v>108.96442211217857</v>
      </c>
      <c r="K184" s="8">
        <v>135.12219636971741</v>
      </c>
      <c r="L184" s="8">
        <v>167.64049417970764</v>
      </c>
    </row>
    <row r="185" spans="1:12" ht="12.75">
      <c r="A185" t="s">
        <v>37</v>
      </c>
      <c r="B185" s="8">
        <v>34.90227741096</v>
      </c>
      <c r="C185" s="8">
        <v>30.583870535816157</v>
      </c>
      <c r="D185" s="8">
        <v>20.23445217631734</v>
      </c>
      <c r="E185" s="8">
        <v>14.65030980125176</v>
      </c>
      <c r="F185" s="8">
        <v>11.382496156709552</v>
      </c>
      <c r="G185" s="8">
        <v>9.277069256724797</v>
      </c>
      <c r="H185" s="8">
        <v>7.8179609258727485</v>
      </c>
      <c r="I185" s="8">
        <v>6.750713634347658</v>
      </c>
      <c r="J185" s="8">
        <v>5.937578947407961</v>
      </c>
      <c r="K185" s="8">
        <v>5.29809955638181</v>
      </c>
      <c r="L185" s="8">
        <v>4.7823334778068824</v>
      </c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ht="12.75">
      <c r="A188" t="s">
        <v>238</v>
      </c>
    </row>
    <row r="189" spans="1:12" ht="12.75">
      <c r="A189" t="s">
        <v>23</v>
      </c>
      <c r="B189" s="8">
        <v>0</v>
      </c>
      <c r="C189" s="8">
        <v>100</v>
      </c>
      <c r="D189" s="8">
        <v>200</v>
      </c>
      <c r="E189" s="8">
        <v>300</v>
      </c>
      <c r="F189" s="8">
        <v>400</v>
      </c>
      <c r="G189" s="8">
        <v>500</v>
      </c>
      <c r="H189" s="8">
        <v>600</v>
      </c>
      <c r="I189" s="8">
        <v>700</v>
      </c>
      <c r="J189" s="8">
        <v>800</v>
      </c>
      <c r="K189" s="8">
        <v>900</v>
      </c>
      <c r="L189" s="8">
        <v>1000</v>
      </c>
    </row>
    <row r="190" spans="1:12" ht="12.75">
      <c r="A190" t="s">
        <v>134</v>
      </c>
      <c r="B190" s="8">
        <v>0</v>
      </c>
      <c r="C190" s="8">
        <v>1.3633128840791913</v>
      </c>
      <c r="D190" s="8">
        <v>1.9280155704227717</v>
      </c>
      <c r="E190" s="8">
        <v>2.3613271818384187</v>
      </c>
      <c r="F190" s="8">
        <v>2.7266257681583825</v>
      </c>
      <c r="G190" s="8">
        <v>3.048460283402363</v>
      </c>
      <c r="H190" s="8">
        <v>3.3394209257561314</v>
      </c>
      <c r="I190" s="8">
        <v>3.606986850443769</v>
      </c>
      <c r="J190" s="8">
        <v>3.8560311408455434</v>
      </c>
      <c r="K190" s="8">
        <v>4.089938652237574</v>
      </c>
      <c r="L190" s="8">
        <v>4.311173877143351</v>
      </c>
    </row>
    <row r="191" spans="1:12" ht="12.75">
      <c r="A191" t="s">
        <v>140</v>
      </c>
      <c r="B191" s="8">
        <v>1.0014</v>
      </c>
      <c r="C191" s="8">
        <v>1.0163912999086604</v>
      </c>
      <c r="D191" s="8">
        <v>1.0710988140149655</v>
      </c>
      <c r="E191" s="8">
        <v>1.1473456182792374</v>
      </c>
      <c r="F191" s="8">
        <v>1.235785976485508</v>
      </c>
      <c r="G191" s="8">
        <v>1.330820879022614</v>
      </c>
      <c r="H191" s="8">
        <v>1.4286075266211806</v>
      </c>
      <c r="I191" s="8">
        <v>1.526295960787107</v>
      </c>
      <c r="J191" s="8">
        <v>1.6216629340603093</v>
      </c>
      <c r="K191" s="8">
        <v>1.7129109897672439</v>
      </c>
      <c r="L191" s="8">
        <v>1.7985476568532406</v>
      </c>
    </row>
    <row r="192" spans="1:12" ht="12.75">
      <c r="A192" t="s">
        <v>29</v>
      </c>
      <c r="B192" s="1">
        <v>0.05228294232092652</v>
      </c>
      <c r="C192" s="1">
        <v>0.057084556253525744</v>
      </c>
      <c r="D192" s="1">
        <v>0.06208518821165464</v>
      </c>
      <c r="E192" s="1">
        <v>0.06719375359408264</v>
      </c>
      <c r="F192" s="1">
        <v>0.07236342089870418</v>
      </c>
      <c r="G192" s="1">
        <v>0.07756613347761747</v>
      </c>
      <c r="H192" s="1">
        <v>0.08278263505631223</v>
      </c>
      <c r="I192" s="1">
        <v>0.08799864448730765</v>
      </c>
      <c r="J192" s="1">
        <v>0.0932030210733165</v>
      </c>
      <c r="K192" s="1">
        <v>0.09838675775549972</v>
      </c>
      <c r="L192" s="1">
        <v>0.10354237575853942</v>
      </c>
    </row>
    <row r="193" spans="1:12" ht="12.75">
      <c r="A193" t="s">
        <v>17</v>
      </c>
      <c r="B193" s="8">
        <v>0</v>
      </c>
      <c r="C193" s="8">
        <v>0.06377796681603749</v>
      </c>
      <c r="D193" s="8">
        <v>0.12755593363207499</v>
      </c>
      <c r="E193" s="8">
        <v>0.19133390044811246</v>
      </c>
      <c r="F193" s="8">
        <v>0.25511186726414997</v>
      </c>
      <c r="G193" s="8">
        <v>0.31888983408018745</v>
      </c>
      <c r="H193" s="8">
        <v>0.38266780089622493</v>
      </c>
      <c r="I193" s="8">
        <v>0.4464457677122624</v>
      </c>
      <c r="J193" s="8">
        <v>0.5102237345282999</v>
      </c>
      <c r="K193" s="8">
        <v>0.5740017013443375</v>
      </c>
      <c r="L193" s="8">
        <v>0.6377796681603749</v>
      </c>
    </row>
    <row r="194" spans="1:12" ht="12.75">
      <c r="A194" t="s">
        <v>18</v>
      </c>
      <c r="B194" s="8">
        <v>0</v>
      </c>
      <c r="C194" s="8">
        <v>48.16982319083202</v>
      </c>
      <c r="D194" s="8">
        <v>64.04646387479931</v>
      </c>
      <c r="E194" s="8">
        <v>70.64944811954614</v>
      </c>
      <c r="F194" s="8">
        <v>74.16381673703283</v>
      </c>
      <c r="G194" s="8">
        <v>76.32897514227227</v>
      </c>
      <c r="H194" s="8">
        <v>77.79328756272615</v>
      </c>
      <c r="I194" s="8">
        <v>78.84940649641807</v>
      </c>
      <c r="J194" s="8">
        <v>79.64786775294347</v>
      </c>
      <c r="K194" s="8">
        <v>80.27373381540272</v>
      </c>
      <c r="L194" s="8">
        <v>80.77858816900446</v>
      </c>
    </row>
    <row r="195" spans="1:12" ht="12.75">
      <c r="A195" t="s">
        <v>30</v>
      </c>
      <c r="B195" s="8">
        <v>0.05228294232092652</v>
      </c>
      <c r="C195" s="8">
        <v>0.08559366573438437</v>
      </c>
      <c r="D195" s="8">
        <v>0.14186291552067756</v>
      </c>
      <c r="E195" s="8">
        <v>0.20278969890689838</v>
      </c>
      <c r="F195" s="8">
        <v>0.2651764120414263</v>
      </c>
      <c r="G195" s="8">
        <v>0.32818779889319016</v>
      </c>
      <c r="H195" s="8">
        <v>0.39151961701761434</v>
      </c>
      <c r="I195" s="8">
        <v>0.4550358062172634</v>
      </c>
      <c r="J195" s="8">
        <v>0.5186666197213757</v>
      </c>
      <c r="K195" s="8">
        <v>0.5823726532451824</v>
      </c>
      <c r="L195" s="8">
        <v>0.6461299626982798</v>
      </c>
    </row>
    <row r="196" spans="1:12" ht="12.75">
      <c r="A196" t="s">
        <v>19</v>
      </c>
      <c r="B196" s="8">
        <v>7071.067811865475</v>
      </c>
      <c r="C196" s="8">
        <v>4956.72273259696</v>
      </c>
      <c r="D196" s="8">
        <v>2990.6622682521206</v>
      </c>
      <c r="E196" s="8">
        <v>2092.1381657887364</v>
      </c>
      <c r="F196" s="8">
        <v>1599.9314020647105</v>
      </c>
      <c r="G196" s="8">
        <v>1292.7478417624131</v>
      </c>
      <c r="H196" s="8">
        <v>1083.6342555291194</v>
      </c>
      <c r="I196" s="8">
        <v>932.3751294186231</v>
      </c>
      <c r="J196" s="8">
        <v>817.9899237391455</v>
      </c>
      <c r="K196" s="8">
        <v>728.5096000778573</v>
      </c>
      <c r="L196" s="8">
        <v>656.6234243961923</v>
      </c>
    </row>
    <row r="197" spans="1:12" ht="12.75">
      <c r="A197" t="s">
        <v>21</v>
      </c>
      <c r="B197" s="8">
        <v>2614147.1160463262</v>
      </c>
      <c r="C197" s="8">
        <v>1402516.1851965338</v>
      </c>
      <c r="D197" s="8">
        <v>555293.6983150254</v>
      </c>
      <c r="E197" s="8">
        <v>294109.8886574868</v>
      </c>
      <c r="F197" s="8">
        <v>185234.47310115633</v>
      </c>
      <c r="G197" s="8">
        <v>129628.28820278542</v>
      </c>
      <c r="H197" s="8">
        <v>97208.60192547072</v>
      </c>
      <c r="I197" s="8">
        <v>76499.27923346071</v>
      </c>
      <c r="J197" s="8">
        <v>62362.84185243412</v>
      </c>
      <c r="K197" s="8">
        <v>52216.43375411256</v>
      </c>
      <c r="L197" s="8">
        <v>44642.742763128095</v>
      </c>
    </row>
    <row r="198" spans="1:12" ht="12.75">
      <c r="A198" t="s">
        <v>20</v>
      </c>
      <c r="B198" s="8">
        <v>10000</v>
      </c>
      <c r="C198" s="8">
        <v>7009.864513361649</v>
      </c>
      <c r="D198" s="8">
        <v>4229.435140239632</v>
      </c>
      <c r="E198" s="8">
        <v>2958.730168416802</v>
      </c>
      <c r="F198" s="8">
        <v>2262.644687666515</v>
      </c>
      <c r="G198" s="8">
        <v>1828.2215305489526</v>
      </c>
      <c r="H198" s="8">
        <v>1532.4902608213529</v>
      </c>
      <c r="I198" s="8">
        <v>1318.5775532431867</v>
      </c>
      <c r="J198" s="8">
        <v>1156.8124440364334</v>
      </c>
      <c r="K198" s="8">
        <v>1030.2681567491054</v>
      </c>
      <c r="L198" s="8">
        <v>928.6057521529598</v>
      </c>
    </row>
    <row r="199" spans="1:12" ht="12.75">
      <c r="A199" t="s">
        <v>219</v>
      </c>
      <c r="B199" s="8">
        <v>2.5494307968843617</v>
      </c>
      <c r="C199" s="8">
        <v>5.11176203163276</v>
      </c>
      <c r="D199" s="8">
        <v>13.324672323045817</v>
      </c>
      <c r="E199" s="8">
        <v>25.41826091877414</v>
      </c>
      <c r="F199" s="8">
        <v>40.35290747875342</v>
      </c>
      <c r="G199" s="8">
        <v>57.39493528464318</v>
      </c>
      <c r="H199" s="8">
        <v>76.0926018943133</v>
      </c>
      <c r="I199" s="8">
        <v>96.20567772719542</v>
      </c>
      <c r="J199" s="8">
        <v>117.64252058041924</v>
      </c>
      <c r="K199" s="8">
        <v>140.41563396663776</v>
      </c>
      <c r="L199" s="8">
        <v>164.61375653430687</v>
      </c>
    </row>
    <row r="200" spans="1:12" ht="12.75">
      <c r="A200" t="s">
        <v>37</v>
      </c>
      <c r="B200" s="8">
        <v>69.80455482192</v>
      </c>
      <c r="C200" s="8">
        <v>48.93204717171848</v>
      </c>
      <c r="D200" s="8">
        <v>29.523383711261232</v>
      </c>
      <c r="E200" s="8">
        <v>20.653284224451923</v>
      </c>
      <c r="F200" s="8">
        <v>15.79429051427433</v>
      </c>
      <c r="G200" s="8">
        <v>12.761819005581884</v>
      </c>
      <c r="H200" s="8">
        <v>10.697480042556261</v>
      </c>
      <c r="I200" s="8">
        <v>9.204271910231716</v>
      </c>
      <c r="J200" s="8">
        <v>8.075077766842048</v>
      </c>
      <c r="K200" s="8">
        <v>7.19174100290714</v>
      </c>
      <c r="L200" s="8">
        <v>6.482091113411154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25" sqref="C25"/>
    </sheetView>
  </sheetViews>
  <sheetFormatPr defaultColWidth="11.00390625" defaultRowHeight="12"/>
  <sheetData>
    <row r="1" spans="1:2" ht="12.75">
      <c r="A1" s="53" t="s">
        <v>188</v>
      </c>
      <c r="B1" t="s">
        <v>193</v>
      </c>
    </row>
    <row r="2" spans="1:3" ht="12.75">
      <c r="A2" t="s">
        <v>189</v>
      </c>
      <c r="B2">
        <v>100</v>
      </c>
      <c r="C2" t="s">
        <v>163</v>
      </c>
    </row>
    <row r="3" spans="1:3" ht="12.75">
      <c r="A3" t="s">
        <v>190</v>
      </c>
      <c r="B3">
        <v>5</v>
      </c>
      <c r="C3" t="s">
        <v>191</v>
      </c>
    </row>
    <row r="4" spans="1:3" ht="12.75">
      <c r="A4" t="s">
        <v>192</v>
      </c>
      <c r="B4" t="s">
        <v>193</v>
      </c>
      <c r="C4" t="s">
        <v>194</v>
      </c>
    </row>
    <row r="5" spans="1:2" ht="12.75">
      <c r="A5" t="s">
        <v>195</v>
      </c>
      <c r="B5">
        <v>1</v>
      </c>
    </row>
    <row r="6" spans="1:3" ht="12.75">
      <c r="A6" t="s">
        <v>196</v>
      </c>
      <c r="B6">
        <v>0.813</v>
      </c>
      <c r="C6" t="s">
        <v>197</v>
      </c>
    </row>
    <row r="7" spans="1:3" ht="12.75">
      <c r="A7" t="s">
        <v>198</v>
      </c>
      <c r="B7">
        <f>B6/2</f>
        <v>0.4065</v>
      </c>
      <c r="C7" t="s">
        <v>197</v>
      </c>
    </row>
    <row r="8" spans="1:3" ht="12.75">
      <c r="A8" t="s">
        <v>199</v>
      </c>
      <c r="B8">
        <f>(1.16-0.813)/2</f>
        <v>0.1735</v>
      </c>
      <c r="C8" t="s">
        <v>197</v>
      </c>
    </row>
    <row r="9" spans="1:3" ht="12.75">
      <c r="A9" t="s">
        <v>200</v>
      </c>
      <c r="B9">
        <f>B7+B8</f>
        <v>0.58</v>
      </c>
      <c r="C9" t="s">
        <v>197</v>
      </c>
    </row>
    <row r="10" spans="1:3" ht="12.75">
      <c r="A10" t="s">
        <v>201</v>
      </c>
      <c r="B10" t="s">
        <v>202</v>
      </c>
      <c r="C10" t="s">
        <v>175</v>
      </c>
    </row>
    <row r="11" spans="1:3" ht="12.75">
      <c r="A11" t="s">
        <v>203</v>
      </c>
      <c r="B11">
        <v>0</v>
      </c>
      <c r="C11" t="s">
        <v>197</v>
      </c>
    </row>
    <row r="12" spans="1:3" ht="12.75">
      <c r="A12" t="s">
        <v>204</v>
      </c>
      <c r="B12">
        <v>12.5</v>
      </c>
      <c r="C12" t="s">
        <v>205</v>
      </c>
    </row>
    <row r="13" spans="1:3" ht="12.75">
      <c r="A13" t="s">
        <v>206</v>
      </c>
      <c r="B13">
        <f>B11+B11*B12/100</f>
        <v>0</v>
      </c>
      <c r="C13" t="s">
        <v>197</v>
      </c>
    </row>
    <row r="14" spans="1:3" ht="12.75">
      <c r="A14" t="s">
        <v>207</v>
      </c>
      <c r="B14">
        <f>B9+B13</f>
        <v>0.58</v>
      </c>
      <c r="C14" t="s">
        <v>197</v>
      </c>
    </row>
    <row r="15" spans="1:3" ht="12.75">
      <c r="A15" t="s">
        <v>208</v>
      </c>
      <c r="B15">
        <v>0</v>
      </c>
      <c r="C15" t="s">
        <v>83</v>
      </c>
    </row>
    <row r="16" spans="1:3" ht="12.75">
      <c r="A16" t="s">
        <v>209</v>
      </c>
      <c r="B16">
        <f>2*(B14+B15)</f>
        <v>1.16</v>
      </c>
      <c r="C16" t="s">
        <v>83</v>
      </c>
    </row>
    <row r="17" spans="1:3" ht="12.75">
      <c r="A17" t="s">
        <v>210</v>
      </c>
      <c r="B17">
        <f>B16/2</f>
        <v>0.58</v>
      </c>
      <c r="C17" t="s">
        <v>83</v>
      </c>
    </row>
    <row r="18" spans="1:3" ht="12.75">
      <c r="A18" t="s">
        <v>211</v>
      </c>
      <c r="B18">
        <f>B16</f>
        <v>1.16</v>
      </c>
      <c r="C18" t="s">
        <v>83</v>
      </c>
    </row>
    <row r="19" spans="1:3" ht="12.75">
      <c r="A19" t="s">
        <v>212</v>
      </c>
      <c r="B19">
        <f>3*B16</f>
        <v>3.4799999999999995</v>
      </c>
      <c r="C19" t="s">
        <v>83</v>
      </c>
    </row>
    <row r="20" spans="1:3" ht="12.75">
      <c r="A20" t="s">
        <v>213</v>
      </c>
      <c r="B20" t="s">
        <v>175</v>
      </c>
      <c r="C20" t="s">
        <v>83</v>
      </c>
    </row>
    <row r="21" spans="1:3" ht="12.75">
      <c r="A21" t="s">
        <v>214</v>
      </c>
      <c r="B21" t="s">
        <v>175</v>
      </c>
      <c r="C21" t="s">
        <v>83</v>
      </c>
    </row>
    <row r="22" spans="1:3" ht="12.75">
      <c r="A22" t="s">
        <v>230</v>
      </c>
      <c r="B22" t="s">
        <v>175</v>
      </c>
      <c r="C22" t="s">
        <v>83</v>
      </c>
    </row>
    <row r="23" spans="1:3" ht="12.75">
      <c r="A23" t="s">
        <v>231</v>
      </c>
      <c r="B23" t="s">
        <v>175</v>
      </c>
      <c r="C23" t="s">
        <v>83</v>
      </c>
    </row>
    <row r="24" spans="1:2" ht="12.75">
      <c r="A24" t="s">
        <v>232</v>
      </c>
      <c r="B24" s="2">
        <f>(B18*B19)^(1/2)</f>
        <v>2.0091789367798976</v>
      </c>
    </row>
    <row r="25" spans="1:3" ht="12.75">
      <c r="A25" s="19" t="s">
        <v>233</v>
      </c>
      <c r="B25" s="2">
        <f>0.004*B2*12*2.54*(LN(B24/(B6/2))+1/4-B24/(B2*12*2.54))</f>
        <v>22.521529597505832</v>
      </c>
      <c r="C25" t="s">
        <v>234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34" sqref="B34"/>
    </sheetView>
  </sheetViews>
  <sheetFormatPr defaultColWidth="11.00390625" defaultRowHeight="12"/>
  <cols>
    <col min="1" max="1" width="34.875" style="26" bestFit="1" customWidth="1"/>
    <col min="2" max="2" width="14.375" style="26" bestFit="1" customWidth="1"/>
    <col min="3" max="3" width="12.00390625" style="26" customWidth="1"/>
    <col min="4" max="4" width="12.00390625" style="26" bestFit="1" customWidth="1"/>
    <col min="5" max="16384" width="10.875" style="26" customWidth="1"/>
  </cols>
  <sheetData>
    <row r="1" spans="1:5" ht="12.75">
      <c r="A1" s="26" t="s">
        <v>144</v>
      </c>
      <c r="B1" s="26" t="s">
        <v>145</v>
      </c>
      <c r="C1" s="27">
        <f>0.000001728</f>
        <v>1.728E-06</v>
      </c>
      <c r="D1" s="27">
        <f>0.000001728</f>
        <v>1.728E-06</v>
      </c>
      <c r="E1" s="27">
        <f>0.000001728</f>
        <v>1.728E-06</v>
      </c>
    </row>
    <row r="2" spans="1:5" ht="12.75">
      <c r="A2" s="26" t="s">
        <v>146</v>
      </c>
      <c r="B2" s="26" t="s">
        <v>99</v>
      </c>
      <c r="C2" s="26">
        <v>0.0041</v>
      </c>
      <c r="D2" s="26">
        <v>0.0041</v>
      </c>
      <c r="E2" s="26">
        <v>0.0041</v>
      </c>
    </row>
    <row r="3" spans="1:5" ht="12.75">
      <c r="A3" s="26" t="s">
        <v>147</v>
      </c>
      <c r="B3" s="26" t="s">
        <v>148</v>
      </c>
      <c r="C3" s="26">
        <v>0.386</v>
      </c>
      <c r="D3" s="26">
        <v>0.386</v>
      </c>
      <c r="E3" s="26">
        <v>0.386</v>
      </c>
    </row>
    <row r="4" spans="1:5" ht="12.75">
      <c r="A4" s="26" t="s">
        <v>149</v>
      </c>
      <c r="B4" s="26" t="s">
        <v>150</v>
      </c>
      <c r="C4" s="26">
        <v>8.89</v>
      </c>
      <c r="D4" s="26">
        <v>8.89</v>
      </c>
      <c r="E4" s="26">
        <v>8.89</v>
      </c>
    </row>
    <row r="5" spans="1:5" ht="12.75">
      <c r="A5" s="26" t="s">
        <v>151</v>
      </c>
      <c r="B5" s="26" t="s">
        <v>152</v>
      </c>
      <c r="C5" s="26">
        <v>0.005</v>
      </c>
      <c r="D5" s="26">
        <v>0.005</v>
      </c>
      <c r="E5" s="26">
        <v>0.005</v>
      </c>
    </row>
    <row r="6" spans="1:5" ht="12.75">
      <c r="A6" s="26" t="s">
        <v>153</v>
      </c>
      <c r="B6" s="26" t="s">
        <v>154</v>
      </c>
      <c r="C6" s="28">
        <v>35</v>
      </c>
      <c r="D6" s="28">
        <v>35</v>
      </c>
      <c r="E6" s="28">
        <v>35</v>
      </c>
    </row>
    <row r="7" spans="3:5" ht="12.75">
      <c r="C7" s="28">
        <f>9/5*C6+32</f>
        <v>95</v>
      </c>
      <c r="D7" s="28">
        <f>9/5*D6+32</f>
        <v>95</v>
      </c>
      <c r="E7" s="28">
        <f>9/5*E6+32</f>
        <v>95</v>
      </c>
    </row>
    <row r="8" spans="1:5" ht="12.75">
      <c r="A8" s="26" t="s">
        <v>155</v>
      </c>
      <c r="B8" s="26" t="s">
        <v>156</v>
      </c>
      <c r="C8" s="30">
        <v>5000</v>
      </c>
      <c r="D8" s="30">
        <v>5000</v>
      </c>
      <c r="E8" s="30">
        <v>5000</v>
      </c>
    </row>
    <row r="9" spans="1:5" ht="12.75">
      <c r="A9" s="26" t="s">
        <v>157</v>
      </c>
      <c r="B9" s="26" t="s">
        <v>63</v>
      </c>
      <c r="C9" s="31">
        <v>2.5533371238568616</v>
      </c>
      <c r="D9" s="31">
        <v>6.721951786292428</v>
      </c>
      <c r="E9" s="31">
        <v>11.688164967657078</v>
      </c>
    </row>
    <row r="10" spans="1:5" ht="12.75">
      <c r="A10" s="26" t="s">
        <v>158</v>
      </c>
      <c r="B10" s="26" t="s">
        <v>159</v>
      </c>
      <c r="C10" s="27">
        <f>C8^2*C9</f>
        <v>63833428.09642154</v>
      </c>
      <c r="D10" s="27">
        <f>D8^2*D9</f>
        <v>168048794.6573107</v>
      </c>
      <c r="E10" s="27">
        <f>E8^2*E9</f>
        <v>292204124.19142693</v>
      </c>
    </row>
    <row r="11" spans="1:5" ht="12.75">
      <c r="A11" s="26" t="s">
        <v>160</v>
      </c>
      <c r="B11" s="26" t="s">
        <v>63</v>
      </c>
      <c r="C11" s="30">
        <v>300</v>
      </c>
      <c r="D11" s="30">
        <v>300</v>
      </c>
      <c r="E11" s="30">
        <v>300</v>
      </c>
    </row>
    <row r="12" spans="1:5" ht="12.75">
      <c r="A12" s="26" t="s">
        <v>161</v>
      </c>
      <c r="B12" s="26" t="s">
        <v>156</v>
      </c>
      <c r="C12" s="28">
        <f>C8*SQRT(C9/C11)</f>
        <v>461.27875916276315</v>
      </c>
      <c r="D12" s="28">
        <f>D8*SQRT(D9/D11)</f>
        <v>748.4401438042339</v>
      </c>
      <c r="E12" s="28">
        <f>E8*SQRT(E9/E11)</f>
        <v>986.9213480844137</v>
      </c>
    </row>
    <row r="14" spans="1:5" ht="12.75">
      <c r="A14" s="26" t="s">
        <v>162</v>
      </c>
      <c r="B14" s="26" t="s">
        <v>163</v>
      </c>
      <c r="C14" s="30">
        <f>8*100/2.54/12</f>
        <v>26.246719160104988</v>
      </c>
      <c r="D14" s="30">
        <v>100</v>
      </c>
      <c r="E14" s="30">
        <v>100</v>
      </c>
    </row>
    <row r="15" spans="1:5" ht="12.75">
      <c r="A15" s="26" t="s">
        <v>164</v>
      </c>
      <c r="B15" s="26" t="s">
        <v>165</v>
      </c>
      <c r="C15" s="30">
        <v>250</v>
      </c>
      <c r="D15" s="30">
        <v>500</v>
      </c>
      <c r="E15" s="30">
        <v>750</v>
      </c>
    </row>
    <row r="16" spans="2:5" ht="12.75">
      <c r="B16" s="26" t="s">
        <v>249</v>
      </c>
      <c r="C16" s="26">
        <f>C15*1000*0.000005067</f>
        <v>1.26675</v>
      </c>
      <c r="D16" s="26">
        <f>D15*1000*0.000005067</f>
        <v>2.5335</v>
      </c>
      <c r="E16" s="26">
        <f>E15*1000*0.000005067</f>
        <v>3.80025</v>
      </c>
    </row>
    <row r="17" spans="1:5" ht="12.75">
      <c r="A17" s="26" t="s">
        <v>218</v>
      </c>
      <c r="C17" s="26">
        <v>0.87</v>
      </c>
      <c r="D17" s="26">
        <v>0.87</v>
      </c>
      <c r="E17" s="26">
        <v>0.87</v>
      </c>
    </row>
    <row r="18" spans="1:5" ht="12.75">
      <c r="A18" s="26" t="s">
        <v>217</v>
      </c>
      <c r="B18" s="26" t="s">
        <v>83</v>
      </c>
      <c r="C18" s="55">
        <f>SQRT(4/PI()*C16)/2.54/C17</f>
        <v>0.5747084022292642</v>
      </c>
      <c r="D18" s="55">
        <f>SQRT(4/PI()*D16)/2.54/D17</f>
        <v>0.8127604168423972</v>
      </c>
      <c r="E18" s="55">
        <f>SQRT(4/PI()*E16)/2.54/E17</f>
        <v>0.9954241521978162</v>
      </c>
    </row>
    <row r="19" spans="1:5" ht="12.75">
      <c r="A19" s="26" t="s">
        <v>250</v>
      </c>
      <c r="C19" s="32">
        <v>1</v>
      </c>
      <c r="D19" s="32">
        <v>1</v>
      </c>
      <c r="E19" s="32">
        <v>1</v>
      </c>
    </row>
    <row r="20" spans="1:5" ht="12.75">
      <c r="A20" s="26" t="s">
        <v>251</v>
      </c>
      <c r="B20" s="26" t="s">
        <v>249</v>
      </c>
      <c r="C20" s="26">
        <f>C16*C19</f>
        <v>1.26675</v>
      </c>
      <c r="D20" s="26">
        <f>D16*D19</f>
        <v>2.5335</v>
      </c>
      <c r="E20" s="26">
        <f>E16*E19</f>
        <v>3.80025</v>
      </c>
    </row>
    <row r="21" spans="1:5" ht="12.75">
      <c r="A21" s="26" t="s">
        <v>252</v>
      </c>
      <c r="B21" s="26" t="s">
        <v>253</v>
      </c>
      <c r="C21" s="27">
        <f>C1*2.54/C20*12*C14</f>
        <v>0.0010912966252220248</v>
      </c>
      <c r="D21" s="27">
        <f>D1*2.54/D20*12*D14</f>
        <v>0.002078920071047957</v>
      </c>
      <c r="E21" s="27">
        <f>E1*2.54/E20*12*E14</f>
        <v>0.0013859467140319714</v>
      </c>
    </row>
    <row r="22" spans="1:5" ht="12.75">
      <c r="A22" s="26" t="s">
        <v>254</v>
      </c>
      <c r="B22" s="26" t="s">
        <v>55</v>
      </c>
      <c r="C22" s="30">
        <v>105</v>
      </c>
      <c r="D22" s="30">
        <v>105</v>
      </c>
      <c r="E22" s="30">
        <v>105</v>
      </c>
    </row>
    <row r="23" spans="1:5" ht="12.75">
      <c r="A23" s="29" t="s">
        <v>255</v>
      </c>
      <c r="B23" s="29" t="s">
        <v>253</v>
      </c>
      <c r="C23" s="27">
        <f>C1*2.54/C20*(1+C2*(C22-20))</f>
        <v>4.672372859680284E-06</v>
      </c>
      <c r="D23" s="27">
        <f>D1*2.54/D20*(1+D2*(D22-20))</f>
        <v>2.336186429840142E-06</v>
      </c>
      <c r="E23" s="27">
        <f>E1*2.54/E20*(1+E2*(E22-20))</f>
        <v>1.557457619893428E-06</v>
      </c>
    </row>
    <row r="24" spans="1:5" ht="12.75">
      <c r="A24" s="26" t="s">
        <v>256</v>
      </c>
      <c r="B24" s="26" t="s">
        <v>257</v>
      </c>
      <c r="C24" s="28">
        <f>(75.534-0.097692*C15+0.00010408*C15^2-0.000000053252*C15^3+0.000000000010339*C15^4)/C19</f>
        <v>56.82432421875001</v>
      </c>
      <c r="D24" s="28">
        <f>(75.534-0.097692*D15+0.00010408*D15^2-0.000000053252*D15^3+0.000000000010339*D15^4)/D19</f>
        <v>46.6976875</v>
      </c>
      <c r="E24" s="28">
        <f>(75.534-0.097692*E15+0.00010408*E15^2-0.000000053252*E15^3+0.000000000010339*E15^4)/E19</f>
        <v>41.615636718750004</v>
      </c>
    </row>
    <row r="25" spans="1:5" ht="12.75">
      <c r="A25" s="26" t="s">
        <v>258</v>
      </c>
      <c r="B25" s="26" t="s">
        <v>259</v>
      </c>
      <c r="C25" s="28">
        <f>2.54*C20*C4*C3</f>
        <v>11.041134369300003</v>
      </c>
      <c r="D25" s="28">
        <f>2.54*D20*D4*D3</f>
        <v>22.082268738600007</v>
      </c>
      <c r="E25" s="28">
        <f>2.54*E20*E4*E3</f>
        <v>33.1234031079</v>
      </c>
    </row>
    <row r="26" spans="1:5" ht="12.75">
      <c r="A26" s="26" t="s">
        <v>260</v>
      </c>
      <c r="B26" s="26" t="s">
        <v>261</v>
      </c>
      <c r="C26" s="28">
        <f>C24*C25/60</f>
        <v>10.456749985731454</v>
      </c>
      <c r="D26" s="28">
        <f>D24*D25/60</f>
        <v>17.18651474743604</v>
      </c>
      <c r="E26" s="28">
        <f>E24*E25/60</f>
        <v>22.97419184378469</v>
      </c>
    </row>
    <row r="27" spans="1:5" ht="12.75">
      <c r="A27" s="26" t="s">
        <v>262</v>
      </c>
      <c r="B27" s="26" t="s">
        <v>154</v>
      </c>
      <c r="C27" s="28">
        <f>C10*C23/C25</f>
        <v>27.012946949307153</v>
      </c>
      <c r="D27" s="28">
        <f>D10*D23/D25</f>
        <v>17.778667503631322</v>
      </c>
      <c r="E27" s="28">
        <f>E10*E23/E25</f>
        <v>13.739395626220608</v>
      </c>
    </row>
    <row r="28" spans="1:5" ht="12.75">
      <c r="A28" s="26" t="s">
        <v>263</v>
      </c>
      <c r="B28" s="26" t="s">
        <v>154</v>
      </c>
      <c r="C28" s="28">
        <f>C12^2*C23*C24</f>
        <v>56.49352652534642</v>
      </c>
      <c r="D28" s="28">
        <f>D12^2*D23*D24</f>
        <v>61.11066624818433</v>
      </c>
      <c r="E28" s="28">
        <f>E12^2*E23*E24</f>
        <v>63.13030218688971</v>
      </c>
    </row>
    <row r="29" spans="1:5" ht="12.75">
      <c r="A29" s="26" t="s">
        <v>264</v>
      </c>
      <c r="B29" s="26" t="s">
        <v>154</v>
      </c>
      <c r="C29" s="28">
        <f>C6+C28+C27/2</f>
        <v>105</v>
      </c>
      <c r="D29" s="28">
        <f>D6+D28+D27/2</f>
        <v>104.99999999999999</v>
      </c>
      <c r="E29" s="28">
        <f>E6+E28+E27/2</f>
        <v>105.00000000000001</v>
      </c>
    </row>
    <row r="30" spans="1:5" ht="12.75">
      <c r="A30" s="26" t="s">
        <v>265</v>
      </c>
      <c r="B30" s="26" t="s">
        <v>253</v>
      </c>
      <c r="C30" s="27">
        <f>C21*(1+C2*(C29-20))</f>
        <v>0.0014716134991119006</v>
      </c>
      <c r="D30" s="27">
        <f>D21*(1+D2*(D29-20))</f>
        <v>0.0028034237158081703</v>
      </c>
      <c r="E30" s="27">
        <f>E21*(1+E2*(E29-20))</f>
        <v>0.0018689491438721136</v>
      </c>
    </row>
    <row r="31" spans="3:5" ht="12.75">
      <c r="C31" s="27"/>
      <c r="D31" s="27"/>
      <c r="E31" s="27"/>
    </row>
    <row r="32" spans="1:5" ht="12.75">
      <c r="A32" s="26" t="s">
        <v>266</v>
      </c>
      <c r="B32" s="26" t="s">
        <v>253</v>
      </c>
      <c r="C32" s="27">
        <f>2*C21</f>
        <v>0.0021825932504440496</v>
      </c>
      <c r="D32" s="27">
        <f>2*D21</f>
        <v>0.004157840142095914</v>
      </c>
      <c r="E32" s="27">
        <f>2*E21</f>
        <v>0.002771893428063943</v>
      </c>
    </row>
    <row r="34" ht="12.75">
      <c r="A34" s="26" t="s">
        <v>225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selection activeCell="G3" sqref="G3"/>
    </sheetView>
  </sheetViews>
  <sheetFormatPr defaultColWidth="11.00390625" defaultRowHeight="12"/>
  <cols>
    <col min="12" max="17" width="12.00390625" style="0" bestFit="1" customWidth="1"/>
    <col min="18" max="20" width="12.875" style="0" bestFit="1" customWidth="1"/>
    <col min="21" max="21" width="12.00390625" style="0" bestFit="1" customWidth="1"/>
    <col min="22" max="22" width="12.875" style="0" bestFit="1" customWidth="1"/>
  </cols>
  <sheetData>
    <row r="1" spans="1:2" ht="12.75">
      <c r="A1" t="s">
        <v>166</v>
      </c>
      <c r="B1">
        <f>Base!B15</f>
        <v>1.26392</v>
      </c>
    </row>
    <row r="2" spans="1:7" ht="12.75">
      <c r="A2" t="s">
        <v>168</v>
      </c>
      <c r="B2">
        <f>Base!B8</f>
        <v>1.84785</v>
      </c>
      <c r="G2" t="s">
        <v>175</v>
      </c>
    </row>
    <row r="3" spans="1:11" ht="12.75">
      <c r="A3" t="s">
        <v>169</v>
      </c>
      <c r="B3">
        <f>PI()/3</f>
        <v>1.0471975511965976</v>
      </c>
      <c r="K3">
        <f>ABS(Rp*SIN(A9))</f>
        <v>0</v>
      </c>
    </row>
    <row r="4" spans="1:2" ht="12.75">
      <c r="A4" t="s">
        <v>167</v>
      </c>
      <c r="B4">
        <f>Rcp*COS(thetac/2)</f>
        <v>1.600285042383075</v>
      </c>
    </row>
    <row r="5" spans="1:2" ht="12.75">
      <c r="A5" t="s">
        <v>184</v>
      </c>
      <c r="B5">
        <f>Base!B11</f>
        <v>1</v>
      </c>
    </row>
    <row r="6" spans="1:2" ht="12.75">
      <c r="A6" t="s">
        <v>183</v>
      </c>
      <c r="B6">
        <f>SQRT((B5/2)^2+(Rct-Rp)^2)</f>
        <v>0.6026121818693744</v>
      </c>
    </row>
    <row r="7" spans="1:23" ht="12.75">
      <c r="A7" t="s">
        <v>186</v>
      </c>
      <c r="B7">
        <f>ASIN(B5/2/dp)</f>
        <v>0.978607711331161</v>
      </c>
      <c r="V7">
        <f>MAX(V9:V129)</f>
        <v>0.016552588325079394</v>
      </c>
      <c r="W7">
        <f>V7/Brp</f>
        <v>2.3712762537211334</v>
      </c>
    </row>
    <row r="8" spans="1:22" ht="12.75">
      <c r="A8" t="s">
        <v>176</v>
      </c>
      <c r="C8" t="s">
        <v>134</v>
      </c>
      <c r="D8" t="s">
        <v>170</v>
      </c>
      <c r="E8" t="s">
        <v>171</v>
      </c>
      <c r="F8" t="s">
        <v>178</v>
      </c>
      <c r="G8" t="s">
        <v>172</v>
      </c>
      <c r="H8" t="s">
        <v>173</v>
      </c>
      <c r="I8" t="s">
        <v>174</v>
      </c>
      <c r="J8" t="s">
        <v>177</v>
      </c>
      <c r="K8" t="s">
        <v>179</v>
      </c>
      <c r="L8" t="s">
        <v>180</v>
      </c>
      <c r="M8" t="s">
        <v>181</v>
      </c>
      <c r="N8" t="s">
        <v>182</v>
      </c>
      <c r="O8" t="s">
        <v>185</v>
      </c>
      <c r="P8">
        <v>0</v>
      </c>
      <c r="Q8">
        <v>60</v>
      </c>
      <c r="R8">
        <v>120</v>
      </c>
      <c r="S8">
        <v>180</v>
      </c>
      <c r="T8">
        <v>240</v>
      </c>
      <c r="U8">
        <v>300</v>
      </c>
      <c r="V8" t="s">
        <v>187</v>
      </c>
    </row>
    <row r="9" spans="1:22" ht="12.75">
      <c r="A9" s="4">
        <v>0</v>
      </c>
      <c r="B9">
        <f>A9*180/PI()</f>
        <v>0</v>
      </c>
      <c r="C9" s="4">
        <f aca="true" t="shared" si="0" ref="C9:C46">Rp*SIN(A9-thetac/2)</f>
        <v>-0.63196</v>
      </c>
      <c r="D9" s="4">
        <f aca="true" t="shared" si="1" ref="D9:D46">Rp*COS(A9-thetac/2)</f>
        <v>1.0945868283512277</v>
      </c>
      <c r="E9" s="4">
        <f>Rcp-D9</f>
        <v>0.7532631716487723</v>
      </c>
      <c r="F9" s="4">
        <f>SQRT(C9^2+E9^2)</f>
        <v>0.983249127821819</v>
      </c>
      <c r="G9" s="4">
        <f>ASIN(C9/F9)+(PI()/2-thetac/2)</f>
        <v>0.3491459799340991</v>
      </c>
      <c r="H9" s="4">
        <f>2*Rcp*SIN(thetac/2)-F9*COS(G9)</f>
        <v>0.9239250000000001</v>
      </c>
      <c r="I9" s="4">
        <f>F9*SIN(G9)</f>
        <v>0.3363650423830751</v>
      </c>
      <c r="J9" s="4">
        <f>SQRT(I9^2+H9^2)</f>
        <v>0.9832491278218192</v>
      </c>
      <c r="K9" s="4">
        <f>PI()/2-ASIN(H9/J9)</f>
        <v>0.349145979934099</v>
      </c>
      <c r="L9">
        <f aca="true" t="shared" si="2" ref="L9:L40">10000*mu0*COS(K9-A9)/2/PI()/J9</f>
        <v>0.001911347155599681</v>
      </c>
      <c r="M9">
        <f aca="true" t="shared" si="3" ref="M9:M40">10000*mu0*COS(G9+A9)/2/PI()/F9</f>
        <v>0.0019113471555996814</v>
      </c>
      <c r="N9">
        <f aca="true" t="shared" si="4" ref="N9:N40">10000*IF(ABS(Rp*SIN(A9))&lt;=Rcp*SIN(thetac/2),2*mu0/2/PI()/dp*COS(PI()/2-delta)*COS(A9),0)</f>
        <v>0.005507495895900653</v>
      </c>
      <c r="O9">
        <f>SUM(L9:N9)</f>
        <v>0.009330190207100016</v>
      </c>
      <c r="P9">
        <f>O9</f>
        <v>0.009330190207100016</v>
      </c>
      <c r="Q9">
        <f aca="true" t="shared" si="5" ref="Q9:Q40">-1*P29</f>
        <v>0.0011739832277085664</v>
      </c>
      <c r="R9">
        <f>O49</f>
        <v>-0.0005333463528906905</v>
      </c>
      <c r="S9">
        <f>-1*O69</f>
        <v>0.005915531045901503</v>
      </c>
      <c r="T9">
        <f>O89</f>
        <v>-0.0005333463528906892</v>
      </c>
      <c r="U9">
        <f aca="true" t="shared" si="6" ref="U9:U29">-1*O109</f>
        <v>0.0011739832277085655</v>
      </c>
      <c r="V9">
        <f>SUM(P9:U9)</f>
        <v>0.016526995002637275</v>
      </c>
    </row>
    <row r="10" spans="1:22" ht="12.75">
      <c r="A10" s="4">
        <f>A9+360/120*PI()/180</f>
        <v>0.05235987755982988</v>
      </c>
      <c r="B10">
        <f aca="true" t="shared" si="7" ref="B10:B73">A10*180/PI()</f>
        <v>3</v>
      </c>
      <c r="C10" s="4">
        <f t="shared" si="0"/>
        <v>-0.5738076724308079</v>
      </c>
      <c r="D10" s="4">
        <f t="shared" si="1"/>
        <v>1.1261609660521619</v>
      </c>
      <c r="E10" s="4">
        <f>Rcp-D10</f>
        <v>0.7216890339478381</v>
      </c>
      <c r="F10" s="4">
        <f>SQRT(C10^2+E10^2)</f>
        <v>0.9220034200918266</v>
      </c>
      <c r="G10" s="4">
        <f>ASIN(C10/F10)+(PI()/2-thetac/2)</f>
        <v>0.3754577426506984</v>
      </c>
      <c r="H10" s="4">
        <f>2*Rcp*SIN(thetac/2)-F10*COS(G10)</f>
        <v>0.9900734618145818</v>
      </c>
      <c r="I10" s="4">
        <f>F10*SIN(G10)</f>
        <v>0.33809720081607425</v>
      </c>
      <c r="J10" s="4">
        <f>SQRT(I10^2+H10^2)</f>
        <v>1.0462099105768283</v>
      </c>
      <c r="K10" s="4">
        <f>PI()/2-ASIN(H10/J10)</f>
        <v>0.3290708032590546</v>
      </c>
      <c r="L10">
        <f t="shared" si="2"/>
        <v>0.0018389410822045225</v>
      </c>
      <c r="M10">
        <f t="shared" si="3"/>
        <v>0.0019736875914719413</v>
      </c>
      <c r="N10">
        <f t="shared" si="4"/>
        <v>0.005499948064185995</v>
      </c>
      <c r="O10">
        <f aca="true" t="shared" si="8" ref="O10:O73">SUM(L10:N10)</f>
        <v>0.009312576737862458</v>
      </c>
      <c r="P10">
        <f aca="true" t="shared" si="9" ref="P10:P73">O10</f>
        <v>0.009312576737862458</v>
      </c>
      <c r="Q10">
        <f t="shared" si="5"/>
        <v>0.0011368333350867817</v>
      </c>
      <c r="R10">
        <f aca="true" t="shared" si="10" ref="R10:R73">O50</f>
        <v>-0.0005192198753853103</v>
      </c>
      <c r="S10">
        <f aca="true" t="shared" si="11" ref="S10:S69">-1*O70</f>
        <v>0.005908247813235964</v>
      </c>
      <c r="T10">
        <f aca="true" t="shared" si="12" ref="T10:T49">O90</f>
        <v>-0.0005486991640037122</v>
      </c>
      <c r="U10">
        <f t="shared" si="6"/>
        <v>0.0011995765501506906</v>
      </c>
      <c r="V10">
        <f aca="true" t="shared" si="13" ref="V10:V73">SUM(P10:U10)</f>
        <v>0.01648931539694687</v>
      </c>
    </row>
    <row r="11" spans="1:22" ht="12.75">
      <c r="A11" s="4">
        <f aca="true" t="shared" si="14" ref="A11:A74">A10+360/120*PI()/180</f>
        <v>0.10471975511965977</v>
      </c>
      <c r="B11">
        <f t="shared" si="7"/>
        <v>6</v>
      </c>
      <c r="C11" s="4">
        <f t="shared" si="0"/>
        <v>-0.5140825779163654</v>
      </c>
      <c r="D11" s="4">
        <f t="shared" si="1"/>
        <v>1.154648374823636</v>
      </c>
      <c r="E11" s="4">
        <f aca="true" t="shared" si="15" ref="E11:E74">Rcp-D11</f>
        <v>0.693201625176364</v>
      </c>
      <c r="F11" s="4">
        <f aca="true" t="shared" si="16" ref="F11:F46">SQRT(C11^2+E11^2)</f>
        <v>0.8630234006469859</v>
      </c>
      <c r="G11" s="4">
        <f aca="true" t="shared" si="17" ref="G11:G46">ASIN(C11/F11)+(PI()/2-thetac/2)</f>
        <v>0.4090901957359341</v>
      </c>
      <c r="H11" s="4">
        <f aca="true" t="shared" si="18" ref="H11:H46">2*Rcp*SIN(thetac/2)-F11*COS(G11)</f>
        <v>1.0560406152932527</v>
      </c>
      <c r="I11" s="4">
        <f aca="true" t="shared" si="19" ref="I11:I46">F11*SIN(G11)</f>
        <v>0.34328892838920716</v>
      </c>
      <c r="J11" s="4">
        <f aca="true" t="shared" si="20" ref="J11:J46">SQRT(I11^2+H11^2)</f>
        <v>1.1104364319957996</v>
      </c>
      <c r="K11" s="4">
        <f aca="true" t="shared" si="21" ref="K11:K46">PI()/2-ASIN(H11/J11)</f>
        <v>0.3142967567423911</v>
      </c>
      <c r="L11">
        <f t="shared" si="2"/>
        <v>0.0017616839239766675</v>
      </c>
      <c r="M11">
        <f t="shared" si="3"/>
        <v>0.002018203089095706</v>
      </c>
      <c r="N11">
        <f t="shared" si="4"/>
        <v>0.005477325257124104</v>
      </c>
      <c r="O11">
        <f t="shared" si="8"/>
        <v>0.009257212270196477</v>
      </c>
      <c r="P11">
        <f t="shared" si="9"/>
        <v>0.009257212270196477</v>
      </c>
      <c r="Q11">
        <f t="shared" si="5"/>
        <v>0.0010934562785094393</v>
      </c>
      <c r="R11">
        <f t="shared" si="10"/>
        <v>-0.0005062347931140964</v>
      </c>
      <c r="S11">
        <f t="shared" si="11"/>
        <v>0.005886420098004372</v>
      </c>
      <c r="T11">
        <f t="shared" si="12"/>
        <v>-0.0005653715523775596</v>
      </c>
      <c r="U11">
        <f t="shared" si="6"/>
        <v>0.0012057295481910108</v>
      </c>
      <c r="V11">
        <f t="shared" si="13"/>
        <v>0.016371211849409643</v>
      </c>
    </row>
    <row r="12" spans="1:22" ht="12.75">
      <c r="A12" s="4">
        <f t="shared" si="14"/>
        <v>0.15707963267948966</v>
      </c>
      <c r="B12">
        <f t="shared" si="7"/>
        <v>9</v>
      </c>
      <c r="C12" s="4">
        <f t="shared" si="0"/>
        <v>-0.4529484187892958</v>
      </c>
      <c r="D12" s="4">
        <f t="shared" si="1"/>
        <v>1.1799709726583432</v>
      </c>
      <c r="E12" s="4">
        <f t="shared" si="15"/>
        <v>0.6678790273416568</v>
      </c>
      <c r="F12" s="4">
        <f t="shared" si="16"/>
        <v>0.8069849225645798</v>
      </c>
      <c r="G12" s="4">
        <f t="shared" si="17"/>
        <v>0.4512600969881366</v>
      </c>
      <c r="H12" s="4">
        <f t="shared" si="18"/>
        <v>1.1216456490536486</v>
      </c>
      <c r="I12" s="4">
        <f t="shared" si="19"/>
        <v>0.3519259949380685</v>
      </c>
      <c r="J12" s="4">
        <f t="shared" si="20"/>
        <v>1.1755598104537812</v>
      </c>
      <c r="K12" s="4">
        <f t="shared" si="21"/>
        <v>0.30403110349553475</v>
      </c>
      <c r="L12">
        <f t="shared" si="2"/>
        <v>0.0016829803815311167</v>
      </c>
      <c r="M12">
        <f t="shared" si="3"/>
        <v>0.0020337381272761313</v>
      </c>
      <c r="N12">
        <f t="shared" si="4"/>
        <v>0.005439689482256648</v>
      </c>
      <c r="O12">
        <f t="shared" si="8"/>
        <v>0.009156407991063896</v>
      </c>
      <c r="P12">
        <f t="shared" si="9"/>
        <v>0.009156407991063896</v>
      </c>
      <c r="Q12">
        <f t="shared" si="5"/>
        <v>0.0010473626541806932</v>
      </c>
      <c r="R12">
        <f t="shared" si="10"/>
        <v>-0.000494313991604571</v>
      </c>
      <c r="S12">
        <f t="shared" si="11"/>
        <v>0.005850113803730309</v>
      </c>
      <c r="T12">
        <f t="shared" si="12"/>
        <v>-0.0005834654563083146</v>
      </c>
      <c r="U12">
        <f t="shared" si="6"/>
        <v>0.0011811520852400051</v>
      </c>
      <c r="V12">
        <f t="shared" si="13"/>
        <v>0.01615725708630202</v>
      </c>
    </row>
    <row r="13" spans="1:22" ht="12.75">
      <c r="A13" s="4">
        <f t="shared" si="14"/>
        <v>0.20943951023931953</v>
      </c>
      <c r="B13">
        <f t="shared" si="7"/>
        <v>12</v>
      </c>
      <c r="C13" s="4">
        <f t="shared" si="0"/>
        <v>-0.39057275953038356</v>
      </c>
      <c r="D13" s="4">
        <f t="shared" si="1"/>
        <v>1.2020593520757703</v>
      </c>
      <c r="E13" s="4">
        <f t="shared" si="15"/>
        <v>0.6457906479242297</v>
      </c>
      <c r="F13" s="4">
        <f t="shared" si="16"/>
        <v>0.7547136155082769</v>
      </c>
      <c r="G13" s="4">
        <f t="shared" si="17"/>
        <v>0.5032577268527765</v>
      </c>
      <c r="H13" s="4">
        <f t="shared" si="18"/>
        <v>1.1867087442583824</v>
      </c>
      <c r="I13" s="4">
        <f t="shared" si="19"/>
        <v>0.3639847268636035</v>
      </c>
      <c r="J13" s="4">
        <f t="shared" si="20"/>
        <v>1.2412745566913383</v>
      </c>
      <c r="K13" s="4">
        <f t="shared" si="21"/>
        <v>0.29760848628814496</v>
      </c>
      <c r="L13">
        <f t="shared" si="2"/>
        <v>0.0016049884012963914</v>
      </c>
      <c r="M13">
        <f t="shared" si="3"/>
        <v>0.0020050015099162322</v>
      </c>
      <c r="N13">
        <f t="shared" si="4"/>
        <v>0.005387143896626506</v>
      </c>
      <c r="O13">
        <f t="shared" si="8"/>
        <v>0.00899713380783913</v>
      </c>
      <c r="P13">
        <f t="shared" si="9"/>
        <v>0.00899713380783913</v>
      </c>
      <c r="Q13">
        <f t="shared" si="5"/>
        <v>0.0010008080180542913</v>
      </c>
      <c r="R13">
        <f t="shared" si="10"/>
        <v>-0.00048338765867752593</v>
      </c>
      <c r="S13">
        <f t="shared" si="11"/>
        <v>0.005799438620673216</v>
      </c>
      <c r="T13">
        <f t="shared" si="12"/>
        <v>-0.0006030917271812762</v>
      </c>
      <c r="U13">
        <f t="shared" si="6"/>
        <v>0.0011104077832528169</v>
      </c>
      <c r="V13">
        <f t="shared" si="13"/>
        <v>0.01582130884396065</v>
      </c>
    </row>
    <row r="14" spans="1:22" ht="12.75">
      <c r="A14" s="4">
        <f t="shared" si="14"/>
        <v>0.2617993877991494</v>
      </c>
      <c r="B14">
        <f t="shared" si="7"/>
        <v>14.999999999999998</v>
      </c>
      <c r="C14" s="4">
        <f t="shared" si="0"/>
        <v>-0.327126567485978</v>
      </c>
      <c r="D14" s="4">
        <f t="shared" si="1"/>
        <v>1.220852970363279</v>
      </c>
      <c r="E14" s="4">
        <f t="shared" si="15"/>
        <v>0.6269970296367209</v>
      </c>
      <c r="F14" s="4">
        <f t="shared" si="16"/>
        <v>0.7072036950754919</v>
      </c>
      <c r="G14" s="4">
        <f t="shared" si="17"/>
        <v>0.5663131763841416</v>
      </c>
      <c r="H14" s="4">
        <f t="shared" si="18"/>
        <v>1.2510515674859781</v>
      </c>
      <c r="I14" s="4">
        <f t="shared" si="19"/>
        <v>0.379432072019796</v>
      </c>
      <c r="J14" s="4">
        <f t="shared" si="20"/>
        <v>1.3073250253040973</v>
      </c>
      <c r="K14" s="4">
        <f t="shared" si="21"/>
        <v>0.2944728733309969</v>
      </c>
      <c r="L14">
        <f t="shared" si="2"/>
        <v>0.0015290249170040555</v>
      </c>
      <c r="M14">
        <f t="shared" si="3"/>
        <v>0.0019125108083016217</v>
      </c>
      <c r="N14">
        <f t="shared" si="4"/>
        <v>0.005319832524031491</v>
      </c>
      <c r="O14">
        <f t="shared" si="8"/>
        <v>0.008761368249337168</v>
      </c>
      <c r="P14">
        <f t="shared" si="9"/>
        <v>0.008761368249337168</v>
      </c>
      <c r="Q14">
        <f t="shared" si="5"/>
        <v>0.0009551992970659918</v>
      </c>
      <c r="R14">
        <f t="shared" si="10"/>
        <v>-0.004367780451405109</v>
      </c>
      <c r="S14">
        <f t="shared" si="11"/>
        <v>0.0057345478034289375</v>
      </c>
      <c r="T14">
        <f t="shared" si="12"/>
        <v>-0.0006243700580361218</v>
      </c>
      <c r="U14">
        <f t="shared" si="6"/>
        <v>-0.002920529360599013</v>
      </c>
      <c r="V14">
        <f t="shared" si="13"/>
        <v>0.0075384354797918525</v>
      </c>
    </row>
    <row r="15" spans="1:22" ht="12.75">
      <c r="A15" s="4">
        <f t="shared" si="14"/>
        <v>0.3141592653589793</v>
      </c>
      <c r="B15">
        <f t="shared" si="7"/>
        <v>18</v>
      </c>
      <c r="C15" s="4">
        <f t="shared" si="0"/>
        <v>-0.26278374425838236</v>
      </c>
      <c r="D15" s="4">
        <f t="shared" si="1"/>
        <v>1.2363003155194716</v>
      </c>
      <c r="E15" s="4">
        <f t="shared" si="15"/>
        <v>0.6115496844805284</v>
      </c>
      <c r="F15" s="4">
        <f t="shared" si="16"/>
        <v>0.665618744353469</v>
      </c>
      <c r="G15" s="4">
        <f t="shared" si="17"/>
        <v>0.6413515402152836</v>
      </c>
      <c r="H15" s="4">
        <f t="shared" si="18"/>
        <v>1.3144977595303837</v>
      </c>
      <c r="I15" s="4">
        <f t="shared" si="19"/>
        <v>0.39822569030730454</v>
      </c>
      <c r="J15" s="4">
        <f t="shared" si="20"/>
        <v>1.3734948344391862</v>
      </c>
      <c r="K15" s="4">
        <f t="shared" si="21"/>
        <v>0.2941600346159521</v>
      </c>
      <c r="L15">
        <f t="shared" si="2"/>
        <v>0.0014558482449023925</v>
      </c>
      <c r="M15">
        <f t="shared" si="3"/>
        <v>0.0017343012341904406</v>
      </c>
      <c r="N15">
        <f t="shared" si="4"/>
        <v>0.005237939860265131</v>
      </c>
      <c r="O15">
        <f t="shared" si="8"/>
        <v>0.008428089339357965</v>
      </c>
      <c r="P15">
        <f t="shared" si="9"/>
        <v>0.008428089339357965</v>
      </c>
      <c r="Q15">
        <f t="shared" si="5"/>
        <v>0.0009113778322217891</v>
      </c>
      <c r="R15">
        <f t="shared" si="10"/>
        <v>-0.0045571395816419134</v>
      </c>
      <c r="S15">
        <f t="shared" si="11"/>
        <v>0.0056556378616070225</v>
      </c>
      <c r="T15">
        <f t="shared" si="12"/>
        <v>-0.0006474284440577836</v>
      </c>
      <c r="U15">
        <f t="shared" si="6"/>
        <v>-0.0033434943801705745</v>
      </c>
      <c r="V15">
        <f t="shared" si="13"/>
        <v>0.006447042627316506</v>
      </c>
    </row>
    <row r="16" spans="1:22" ht="12.75">
      <c r="A16" s="4">
        <f t="shared" si="14"/>
        <v>0.3665191429188092</v>
      </c>
      <c r="B16">
        <f t="shared" si="7"/>
        <v>21</v>
      </c>
      <c r="C16" s="4">
        <f t="shared" si="0"/>
        <v>-0.19772064905364853</v>
      </c>
      <c r="D16" s="4">
        <f t="shared" si="1"/>
        <v>1.2483590474450064</v>
      </c>
      <c r="E16" s="4">
        <f t="shared" si="15"/>
        <v>0.5994909525549936</v>
      </c>
      <c r="F16" s="4">
        <f t="shared" si="16"/>
        <v>0.6312549859268358</v>
      </c>
      <c r="G16" s="4">
        <f t="shared" si="17"/>
        <v>0.7286175231872241</v>
      </c>
      <c r="H16" s="4">
        <f t="shared" si="18"/>
        <v>1.376873418789296</v>
      </c>
      <c r="I16" s="4">
        <f t="shared" si="19"/>
        <v>0.42031406972473195</v>
      </c>
      <c r="J16" s="4">
        <f t="shared" si="20"/>
        <v>1.4395986692745624</v>
      </c>
      <c r="K16" s="4">
        <f t="shared" si="21"/>
        <v>0.29628190688632583</v>
      </c>
      <c r="L16">
        <f t="shared" si="2"/>
        <v>0.0013858506547813844</v>
      </c>
      <c r="M16">
        <f t="shared" si="3"/>
        <v>0.0014508399594103608</v>
      </c>
      <c r="N16">
        <f t="shared" si="4"/>
        <v>0.005141690367426521</v>
      </c>
      <c r="O16">
        <f t="shared" si="8"/>
        <v>0.007978380981618266</v>
      </c>
      <c r="P16">
        <f t="shared" si="9"/>
        <v>0.007978380981618266</v>
      </c>
      <c r="Q16">
        <f t="shared" si="5"/>
        <v>0.0008698125641222063</v>
      </c>
      <c r="R16">
        <f t="shared" si="10"/>
        <v>-0.004736104093804795</v>
      </c>
      <c r="S16">
        <f t="shared" si="11"/>
        <v>0.00556294816561034</v>
      </c>
      <c r="T16">
        <f t="shared" si="12"/>
        <v>-0.0006724019091059268</v>
      </c>
      <c r="U16">
        <f t="shared" si="6"/>
        <v>-0.0038628857510250416</v>
      </c>
      <c r="V16">
        <f t="shared" si="13"/>
        <v>0.00513974995741505</v>
      </c>
    </row>
    <row r="17" spans="1:22" ht="12.75">
      <c r="A17" s="4">
        <f t="shared" si="14"/>
        <v>0.4188790204786391</v>
      </c>
      <c r="B17">
        <f t="shared" si="7"/>
        <v>24</v>
      </c>
      <c r="C17" s="4">
        <f t="shared" si="0"/>
        <v>-0.13211561529325247</v>
      </c>
      <c r="D17" s="4">
        <f t="shared" si="1"/>
        <v>1.2569961139938681</v>
      </c>
      <c r="E17" s="4">
        <f t="shared" si="15"/>
        <v>0.5908538860061319</v>
      </c>
      <c r="F17" s="4">
        <f t="shared" si="16"/>
        <v>0.605444341300554</v>
      </c>
      <c r="G17" s="4">
        <f t="shared" si="17"/>
        <v>0.8272149414946628</v>
      </c>
      <c r="H17" s="4">
        <f t="shared" si="18"/>
        <v>1.4380075779163655</v>
      </c>
      <c r="I17" s="4">
        <f t="shared" si="19"/>
        <v>0.44563666755943876</v>
      </c>
      <c r="J17" s="4">
        <f t="shared" si="20"/>
        <v>1.505475949199579</v>
      </c>
      <c r="K17" s="4">
        <f t="shared" si="21"/>
        <v>0.30051324156974113</v>
      </c>
      <c r="L17">
        <f t="shared" si="2"/>
        <v>0.0013191880571359134</v>
      </c>
      <c r="M17">
        <f t="shared" si="3"/>
        <v>0.0010538597712866106</v>
      </c>
      <c r="N17">
        <f t="shared" si="4"/>
        <v>0.005031347858685308</v>
      </c>
      <c r="O17">
        <f t="shared" si="8"/>
        <v>0.007404395687107832</v>
      </c>
      <c r="P17">
        <f t="shared" si="9"/>
        <v>0.007404395687107832</v>
      </c>
      <c r="Q17">
        <f t="shared" si="5"/>
        <v>0.0008307302952098174</v>
      </c>
      <c r="R17">
        <f t="shared" si="10"/>
        <v>-0.004904115032377894</v>
      </c>
      <c r="S17">
        <f t="shared" si="11"/>
        <v>0.005456760470102348</v>
      </c>
      <c r="T17">
        <f t="shared" si="12"/>
        <v>-0.0006994301022855357</v>
      </c>
      <c r="U17">
        <f t="shared" si="6"/>
        <v>-0.004486640212867809</v>
      </c>
      <c r="V17">
        <f t="shared" si="13"/>
        <v>0.003601701104888757</v>
      </c>
    </row>
    <row r="18" spans="1:22" ht="12.75">
      <c r="A18" s="4">
        <f t="shared" si="14"/>
        <v>0.471238898038469</v>
      </c>
      <c r="B18">
        <f t="shared" si="7"/>
        <v>27.000000000000004</v>
      </c>
      <c r="C18" s="4">
        <f t="shared" si="0"/>
        <v>-0.06614846181458145</v>
      </c>
      <c r="D18" s="4">
        <f t="shared" si="1"/>
        <v>1.262187841567001</v>
      </c>
      <c r="E18" s="4">
        <f t="shared" si="15"/>
        <v>0.5856621584329991</v>
      </c>
      <c r="F18" s="4">
        <f t="shared" si="16"/>
        <v>0.5893859370742014</v>
      </c>
      <c r="G18" s="4">
        <f t="shared" si="17"/>
        <v>0.9347277402255343</v>
      </c>
      <c r="H18" s="4">
        <f t="shared" si="18"/>
        <v>1.497732672430808</v>
      </c>
      <c r="I18" s="4">
        <f t="shared" si="19"/>
        <v>0.47412407633091325</v>
      </c>
      <c r="J18" s="4">
        <f t="shared" si="20"/>
        <v>1.57098593177131</v>
      </c>
      <c r="K18" s="4">
        <f t="shared" si="21"/>
        <v>0.3065804766368645</v>
      </c>
      <c r="L18">
        <f t="shared" si="2"/>
        <v>0.001255866628631552</v>
      </c>
      <c r="M18">
        <f t="shared" si="3"/>
        <v>0.0005567975749961999</v>
      </c>
      <c r="N18">
        <f t="shared" si="4"/>
        <v>0.004907214775188143</v>
      </c>
      <c r="O18">
        <f t="shared" si="8"/>
        <v>0.006719878978815895</v>
      </c>
      <c r="P18">
        <f t="shared" si="9"/>
        <v>0.006719878978815895</v>
      </c>
      <c r="Q18">
        <f t="shared" si="5"/>
        <v>0.0007942028484540782</v>
      </c>
      <c r="R18">
        <f t="shared" si="10"/>
        <v>-0.0050606505020913605</v>
      </c>
      <c r="S18">
        <f t="shared" si="11"/>
        <v>0.0053373983582863166</v>
      </c>
      <c r="T18">
        <f t="shared" si="12"/>
        <v>-0.0007286531750536841</v>
      </c>
      <c r="U18">
        <f t="shared" si="6"/>
        <v>-0.005201025905069601</v>
      </c>
      <c r="V18">
        <f t="shared" si="13"/>
        <v>0.0018611506033416447</v>
      </c>
    </row>
    <row r="19" spans="1:22" ht="12.75">
      <c r="A19" s="4">
        <f t="shared" si="14"/>
        <v>0.5235987755982989</v>
      </c>
      <c r="B19">
        <f t="shared" si="7"/>
        <v>30.000000000000004</v>
      </c>
      <c r="C19" s="4">
        <f t="shared" si="0"/>
        <v>1.4032330852842278E-16</v>
      </c>
      <c r="D19" s="4">
        <f t="shared" si="1"/>
        <v>1.26392</v>
      </c>
      <c r="E19" s="4">
        <f t="shared" si="15"/>
        <v>0.5839300000000001</v>
      </c>
      <c r="F19" s="4">
        <f t="shared" si="16"/>
        <v>0.5839300000000001</v>
      </c>
      <c r="G19" s="4">
        <f t="shared" si="17"/>
        <v>1.047197551196598</v>
      </c>
      <c r="H19" s="4">
        <f t="shared" si="18"/>
        <v>1.5558850000000002</v>
      </c>
      <c r="I19" s="4">
        <f t="shared" si="19"/>
        <v>0.5056982140318474</v>
      </c>
      <c r="J19" s="4">
        <f t="shared" si="20"/>
        <v>1.6360039171407876</v>
      </c>
      <c r="K19" s="4">
        <f t="shared" si="21"/>
        <v>0.3142525875322131</v>
      </c>
      <c r="L19">
        <f t="shared" si="2"/>
        <v>0.0011958003144085026</v>
      </c>
      <c r="M19">
        <f t="shared" si="3"/>
        <v>-1.3113108416854587E-18</v>
      </c>
      <c r="N19">
        <f t="shared" si="4"/>
        <v>0.004769631357088502</v>
      </c>
      <c r="O19">
        <f t="shared" si="8"/>
        <v>0.005965431671497003</v>
      </c>
      <c r="P19">
        <f t="shared" si="9"/>
        <v>0.005965431671497003</v>
      </c>
      <c r="Q19">
        <f t="shared" si="5"/>
        <v>0.0007602050608708161</v>
      </c>
      <c r="R19">
        <f t="shared" si="10"/>
        <v>-0.005205226610626186</v>
      </c>
      <c r="S19">
        <f t="shared" si="11"/>
        <v>0.005205226610626199</v>
      </c>
      <c r="T19">
        <f t="shared" si="12"/>
        <v>-0.0007602050608708157</v>
      </c>
      <c r="U19">
        <f t="shared" si="6"/>
        <v>-0.005965431671497072</v>
      </c>
      <c r="V19">
        <f t="shared" si="13"/>
        <v>-5.551115123125783E-17</v>
      </c>
    </row>
    <row r="20" spans="1:22" ht="12.75">
      <c r="A20" s="4">
        <f t="shared" si="14"/>
        <v>0.5759586531581288</v>
      </c>
      <c r="B20">
        <f t="shared" si="7"/>
        <v>33</v>
      </c>
      <c r="C20" s="4">
        <f t="shared" si="0"/>
        <v>0.06614846181458166</v>
      </c>
      <c r="D20" s="4">
        <f t="shared" si="1"/>
        <v>1.262187841567001</v>
      </c>
      <c r="E20" s="4">
        <f t="shared" si="15"/>
        <v>0.5856621584329991</v>
      </c>
      <c r="F20" s="4">
        <f t="shared" si="16"/>
        <v>0.5893859370742014</v>
      </c>
      <c r="G20" s="4">
        <f t="shared" si="17"/>
        <v>1.1596673621676619</v>
      </c>
      <c r="H20" s="4">
        <f t="shared" si="18"/>
        <v>1.6123051691361932</v>
      </c>
      <c r="I20" s="4">
        <f t="shared" si="19"/>
        <v>0.5402725381454948</v>
      </c>
      <c r="J20" s="4">
        <f t="shared" si="20"/>
        <v>1.7004182938022818</v>
      </c>
      <c r="K20" s="4">
        <f t="shared" si="21"/>
        <v>0.32333361939589</v>
      </c>
      <c r="L20">
        <f t="shared" si="2"/>
        <v>0.001138848769093645</v>
      </c>
      <c r="M20">
        <f t="shared" si="3"/>
        <v>-0.0005567975749962024</v>
      </c>
      <c r="N20">
        <f t="shared" si="4"/>
        <v>0.004618974710972093</v>
      </c>
      <c r="O20">
        <f t="shared" si="8"/>
        <v>0.0052010259050695356</v>
      </c>
      <c r="P20">
        <f t="shared" si="9"/>
        <v>0.0052010259050695356</v>
      </c>
      <c r="Q20">
        <f t="shared" si="5"/>
        <v>0.0007286531750536849</v>
      </c>
      <c r="R20">
        <f t="shared" si="10"/>
        <v>-0.005337398358286305</v>
      </c>
      <c r="S20">
        <f t="shared" si="11"/>
        <v>0.0050606505020913736</v>
      </c>
      <c r="T20">
        <f t="shared" si="12"/>
        <v>-0.0007942028484540774</v>
      </c>
      <c r="U20">
        <f t="shared" si="6"/>
        <v>-0.006719878978815963</v>
      </c>
      <c r="V20">
        <f t="shared" si="13"/>
        <v>-0.0018611506033417513</v>
      </c>
    </row>
    <row r="21" spans="1:22" ht="12.75">
      <c r="A21" s="4">
        <f t="shared" si="14"/>
        <v>0.6283185307179586</v>
      </c>
      <c r="B21">
        <f t="shared" si="7"/>
        <v>36</v>
      </c>
      <c r="C21" s="4">
        <f t="shared" si="0"/>
        <v>0.1321156152932526</v>
      </c>
      <c r="D21" s="4">
        <f t="shared" si="1"/>
        <v>1.256996113993868</v>
      </c>
      <c r="E21" s="4">
        <f t="shared" si="15"/>
        <v>0.5908538860061321</v>
      </c>
      <c r="F21" s="4">
        <f t="shared" si="16"/>
        <v>0.6054443413005542</v>
      </c>
      <c r="G21" s="4">
        <f t="shared" si="17"/>
        <v>1.267180160898533</v>
      </c>
      <c r="H21" s="4">
        <f t="shared" si="18"/>
        <v>1.6668385360775027</v>
      </c>
      <c r="I21" s="4">
        <f t="shared" si="19"/>
        <v>0.5777522828526915</v>
      </c>
      <c r="J21" s="4">
        <f t="shared" si="20"/>
        <v>1.7641282282460333</v>
      </c>
      <c r="K21" s="4">
        <f t="shared" si="21"/>
        <v>0.3336566111493273</v>
      </c>
      <c r="L21">
        <f t="shared" si="2"/>
        <v>0.0010848422079204638</v>
      </c>
      <c r="M21">
        <f t="shared" si="3"/>
        <v>-0.001053859771286611</v>
      </c>
      <c r="N21">
        <f t="shared" si="4"/>
        <v>0.004455657776233905</v>
      </c>
      <c r="O21">
        <f t="shared" si="8"/>
        <v>0.004486640212867758</v>
      </c>
      <c r="P21">
        <f t="shared" si="9"/>
        <v>0.004486640212867758</v>
      </c>
      <c r="Q21">
        <f t="shared" si="5"/>
        <v>0.0006994301022855366</v>
      </c>
      <c r="R21">
        <f t="shared" si="10"/>
        <v>-0.005456760470102338</v>
      </c>
      <c r="S21">
        <f t="shared" si="11"/>
        <v>0.004904115032377908</v>
      </c>
      <c r="T21">
        <f t="shared" si="12"/>
        <v>-0.0008307302952098166</v>
      </c>
      <c r="U21">
        <f t="shared" si="6"/>
        <v>-0.007404395687107896</v>
      </c>
      <c r="V21">
        <f t="shared" si="13"/>
        <v>-0.0036017011048888473</v>
      </c>
    </row>
    <row r="22" spans="1:22" ht="12.75">
      <c r="A22" s="4">
        <f t="shared" si="14"/>
        <v>0.6806784082777885</v>
      </c>
      <c r="B22">
        <f t="shared" si="7"/>
        <v>39</v>
      </c>
      <c r="C22" s="4">
        <f t="shared" si="0"/>
        <v>0.19772064905364858</v>
      </c>
      <c r="D22" s="4">
        <f t="shared" si="1"/>
        <v>1.2483590474450064</v>
      </c>
      <c r="E22" s="4">
        <f t="shared" si="15"/>
        <v>0.5994909525549936</v>
      </c>
      <c r="F22" s="4">
        <f t="shared" si="16"/>
        <v>0.6312549859268358</v>
      </c>
      <c r="G22" s="4">
        <f t="shared" si="17"/>
        <v>1.3657775792059719</v>
      </c>
      <c r="H22" s="4">
        <f t="shared" si="18"/>
        <v>1.7193356286557107</v>
      </c>
      <c r="I22" s="4">
        <f t="shared" si="19"/>
        <v>0.6180347187783805</v>
      </c>
      <c r="J22" s="4">
        <f t="shared" si="20"/>
        <v>1.827041848885898</v>
      </c>
      <c r="K22" s="4">
        <f t="shared" si="21"/>
        <v>0.34507865502152346</v>
      </c>
      <c r="L22">
        <f t="shared" si="2"/>
        <v>0.0010335975171953246</v>
      </c>
      <c r="M22">
        <f t="shared" si="3"/>
        <v>-0.0014508399594103623</v>
      </c>
      <c r="N22">
        <f t="shared" si="4"/>
        <v>0.0042801281932400344</v>
      </c>
      <c r="O22">
        <f t="shared" si="8"/>
        <v>0.0038628857510249965</v>
      </c>
      <c r="P22">
        <f t="shared" si="9"/>
        <v>0.0038628857510249965</v>
      </c>
      <c r="Q22">
        <f t="shared" si="5"/>
        <v>0.0006724019091059278</v>
      </c>
      <c r="R22">
        <f t="shared" si="10"/>
        <v>-0.005562948165610331</v>
      </c>
      <c r="S22">
        <f t="shared" si="11"/>
        <v>0.004736104093804812</v>
      </c>
      <c r="T22">
        <f t="shared" si="12"/>
        <v>-0.0008698125641222053</v>
      </c>
      <c r="U22">
        <f t="shared" si="6"/>
        <v>-0.007978380981618322</v>
      </c>
      <c r="V22">
        <f t="shared" si="13"/>
        <v>-0.005139749957415122</v>
      </c>
    </row>
    <row r="23" spans="1:22" ht="12.75">
      <c r="A23" s="4">
        <f t="shared" si="14"/>
        <v>0.7330382858376183</v>
      </c>
      <c r="B23">
        <f t="shared" si="7"/>
        <v>41.99999999999999</v>
      </c>
      <c r="C23" s="4">
        <f t="shared" si="0"/>
        <v>0.26278374425838236</v>
      </c>
      <c r="D23" s="4">
        <f t="shared" si="1"/>
        <v>1.2363003155194716</v>
      </c>
      <c r="E23" s="4">
        <f t="shared" si="15"/>
        <v>0.6115496844805284</v>
      </c>
      <c r="F23" s="4">
        <f t="shared" si="16"/>
        <v>0.665618744353469</v>
      </c>
      <c r="G23" s="4">
        <f t="shared" si="17"/>
        <v>1.453043562177912</v>
      </c>
      <c r="H23" s="4">
        <f t="shared" si="18"/>
        <v>1.769652555989088</v>
      </c>
      <c r="I23" s="4">
        <f t="shared" si="19"/>
        <v>0.6610094345656868</v>
      </c>
      <c r="J23" s="4">
        <f t="shared" si="20"/>
        <v>1.8890748109864686</v>
      </c>
      <c r="K23" s="4">
        <f t="shared" si="21"/>
        <v>0.3574768748581518</v>
      </c>
      <c r="L23">
        <f t="shared" si="2"/>
        <v>0.0009849285379844254</v>
      </c>
      <c r="M23">
        <f t="shared" si="3"/>
        <v>-0.0017343012341904413</v>
      </c>
      <c r="N23">
        <f t="shared" si="4"/>
        <v>0.004092867076376557</v>
      </c>
      <c r="O23">
        <f t="shared" si="8"/>
        <v>0.003343494380170541</v>
      </c>
      <c r="P23">
        <f t="shared" si="9"/>
        <v>0.003343494380170541</v>
      </c>
      <c r="Q23">
        <f t="shared" si="5"/>
        <v>0.0006474284440577843</v>
      </c>
      <c r="R23">
        <f t="shared" si="10"/>
        <v>-0.005655637861607015</v>
      </c>
      <c r="S23">
        <f t="shared" si="11"/>
        <v>0.00455713958164193</v>
      </c>
      <c r="T23">
        <f t="shared" si="12"/>
        <v>-0.0009113778322217881</v>
      </c>
      <c r="U23">
        <f t="shared" si="6"/>
        <v>-0.008428089339358008</v>
      </c>
      <c r="V23">
        <f t="shared" si="13"/>
        <v>-0.006447042627316556</v>
      </c>
    </row>
    <row r="24" spans="1:22" ht="12.75">
      <c r="A24" s="4">
        <f t="shared" si="14"/>
        <v>0.7853981633974482</v>
      </c>
      <c r="B24">
        <f t="shared" si="7"/>
        <v>44.99999999999999</v>
      </c>
      <c r="C24" s="4">
        <f t="shared" si="0"/>
        <v>0.3271265674859779</v>
      </c>
      <c r="D24" s="4">
        <f t="shared" si="1"/>
        <v>1.220852970363279</v>
      </c>
      <c r="E24" s="4">
        <f t="shared" si="15"/>
        <v>0.6269970296367209</v>
      </c>
      <c r="F24" s="4">
        <f t="shared" si="16"/>
        <v>0.7072036950754917</v>
      </c>
      <c r="G24" s="4">
        <f t="shared" si="17"/>
        <v>1.5280819260090541</v>
      </c>
      <c r="H24" s="4">
        <f t="shared" si="18"/>
        <v>1.817651402877301</v>
      </c>
      <c r="I24" s="4">
        <f t="shared" si="19"/>
        <v>0.7065586395057738</v>
      </c>
      <c r="J24" s="4">
        <f t="shared" si="20"/>
        <v>1.9501491567164986</v>
      </c>
      <c r="K24" s="4">
        <f t="shared" si="21"/>
        <v>0.3707451449555561</v>
      </c>
      <c r="L24">
        <f t="shared" si="2"/>
        <v>0.0009386524735521796</v>
      </c>
      <c r="M24">
        <f t="shared" si="3"/>
        <v>-0.001912510808301622</v>
      </c>
      <c r="N24">
        <f t="shared" si="4"/>
        <v>0.0038943876953484325</v>
      </c>
      <c r="O24">
        <f t="shared" si="8"/>
        <v>0.00292052936059899</v>
      </c>
      <c r="P24">
        <f t="shared" si="9"/>
        <v>0.00292052936059899</v>
      </c>
      <c r="Q24">
        <f t="shared" si="5"/>
        <v>0.0006243700580361231</v>
      </c>
      <c r="R24">
        <f t="shared" si="10"/>
        <v>-0.0057345478034289315</v>
      </c>
      <c r="S24">
        <f t="shared" si="11"/>
        <v>0.004367780451405128</v>
      </c>
      <c r="T24">
        <f t="shared" si="12"/>
        <v>-0.0009551992970659916</v>
      </c>
      <c r="U24">
        <f t="shared" si="6"/>
        <v>-0.0087613682493372</v>
      </c>
      <c r="V24">
        <f t="shared" si="13"/>
        <v>-0.007538435479791883</v>
      </c>
    </row>
    <row r="25" spans="1:22" ht="12.75">
      <c r="A25" s="4">
        <f t="shared" si="14"/>
        <v>0.837758040957278</v>
      </c>
      <c r="B25">
        <f t="shared" si="7"/>
        <v>47.99999999999999</v>
      </c>
      <c r="C25" s="4">
        <f t="shared" si="0"/>
        <v>0.3905727595303834</v>
      </c>
      <c r="D25" s="4">
        <f t="shared" si="1"/>
        <v>1.2020593520757705</v>
      </c>
      <c r="E25" s="4">
        <f t="shared" si="15"/>
        <v>0.6457906479242295</v>
      </c>
      <c r="F25" s="4">
        <f t="shared" si="16"/>
        <v>0.7547136155082766</v>
      </c>
      <c r="G25" s="4">
        <f t="shared" si="17"/>
        <v>1.5911373755404192</v>
      </c>
      <c r="H25" s="4">
        <f t="shared" si="18"/>
        <v>1.8632006078173882</v>
      </c>
      <c r="I25" s="4">
        <f t="shared" si="19"/>
        <v>0.7545574863939868</v>
      </c>
      <c r="J25" s="4">
        <f t="shared" si="20"/>
        <v>2.0101924050309954</v>
      </c>
      <c r="K25" s="4">
        <f t="shared" si="21"/>
        <v>0.3847914049871326</v>
      </c>
      <c r="L25">
        <f t="shared" si="2"/>
        <v>0.0008945937266634086</v>
      </c>
      <c r="M25">
        <f t="shared" si="3"/>
        <v>-0.002005001509916233</v>
      </c>
      <c r="N25">
        <f t="shared" si="4"/>
        <v>0</v>
      </c>
      <c r="O25">
        <f t="shared" si="8"/>
        <v>-0.0011104077832528245</v>
      </c>
      <c r="P25">
        <f t="shared" si="9"/>
        <v>-0.0011104077832528245</v>
      </c>
      <c r="Q25">
        <f t="shared" si="5"/>
        <v>0.0006030917271812768</v>
      </c>
      <c r="R25">
        <f t="shared" si="10"/>
        <v>-0.005799438620673209</v>
      </c>
      <c r="S25">
        <f t="shared" si="11"/>
        <v>0.000483387658677525</v>
      </c>
      <c r="T25">
        <f t="shared" si="12"/>
        <v>-0.0010008080180542909</v>
      </c>
      <c r="U25">
        <f t="shared" si="6"/>
        <v>-0.008997133807839154</v>
      </c>
      <c r="V25">
        <f t="shared" si="13"/>
        <v>-0.01582130884396068</v>
      </c>
    </row>
    <row r="26" spans="1:22" ht="12.75">
      <c r="A26" s="4">
        <f t="shared" si="14"/>
        <v>0.8901179185171079</v>
      </c>
      <c r="B26">
        <f t="shared" si="7"/>
        <v>50.99999999999999</v>
      </c>
      <c r="C26" s="4">
        <f t="shared" si="0"/>
        <v>0.45294841878929576</v>
      </c>
      <c r="D26" s="4">
        <f t="shared" si="1"/>
        <v>1.1799709726583434</v>
      </c>
      <c r="E26" s="4">
        <f t="shared" si="15"/>
        <v>0.6678790273416566</v>
      </c>
      <c r="F26" s="4">
        <f t="shared" si="16"/>
        <v>0.8069849225645795</v>
      </c>
      <c r="G26" s="4">
        <f t="shared" si="17"/>
        <v>1.643135005405059</v>
      </c>
      <c r="H26" s="4">
        <f t="shared" si="18"/>
        <v>1.9061753236046948</v>
      </c>
      <c r="I26" s="4">
        <f t="shared" si="19"/>
        <v>0.8048744137273641</v>
      </c>
      <c r="J26" s="4">
        <f t="shared" si="20"/>
        <v>2.0691368215254475</v>
      </c>
      <c r="K26" s="4">
        <f t="shared" si="21"/>
        <v>0.39953545500850773</v>
      </c>
      <c r="L26">
        <f t="shared" si="2"/>
        <v>0.0008525860420361219</v>
      </c>
      <c r="M26">
        <f t="shared" si="3"/>
        <v>-0.0020337381272761317</v>
      </c>
      <c r="N26">
        <f t="shared" si="4"/>
        <v>0</v>
      </c>
      <c r="O26">
        <f t="shared" si="8"/>
        <v>-0.00118115208524001</v>
      </c>
      <c r="P26">
        <f t="shared" si="9"/>
        <v>-0.00118115208524001</v>
      </c>
      <c r="Q26">
        <f t="shared" si="5"/>
        <v>0.0005834654563083154</v>
      </c>
      <c r="R26">
        <f t="shared" si="10"/>
        <v>-0.005850113803730305</v>
      </c>
      <c r="S26">
        <f t="shared" si="11"/>
        <v>0.0004943139916045699</v>
      </c>
      <c r="T26">
        <f t="shared" si="12"/>
        <v>-0.0010473626541806932</v>
      </c>
      <c r="U26">
        <f t="shared" si="6"/>
        <v>-0.009156407991063912</v>
      </c>
      <c r="V26">
        <f t="shared" si="13"/>
        <v>-0.016157257086302036</v>
      </c>
    </row>
    <row r="27" spans="1:22" ht="12.75">
      <c r="A27" s="4">
        <f t="shared" si="14"/>
        <v>0.9424777960769377</v>
      </c>
      <c r="B27">
        <f t="shared" si="7"/>
        <v>53.999999999999986</v>
      </c>
      <c r="C27" s="4">
        <f t="shared" si="0"/>
        <v>0.5140825779163651</v>
      </c>
      <c r="D27" s="4">
        <f t="shared" si="1"/>
        <v>1.1546483748236362</v>
      </c>
      <c r="E27" s="4">
        <f t="shared" si="15"/>
        <v>0.6932016251763637</v>
      </c>
      <c r="F27" s="4">
        <f t="shared" si="16"/>
        <v>0.8630234006469857</v>
      </c>
      <c r="G27" s="4">
        <f t="shared" si="17"/>
        <v>1.6853049066572616</v>
      </c>
      <c r="H27" s="4">
        <f t="shared" si="18"/>
        <v>1.9464577595303836</v>
      </c>
      <c r="I27" s="4">
        <f t="shared" si="19"/>
        <v>0.8573715063055721</v>
      </c>
      <c r="J27" s="4">
        <f t="shared" si="20"/>
        <v>2.1269188300122615</v>
      </c>
      <c r="K27" s="4">
        <f t="shared" si="21"/>
        <v>0.41490713777422106</v>
      </c>
      <c r="L27">
        <f t="shared" si="2"/>
        <v>0.0008124735409046943</v>
      </c>
      <c r="M27">
        <f t="shared" si="3"/>
        <v>-0.0020182030890957066</v>
      </c>
      <c r="N27">
        <f t="shared" si="4"/>
        <v>0</v>
      </c>
      <c r="O27">
        <f t="shared" si="8"/>
        <v>-0.0012057295481910123</v>
      </c>
      <c r="P27">
        <f t="shared" si="9"/>
        <v>-0.0012057295481910123</v>
      </c>
      <c r="Q27">
        <f t="shared" si="5"/>
        <v>0.0005653715523775604</v>
      </c>
      <c r="R27">
        <f t="shared" si="10"/>
        <v>-0.00588642009800437</v>
      </c>
      <c r="S27">
        <f t="shared" si="11"/>
        <v>0.000506234793114095</v>
      </c>
      <c r="T27">
        <f t="shared" si="12"/>
        <v>-0.001093456278509439</v>
      </c>
      <c r="U27">
        <f t="shared" si="6"/>
        <v>-0.009257212270196487</v>
      </c>
      <c r="V27">
        <f t="shared" si="13"/>
        <v>-0.016371211849409654</v>
      </c>
    </row>
    <row r="28" spans="1:22" ht="12.75">
      <c r="A28" s="4">
        <f t="shared" si="14"/>
        <v>0.9948376736367676</v>
      </c>
      <c r="B28">
        <f t="shared" si="7"/>
        <v>56.999999999999986</v>
      </c>
      <c r="C28" s="4">
        <f t="shared" si="0"/>
        <v>0.5738076724308077</v>
      </c>
      <c r="D28" s="4">
        <f t="shared" si="1"/>
        <v>1.1261609660521619</v>
      </c>
      <c r="E28" s="4">
        <f t="shared" si="15"/>
        <v>0.7216890339478381</v>
      </c>
      <c r="F28" s="4">
        <f t="shared" si="16"/>
        <v>0.9220034200918263</v>
      </c>
      <c r="G28" s="4">
        <f t="shared" si="17"/>
        <v>1.7189373597424973</v>
      </c>
      <c r="H28" s="4">
        <f t="shared" si="18"/>
        <v>1.9839375042375802</v>
      </c>
      <c r="I28" s="4">
        <f t="shared" si="19"/>
        <v>0.9119048732468817</v>
      </c>
      <c r="J28" s="4">
        <f t="shared" si="20"/>
        <v>2.183478536320394</v>
      </c>
      <c r="K28" s="4">
        <f t="shared" si="21"/>
        <v>0.4308448343186617</v>
      </c>
      <c r="L28">
        <f t="shared" si="2"/>
        <v>0.0007741110413212503</v>
      </c>
      <c r="M28">
        <f t="shared" si="3"/>
        <v>-0.0019736875914719413</v>
      </c>
      <c r="N28">
        <f t="shared" si="4"/>
        <v>0</v>
      </c>
      <c r="O28">
        <f t="shared" si="8"/>
        <v>-0.001199576550150691</v>
      </c>
      <c r="P28">
        <f t="shared" si="9"/>
        <v>-0.001199576550150691</v>
      </c>
      <c r="Q28">
        <f t="shared" si="5"/>
        <v>0.0005486991640037134</v>
      </c>
      <c r="R28">
        <f t="shared" si="10"/>
        <v>-0.005908247813235961</v>
      </c>
      <c r="S28">
        <f t="shared" si="11"/>
        <v>0.0005192198753853094</v>
      </c>
      <c r="T28">
        <f t="shared" si="12"/>
        <v>-0.0011368333350867817</v>
      </c>
      <c r="U28">
        <f t="shared" si="6"/>
        <v>-0.009312576737862465</v>
      </c>
      <c r="V28">
        <f t="shared" si="13"/>
        <v>-0.016489315396946876</v>
      </c>
    </row>
    <row r="29" spans="1:22" ht="12.75">
      <c r="A29" s="4">
        <f t="shared" si="14"/>
        <v>1.0471975511965974</v>
      </c>
      <c r="B29">
        <f t="shared" si="7"/>
        <v>59.999999999999986</v>
      </c>
      <c r="C29" s="4">
        <f t="shared" si="0"/>
        <v>0.6319599999999996</v>
      </c>
      <c r="D29" s="4">
        <f t="shared" si="1"/>
        <v>1.094586828351228</v>
      </c>
      <c r="E29" s="4">
        <f t="shared" si="15"/>
        <v>0.7532631716487721</v>
      </c>
      <c r="F29" s="4">
        <f t="shared" si="16"/>
        <v>0.9832491278218186</v>
      </c>
      <c r="G29" s="4">
        <f t="shared" si="17"/>
        <v>1.7452491224590965</v>
      </c>
      <c r="H29" s="4">
        <f t="shared" si="18"/>
        <v>2.0185118283512278</v>
      </c>
      <c r="I29" s="4">
        <f t="shared" si="19"/>
        <v>0.9683250423830746</v>
      </c>
      <c r="J29" s="4">
        <f t="shared" si="20"/>
        <v>2.238759341443381</v>
      </c>
      <c r="K29" s="4">
        <f t="shared" si="21"/>
        <v>0.4472942136929665</v>
      </c>
      <c r="L29">
        <f t="shared" si="2"/>
        <v>0.0007373639278911154</v>
      </c>
      <c r="M29">
        <f t="shared" si="3"/>
        <v>-0.0019113471555996819</v>
      </c>
      <c r="N29">
        <f t="shared" si="4"/>
        <v>0</v>
      </c>
      <c r="O29">
        <f t="shared" si="8"/>
        <v>-0.0011739832277085664</v>
      </c>
      <c r="P29">
        <f t="shared" si="9"/>
        <v>-0.0011739832277085664</v>
      </c>
      <c r="Q29">
        <f t="shared" si="5"/>
        <v>0.0005333463528906905</v>
      </c>
      <c r="R29">
        <f t="shared" si="10"/>
        <v>-0.005915531045901503</v>
      </c>
      <c r="S29">
        <f t="shared" si="11"/>
        <v>0.0005333463528906892</v>
      </c>
      <c r="T29">
        <f t="shared" si="12"/>
        <v>-0.0011739832277085655</v>
      </c>
      <c r="U29">
        <f t="shared" si="6"/>
        <v>-0.009330190207100016</v>
      </c>
      <c r="V29">
        <f t="shared" si="13"/>
        <v>-0.01652699500263727</v>
      </c>
    </row>
    <row r="30" spans="1:22" ht="12.75">
      <c r="A30" s="4">
        <f t="shared" si="14"/>
        <v>1.0995574287564274</v>
      </c>
      <c r="B30">
        <f t="shared" si="7"/>
        <v>62.999999999999986</v>
      </c>
      <c r="C30" s="4">
        <f t="shared" si="0"/>
        <v>0.6883801691361928</v>
      </c>
      <c r="D30" s="4">
        <f t="shared" si="1"/>
        <v>1.0600125042375805</v>
      </c>
      <c r="E30" s="4">
        <f t="shared" si="15"/>
        <v>0.7878374957624195</v>
      </c>
      <c r="F30" s="4">
        <f t="shared" si="16"/>
        <v>1.0462099105768277</v>
      </c>
      <c r="G30" s="4">
        <f t="shared" si="17"/>
        <v>1.7653242991341414</v>
      </c>
      <c r="H30" s="4">
        <f t="shared" si="18"/>
        <v>2.050085966052162</v>
      </c>
      <c r="I30" s="4">
        <f t="shared" si="19"/>
        <v>1.0264773699522667</v>
      </c>
      <c r="J30" s="4">
        <f t="shared" si="20"/>
        <v>2.2927076261983665</v>
      </c>
      <c r="K30" s="4">
        <f t="shared" si="21"/>
        <v>0.4642071896126079</v>
      </c>
      <c r="L30">
        <f t="shared" si="2"/>
        <v>0.000702107747117742</v>
      </c>
      <c r="M30">
        <f t="shared" si="3"/>
        <v>-0.0018389410822045238</v>
      </c>
      <c r="N30">
        <f t="shared" si="4"/>
        <v>0</v>
      </c>
      <c r="O30">
        <f t="shared" si="8"/>
        <v>-0.0011368333350867817</v>
      </c>
      <c r="P30">
        <f t="shared" si="9"/>
        <v>-0.0011368333350867817</v>
      </c>
      <c r="Q30">
        <f t="shared" si="5"/>
        <v>0.0005192198753853103</v>
      </c>
      <c r="R30">
        <f t="shared" si="10"/>
        <v>-0.005908247813235964</v>
      </c>
      <c r="S30">
        <f t="shared" si="11"/>
        <v>0.0005486991640037122</v>
      </c>
      <c r="T30">
        <f t="shared" si="12"/>
        <v>-0.0011995765501506906</v>
      </c>
      <c r="U30">
        <f aca="true" t="shared" si="22" ref="U30:U61">-1*O9</f>
        <v>-0.009330190207100016</v>
      </c>
      <c r="V30">
        <f t="shared" si="13"/>
        <v>-0.01650692886618443</v>
      </c>
    </row>
    <row r="31" spans="1:22" ht="12.75">
      <c r="A31" s="4">
        <f t="shared" si="14"/>
        <v>1.1519173063162573</v>
      </c>
      <c r="B31">
        <f t="shared" si="7"/>
        <v>66</v>
      </c>
      <c r="C31" s="4">
        <f t="shared" si="0"/>
        <v>0.7429135360775024</v>
      </c>
      <c r="D31" s="4">
        <f t="shared" si="1"/>
        <v>1.0225327595303835</v>
      </c>
      <c r="E31" s="4">
        <f t="shared" si="15"/>
        <v>0.8253172404696165</v>
      </c>
      <c r="F31" s="4">
        <f t="shared" si="16"/>
        <v>1.1104364319957993</v>
      </c>
      <c r="G31" s="4">
        <f t="shared" si="17"/>
        <v>1.7800983456508046</v>
      </c>
      <c r="H31" s="4">
        <f t="shared" si="18"/>
        <v>2.078573374823636</v>
      </c>
      <c r="I31" s="4">
        <f t="shared" si="19"/>
        <v>1.0862024644667094</v>
      </c>
      <c r="J31" s="4">
        <f t="shared" si="20"/>
        <v>2.34527249340866</v>
      </c>
      <c r="K31" s="4">
        <f t="shared" si="21"/>
        <v>0.48154104617030313</v>
      </c>
      <c r="L31">
        <f t="shared" si="2"/>
        <v>0.0006682276454672291</v>
      </c>
      <c r="M31">
        <f t="shared" si="3"/>
        <v>-0.0017616839239766684</v>
      </c>
      <c r="N31">
        <f t="shared" si="4"/>
        <v>0</v>
      </c>
      <c r="O31">
        <f t="shared" si="8"/>
        <v>-0.0010934562785094393</v>
      </c>
      <c r="P31">
        <f t="shared" si="9"/>
        <v>-0.0010934562785094393</v>
      </c>
      <c r="Q31">
        <f t="shared" si="5"/>
        <v>0.0005062347931140964</v>
      </c>
      <c r="R31">
        <f t="shared" si="10"/>
        <v>-0.005886420098004372</v>
      </c>
      <c r="S31">
        <f t="shared" si="11"/>
        <v>0.0005653715523775596</v>
      </c>
      <c r="T31">
        <f t="shared" si="12"/>
        <v>-0.0012057295481910108</v>
      </c>
      <c r="U31">
        <f t="shared" si="22"/>
        <v>-0.009312576737862458</v>
      </c>
      <c r="V31">
        <f t="shared" si="13"/>
        <v>-0.016426576317075624</v>
      </c>
    </row>
    <row r="32" spans="1:22" ht="12.75">
      <c r="A32" s="4">
        <f t="shared" si="14"/>
        <v>1.2042771838760873</v>
      </c>
      <c r="B32">
        <f t="shared" si="7"/>
        <v>68.99999999999999</v>
      </c>
      <c r="C32" s="4">
        <f t="shared" si="0"/>
        <v>0.7954106286557104</v>
      </c>
      <c r="D32" s="4">
        <f t="shared" si="1"/>
        <v>0.9822503236046947</v>
      </c>
      <c r="E32" s="4">
        <f t="shared" si="15"/>
        <v>0.8655996763953053</v>
      </c>
      <c r="F32" s="4">
        <f t="shared" si="16"/>
        <v>1.1755598104537812</v>
      </c>
      <c r="G32" s="4">
        <f t="shared" si="17"/>
        <v>1.7903639988976607</v>
      </c>
      <c r="H32" s="4">
        <f t="shared" si="18"/>
        <v>2.1038959726583433</v>
      </c>
      <c r="I32" s="4">
        <f t="shared" si="19"/>
        <v>1.147336623593779</v>
      </c>
      <c r="J32" s="4">
        <f t="shared" si="20"/>
        <v>2.3964055565800146</v>
      </c>
      <c r="K32" s="4">
        <f t="shared" si="21"/>
        <v>0.4992577022143285</v>
      </c>
      <c r="L32">
        <f t="shared" si="2"/>
        <v>0.0006356177273504237</v>
      </c>
      <c r="M32">
        <f t="shared" si="3"/>
        <v>-0.0016829803815311167</v>
      </c>
      <c r="N32">
        <f t="shared" si="4"/>
        <v>0</v>
      </c>
      <c r="O32">
        <f t="shared" si="8"/>
        <v>-0.0010473626541806932</v>
      </c>
      <c r="P32">
        <f t="shared" si="9"/>
        <v>-0.0010473626541806932</v>
      </c>
      <c r="Q32">
        <f t="shared" si="5"/>
        <v>0.000494313991604571</v>
      </c>
      <c r="R32">
        <f t="shared" si="10"/>
        <v>-0.005850113803730309</v>
      </c>
      <c r="S32">
        <f t="shared" si="11"/>
        <v>0.0005834654563083146</v>
      </c>
      <c r="T32">
        <f t="shared" si="12"/>
        <v>-0.0011811520852400051</v>
      </c>
      <c r="U32">
        <f t="shared" si="22"/>
        <v>-0.009257212270196477</v>
      </c>
      <c r="V32">
        <f t="shared" si="13"/>
        <v>-0.016258061365434597</v>
      </c>
    </row>
    <row r="33" spans="1:22" ht="12.75">
      <c r="A33" s="4">
        <f t="shared" si="14"/>
        <v>1.2566370614359172</v>
      </c>
      <c r="B33">
        <f t="shared" si="7"/>
        <v>72</v>
      </c>
      <c r="C33" s="4">
        <f t="shared" si="0"/>
        <v>0.8457275559890881</v>
      </c>
      <c r="D33" s="4">
        <f t="shared" si="1"/>
        <v>0.9392756078173881</v>
      </c>
      <c r="E33" s="4">
        <f t="shared" si="15"/>
        <v>0.9085743921826119</v>
      </c>
      <c r="F33" s="4">
        <f t="shared" si="16"/>
        <v>1.2412745566913386</v>
      </c>
      <c r="G33" s="4">
        <f t="shared" si="17"/>
        <v>1.7967866161050505</v>
      </c>
      <c r="H33" s="4">
        <f t="shared" si="18"/>
        <v>2.1259843520757706</v>
      </c>
      <c r="I33" s="4">
        <f t="shared" si="19"/>
        <v>1.2097122828526914</v>
      </c>
      <c r="J33" s="4">
        <f t="shared" si="20"/>
        <v>2.446060766325257</v>
      </c>
      <c r="K33" s="4">
        <f t="shared" si="21"/>
        <v>0.5173230898953252</v>
      </c>
      <c r="L33">
        <f t="shared" si="2"/>
        <v>0.0006041803832421</v>
      </c>
      <c r="M33">
        <f t="shared" si="3"/>
        <v>-0.0016049884012963912</v>
      </c>
      <c r="N33">
        <f t="shared" si="4"/>
        <v>0</v>
      </c>
      <c r="O33">
        <f t="shared" si="8"/>
        <v>-0.0010008080180542913</v>
      </c>
      <c r="P33">
        <f t="shared" si="9"/>
        <v>-0.0010008080180542913</v>
      </c>
      <c r="Q33">
        <f t="shared" si="5"/>
        <v>0.00048338765867752593</v>
      </c>
      <c r="R33">
        <f t="shared" si="10"/>
        <v>-0.005799438620673216</v>
      </c>
      <c r="S33">
        <f t="shared" si="11"/>
        <v>0.0006030917271812762</v>
      </c>
      <c r="T33">
        <f t="shared" si="12"/>
        <v>-0.0011104077832528169</v>
      </c>
      <c r="U33">
        <f t="shared" si="22"/>
        <v>-0.009156407991063896</v>
      </c>
      <c r="V33">
        <f t="shared" si="13"/>
        <v>-0.015980583027185417</v>
      </c>
    </row>
    <row r="34" spans="1:22" ht="12.75">
      <c r="A34" s="4">
        <f t="shared" si="14"/>
        <v>1.3089969389957472</v>
      </c>
      <c r="B34">
        <f t="shared" si="7"/>
        <v>75.00000000000001</v>
      </c>
      <c r="C34" s="4">
        <f t="shared" si="0"/>
        <v>0.8937264028773012</v>
      </c>
      <c r="D34" s="4">
        <f t="shared" si="1"/>
        <v>0.893726402877301</v>
      </c>
      <c r="E34" s="4">
        <f t="shared" si="15"/>
        <v>0.954123597122699</v>
      </c>
      <c r="F34" s="4">
        <f t="shared" si="16"/>
        <v>1.3073250253040973</v>
      </c>
      <c r="G34" s="4">
        <f t="shared" si="17"/>
        <v>1.799922229062199</v>
      </c>
      <c r="H34" s="4">
        <f t="shared" si="18"/>
        <v>2.144777970363279</v>
      </c>
      <c r="I34" s="4">
        <f t="shared" si="19"/>
        <v>1.2731584748970972</v>
      </c>
      <c r="J34" s="4">
        <f t="shared" si="20"/>
        <v>2.4941942675657662</v>
      </c>
      <c r="K34" s="4">
        <f t="shared" si="21"/>
        <v>0.5357066275731099</v>
      </c>
      <c r="L34">
        <f t="shared" si="2"/>
        <v>0.0005738256199380637</v>
      </c>
      <c r="M34">
        <f t="shared" si="3"/>
        <v>-0.0015290249170040555</v>
      </c>
      <c r="N34">
        <f t="shared" si="4"/>
        <v>0</v>
      </c>
      <c r="O34">
        <f t="shared" si="8"/>
        <v>-0.0009551992970659918</v>
      </c>
      <c r="P34">
        <f t="shared" si="9"/>
        <v>-0.0009551992970659918</v>
      </c>
      <c r="Q34">
        <f t="shared" si="5"/>
        <v>0.004367780451405109</v>
      </c>
      <c r="R34">
        <f t="shared" si="10"/>
        <v>-0.0057345478034289375</v>
      </c>
      <c r="S34">
        <f t="shared" si="11"/>
        <v>0.0006243700580361218</v>
      </c>
      <c r="T34">
        <f t="shared" si="12"/>
        <v>0.002920529360599013</v>
      </c>
      <c r="U34">
        <f t="shared" si="22"/>
        <v>-0.00899713380783913</v>
      </c>
      <c r="V34">
        <f t="shared" si="13"/>
        <v>-0.007774201038293815</v>
      </c>
    </row>
    <row r="35" spans="1:22" ht="12.75">
      <c r="A35" s="4">
        <f t="shared" si="14"/>
        <v>1.3613568165555772</v>
      </c>
      <c r="B35">
        <f t="shared" si="7"/>
        <v>78</v>
      </c>
      <c r="C35" s="4">
        <f t="shared" si="0"/>
        <v>0.9392756078173882</v>
      </c>
      <c r="D35" s="4">
        <f t="shared" si="1"/>
        <v>0.8457275559890879</v>
      </c>
      <c r="E35" s="4">
        <f t="shared" si="15"/>
        <v>1.002122444010912</v>
      </c>
      <c r="F35" s="4">
        <f t="shared" si="16"/>
        <v>1.3734948344391862</v>
      </c>
      <c r="G35" s="4">
        <f t="shared" si="17"/>
        <v>1.8002350677772432</v>
      </c>
      <c r="H35" s="4">
        <f t="shared" si="18"/>
        <v>2.160225315519472</v>
      </c>
      <c r="I35" s="4">
        <f t="shared" si="19"/>
        <v>1.3375012981246925</v>
      </c>
      <c r="J35" s="4">
        <f t="shared" si="20"/>
        <v>2.540764281923146</v>
      </c>
      <c r="K35" s="4">
        <f t="shared" si="21"/>
        <v>0.5543807710079043</v>
      </c>
      <c r="L35">
        <f t="shared" si="2"/>
        <v>0.0005444704126806034</v>
      </c>
      <c r="M35">
        <f t="shared" si="3"/>
        <v>-0.0014558482449023925</v>
      </c>
      <c r="N35">
        <f t="shared" si="4"/>
        <v>0</v>
      </c>
      <c r="O35">
        <f t="shared" si="8"/>
        <v>-0.0009113778322217891</v>
      </c>
      <c r="P35">
        <f t="shared" si="9"/>
        <v>-0.0009113778322217891</v>
      </c>
      <c r="Q35">
        <f t="shared" si="5"/>
        <v>0.0045571395816419134</v>
      </c>
      <c r="R35">
        <f t="shared" si="10"/>
        <v>-0.0056556378616070225</v>
      </c>
      <c r="S35">
        <f t="shared" si="11"/>
        <v>0.0006474284440577836</v>
      </c>
      <c r="T35">
        <f t="shared" si="12"/>
        <v>0.0033434943801705745</v>
      </c>
      <c r="U35">
        <f t="shared" si="22"/>
        <v>-0.008761368249337168</v>
      </c>
      <c r="V35">
        <f t="shared" si="13"/>
        <v>-0.006780321537295708</v>
      </c>
    </row>
    <row r="36" spans="1:22" ht="12.75">
      <c r="A36" s="4">
        <f t="shared" si="14"/>
        <v>1.4137166941154071</v>
      </c>
      <c r="B36">
        <f t="shared" si="7"/>
        <v>81.00000000000001</v>
      </c>
      <c r="C36" s="4">
        <f t="shared" si="0"/>
        <v>0.9822503236046948</v>
      </c>
      <c r="D36" s="4">
        <f t="shared" si="1"/>
        <v>0.7954106286557103</v>
      </c>
      <c r="E36" s="4">
        <f t="shared" si="15"/>
        <v>1.0524393713442897</v>
      </c>
      <c r="F36" s="4">
        <f t="shared" si="16"/>
        <v>1.4395986692745626</v>
      </c>
      <c r="G36" s="4">
        <f t="shared" si="17"/>
        <v>1.79811319550687</v>
      </c>
      <c r="H36" s="4">
        <f t="shared" si="18"/>
        <v>2.172284047445007</v>
      </c>
      <c r="I36" s="4">
        <f t="shared" si="19"/>
        <v>1.4025643933294265</v>
      </c>
      <c r="J36" s="4">
        <f t="shared" si="20"/>
        <v>2.5857310108013176</v>
      </c>
      <c r="K36" s="4">
        <f t="shared" si="21"/>
        <v>0.5733206297409452</v>
      </c>
      <c r="L36">
        <f t="shared" si="2"/>
        <v>0.0005160380906591779</v>
      </c>
      <c r="M36">
        <f t="shared" si="3"/>
        <v>-0.0013858506547813842</v>
      </c>
      <c r="N36">
        <f t="shared" si="4"/>
        <v>0</v>
      </c>
      <c r="O36">
        <f t="shared" si="8"/>
        <v>-0.0008698125641222063</v>
      </c>
      <c r="P36">
        <f t="shared" si="9"/>
        <v>-0.0008698125641222063</v>
      </c>
      <c r="Q36">
        <f t="shared" si="5"/>
        <v>0.004736104093804795</v>
      </c>
      <c r="R36">
        <f t="shared" si="10"/>
        <v>-0.00556294816561034</v>
      </c>
      <c r="S36">
        <f t="shared" si="11"/>
        <v>0.0006724019091059268</v>
      </c>
      <c r="T36">
        <f t="shared" si="12"/>
        <v>0.0038628857510250416</v>
      </c>
      <c r="U36">
        <f t="shared" si="22"/>
        <v>-0.008428089339357965</v>
      </c>
      <c r="V36">
        <f t="shared" si="13"/>
        <v>-0.005589458315154748</v>
      </c>
    </row>
    <row r="37" spans="1:22" ht="12.75">
      <c r="A37" s="4">
        <f t="shared" si="14"/>
        <v>1.466076571675237</v>
      </c>
      <c r="B37">
        <f t="shared" si="7"/>
        <v>84.00000000000003</v>
      </c>
      <c r="C37" s="4">
        <f t="shared" si="0"/>
        <v>1.022532759530384</v>
      </c>
      <c r="D37" s="4">
        <f t="shared" si="1"/>
        <v>0.7429135360775023</v>
      </c>
      <c r="E37" s="4">
        <f t="shared" si="15"/>
        <v>1.1049364639224977</v>
      </c>
      <c r="F37" s="4">
        <f t="shared" si="16"/>
        <v>1.5054759491995795</v>
      </c>
      <c r="G37" s="4">
        <f t="shared" si="17"/>
        <v>1.7938818608234544</v>
      </c>
      <c r="H37" s="4">
        <f t="shared" si="18"/>
        <v>2.1809211139938682</v>
      </c>
      <c r="I37" s="4">
        <f t="shared" si="19"/>
        <v>1.468169427089823</v>
      </c>
      <c r="J37" s="4">
        <f t="shared" si="20"/>
        <v>2.629056555516734</v>
      </c>
      <c r="K37" s="4">
        <f t="shared" si="21"/>
        <v>0.5925036379567484</v>
      </c>
      <c r="L37">
        <f t="shared" si="2"/>
        <v>0.0004884577619260955</v>
      </c>
      <c r="M37">
        <f t="shared" si="3"/>
        <v>-0.001319188057135913</v>
      </c>
      <c r="N37">
        <f t="shared" si="4"/>
        <v>0</v>
      </c>
      <c r="O37">
        <f t="shared" si="8"/>
        <v>-0.0008307302952098174</v>
      </c>
      <c r="P37">
        <f t="shared" si="9"/>
        <v>-0.0008307302952098174</v>
      </c>
      <c r="Q37">
        <f t="shared" si="5"/>
        <v>0.004904115032377894</v>
      </c>
      <c r="R37">
        <f t="shared" si="10"/>
        <v>-0.005456760470102348</v>
      </c>
      <c r="S37">
        <f t="shared" si="11"/>
        <v>0.0006994301022855357</v>
      </c>
      <c r="T37">
        <f t="shared" si="12"/>
        <v>0.004486640212867809</v>
      </c>
      <c r="U37">
        <f t="shared" si="22"/>
        <v>-0.007978380981618266</v>
      </c>
      <c r="V37">
        <f t="shared" si="13"/>
        <v>-0.004175686399399192</v>
      </c>
    </row>
    <row r="38" spans="1:22" ht="12.75">
      <c r="A38" s="4">
        <f t="shared" si="14"/>
        <v>1.518436449235067</v>
      </c>
      <c r="B38">
        <f t="shared" si="7"/>
        <v>87.00000000000001</v>
      </c>
      <c r="C38" s="4">
        <f t="shared" si="0"/>
        <v>1.0600125042375805</v>
      </c>
      <c r="D38" s="4">
        <f t="shared" si="1"/>
        <v>0.6883801691361926</v>
      </c>
      <c r="E38" s="4">
        <f t="shared" si="15"/>
        <v>1.1594698308638074</v>
      </c>
      <c r="F38" s="4">
        <f t="shared" si="16"/>
        <v>1.5709859317713106</v>
      </c>
      <c r="G38" s="4">
        <f t="shared" si="17"/>
        <v>1.7878146257563308</v>
      </c>
      <c r="H38" s="4">
        <f t="shared" si="18"/>
        <v>2.186112841567001</v>
      </c>
      <c r="I38" s="4">
        <f t="shared" si="19"/>
        <v>1.534136580568494</v>
      </c>
      <c r="J38" s="4">
        <f t="shared" si="20"/>
        <v>2.670704851514397</v>
      </c>
      <c r="K38" s="4">
        <f t="shared" si="21"/>
        <v>0.6119092710378509</v>
      </c>
      <c r="L38">
        <f t="shared" si="2"/>
        <v>0.0004616637801774733</v>
      </c>
      <c r="M38">
        <f t="shared" si="3"/>
        <v>-0.0012558666286315516</v>
      </c>
      <c r="N38">
        <f t="shared" si="4"/>
        <v>0</v>
      </c>
      <c r="O38">
        <f t="shared" si="8"/>
        <v>-0.0007942028484540782</v>
      </c>
      <c r="P38">
        <f t="shared" si="9"/>
        <v>-0.0007942028484540782</v>
      </c>
      <c r="Q38">
        <f t="shared" si="5"/>
        <v>0.0050606505020913605</v>
      </c>
      <c r="R38">
        <f t="shared" si="10"/>
        <v>-0.0053373983582863166</v>
      </c>
      <c r="S38">
        <f t="shared" si="11"/>
        <v>0.0007286531750536841</v>
      </c>
      <c r="T38">
        <f t="shared" si="12"/>
        <v>0.005201025905069601</v>
      </c>
      <c r="U38">
        <f t="shared" si="22"/>
        <v>-0.007404395687107832</v>
      </c>
      <c r="V38">
        <f t="shared" si="13"/>
        <v>-0.0025456673116335806</v>
      </c>
    </row>
    <row r="39" spans="1:22" ht="12.75">
      <c r="A39" s="4">
        <f t="shared" si="14"/>
        <v>1.570796326794897</v>
      </c>
      <c r="B39">
        <f t="shared" si="7"/>
        <v>90.00000000000001</v>
      </c>
      <c r="C39" s="4">
        <f t="shared" si="0"/>
        <v>1.094586828351228</v>
      </c>
      <c r="D39" s="4">
        <f t="shared" si="1"/>
        <v>0.6319599999999994</v>
      </c>
      <c r="E39" s="4">
        <f t="shared" si="15"/>
        <v>1.2158900000000006</v>
      </c>
      <c r="F39" s="4">
        <f t="shared" si="16"/>
        <v>1.6360039171407879</v>
      </c>
      <c r="G39" s="4">
        <f t="shared" si="17"/>
        <v>1.7801425148609824</v>
      </c>
      <c r="H39" s="4">
        <f t="shared" si="18"/>
        <v>2.187845</v>
      </c>
      <c r="I39" s="4">
        <f t="shared" si="19"/>
        <v>1.6002850423830757</v>
      </c>
      <c r="J39" s="4">
        <f t="shared" si="20"/>
        <v>2.710641614249291</v>
      </c>
      <c r="K39" s="4">
        <f t="shared" si="21"/>
        <v>0.6315188005699263</v>
      </c>
      <c r="L39">
        <f t="shared" si="2"/>
        <v>0.000435595253537686</v>
      </c>
      <c r="M39">
        <f t="shared" si="3"/>
        <v>-0.0011958003144085022</v>
      </c>
      <c r="N39">
        <f t="shared" si="4"/>
        <v>0</v>
      </c>
      <c r="O39">
        <f t="shared" si="8"/>
        <v>-0.0007602050608708161</v>
      </c>
      <c r="P39">
        <f t="shared" si="9"/>
        <v>-0.0007602050608708161</v>
      </c>
      <c r="Q39">
        <f t="shared" si="5"/>
        <v>0.005205226610626186</v>
      </c>
      <c r="R39">
        <f t="shared" si="10"/>
        <v>-0.005205226610626199</v>
      </c>
      <c r="S39">
        <f t="shared" si="11"/>
        <v>0.0007602050608708157</v>
      </c>
      <c r="T39">
        <f t="shared" si="12"/>
        <v>0.005965431671497072</v>
      </c>
      <c r="U39">
        <f t="shared" si="22"/>
        <v>-0.006719878978815895</v>
      </c>
      <c r="V39">
        <f t="shared" si="13"/>
        <v>-0.0007544473073188371</v>
      </c>
    </row>
    <row r="40" spans="1:22" ht="12.75">
      <c r="A40" s="4">
        <f t="shared" si="14"/>
        <v>1.623156204354727</v>
      </c>
      <c r="B40">
        <f t="shared" si="7"/>
        <v>93.00000000000003</v>
      </c>
      <c r="C40" s="4">
        <f t="shared" si="0"/>
        <v>1.126160966052162</v>
      </c>
      <c r="D40" s="4">
        <f t="shared" si="1"/>
        <v>0.5738076724308075</v>
      </c>
      <c r="E40" s="4">
        <f t="shared" si="15"/>
        <v>1.2740423275691923</v>
      </c>
      <c r="F40" s="4">
        <f t="shared" si="16"/>
        <v>1.7004182938022823</v>
      </c>
      <c r="G40" s="4">
        <f t="shared" si="17"/>
        <v>1.7710614829973053</v>
      </c>
      <c r="H40" s="4">
        <f t="shared" si="18"/>
        <v>2.186112841567001</v>
      </c>
      <c r="I40" s="4">
        <f t="shared" si="19"/>
        <v>1.666433504197657</v>
      </c>
      <c r="J40" s="4">
        <f t="shared" si="20"/>
        <v>2.7488342947468896</v>
      </c>
      <c r="K40" s="4">
        <f t="shared" si="21"/>
        <v>0.6513150818070882</v>
      </c>
      <c r="L40">
        <f t="shared" si="2"/>
        <v>0.0004101955940399598</v>
      </c>
      <c r="M40">
        <f t="shared" si="3"/>
        <v>-0.0011388487690936447</v>
      </c>
      <c r="N40">
        <f t="shared" si="4"/>
        <v>0</v>
      </c>
      <c r="O40">
        <f t="shared" si="8"/>
        <v>-0.0007286531750536849</v>
      </c>
      <c r="P40">
        <f t="shared" si="9"/>
        <v>-0.0007286531750536849</v>
      </c>
      <c r="Q40">
        <f t="shared" si="5"/>
        <v>0.005337398358286305</v>
      </c>
      <c r="R40">
        <f t="shared" si="10"/>
        <v>-0.0050606505020913736</v>
      </c>
      <c r="S40">
        <f t="shared" si="11"/>
        <v>0.0007942028484540774</v>
      </c>
      <c r="T40">
        <f t="shared" si="12"/>
        <v>0.006719878978815963</v>
      </c>
      <c r="U40">
        <f t="shared" si="22"/>
        <v>-0.005965431671497003</v>
      </c>
      <c r="V40">
        <f t="shared" si="13"/>
        <v>0.0010967448369142837</v>
      </c>
    </row>
    <row r="41" spans="1:22" ht="12.75">
      <c r="A41" s="4">
        <f t="shared" si="14"/>
        <v>1.675516081914557</v>
      </c>
      <c r="B41">
        <f t="shared" si="7"/>
        <v>96.00000000000004</v>
      </c>
      <c r="C41" s="4">
        <f t="shared" si="0"/>
        <v>1.1546483748236365</v>
      </c>
      <c r="D41" s="4">
        <f t="shared" si="1"/>
        <v>0.5140825779163646</v>
      </c>
      <c r="E41" s="4">
        <f t="shared" si="15"/>
        <v>1.3337674220836355</v>
      </c>
      <c r="F41" s="4">
        <f t="shared" si="16"/>
        <v>1.7641282282460342</v>
      </c>
      <c r="G41" s="4">
        <f t="shared" si="17"/>
        <v>1.7607384912438682</v>
      </c>
      <c r="H41" s="4">
        <f t="shared" si="18"/>
        <v>2.1809211139938682</v>
      </c>
      <c r="I41" s="4">
        <f t="shared" si="19"/>
        <v>1.7324006576763284</v>
      </c>
      <c r="J41" s="4">
        <f t="shared" si="20"/>
        <v>2.785252043205719</v>
      </c>
      <c r="K41" s="4">
        <f t="shared" si="21"/>
        <v>0.6712823686237755</v>
      </c>
      <c r="L41">
        <f aca="true" t="shared" si="23" ref="L41:L72">10000*mu0*COS(K41-A41)/2/PI()/J41</f>
        <v>0.00038541210563492644</v>
      </c>
      <c r="M41">
        <f aca="true" t="shared" si="24" ref="M41:M72">10000*mu0*COS(G41+A41)/2/PI()/F41</f>
        <v>-0.001084842207920463</v>
      </c>
      <c r="N41">
        <f aca="true" t="shared" si="25" ref="N41:N72">10000*IF(ABS(Rp*SIN(A41))&lt;=Rcp*SIN(thetac/2),2*mu0/2/PI()/dp*COS(PI()/2-delta)*COS(A41),0)</f>
        <v>0</v>
      </c>
      <c r="O41">
        <f t="shared" si="8"/>
        <v>-0.0006994301022855366</v>
      </c>
      <c r="P41">
        <f t="shared" si="9"/>
        <v>-0.0006994301022855366</v>
      </c>
      <c r="Q41">
        <f aca="true" t="shared" si="26" ref="Q41:Q72">-1*P61</f>
        <v>0.005456760470102338</v>
      </c>
      <c r="R41">
        <f t="shared" si="10"/>
        <v>-0.004904115032377908</v>
      </c>
      <c r="S41">
        <f t="shared" si="11"/>
        <v>0.0008307302952098166</v>
      </c>
      <c r="T41">
        <f t="shared" si="12"/>
        <v>0.007404395687107896</v>
      </c>
      <c r="U41">
        <f t="shared" si="22"/>
        <v>-0.0052010259050695356</v>
      </c>
      <c r="V41">
        <f t="shared" si="13"/>
        <v>0.002887315412687069</v>
      </c>
    </row>
    <row r="42" spans="1:22" ht="12.75">
      <c r="A42" s="4">
        <f t="shared" si="14"/>
        <v>1.7278759594743869</v>
      </c>
      <c r="B42">
        <f t="shared" si="7"/>
        <v>99.00000000000004</v>
      </c>
      <c r="C42" s="4">
        <f t="shared" si="0"/>
        <v>1.1799709726583434</v>
      </c>
      <c r="D42" s="4">
        <f t="shared" si="1"/>
        <v>0.45294841878929526</v>
      </c>
      <c r="E42" s="4">
        <f t="shared" si="15"/>
        <v>1.3949015812107048</v>
      </c>
      <c r="F42" s="4">
        <f t="shared" si="16"/>
        <v>1.8270418488858984</v>
      </c>
      <c r="G42" s="4">
        <f t="shared" si="17"/>
        <v>1.749316447371672</v>
      </c>
      <c r="H42" s="4">
        <f t="shared" si="18"/>
        <v>2.172284047445006</v>
      </c>
      <c r="I42" s="4">
        <f t="shared" si="19"/>
        <v>1.7980056914367246</v>
      </c>
      <c r="J42" s="4">
        <f t="shared" si="20"/>
        <v>2.819865679287386</v>
      </c>
      <c r="K42" s="4">
        <f t="shared" si="21"/>
        <v>0.6914061518079155</v>
      </c>
      <c r="L42">
        <f t="shared" si="23"/>
        <v>0.00036119560808939636</v>
      </c>
      <c r="M42">
        <f t="shared" si="24"/>
        <v>-0.0010335975171953241</v>
      </c>
      <c r="N42">
        <f t="shared" si="25"/>
        <v>0</v>
      </c>
      <c r="O42">
        <f t="shared" si="8"/>
        <v>-0.0006724019091059278</v>
      </c>
      <c r="P42">
        <f t="shared" si="9"/>
        <v>-0.0006724019091059278</v>
      </c>
      <c r="Q42">
        <f t="shared" si="26"/>
        <v>0.005562948165610331</v>
      </c>
      <c r="R42">
        <f t="shared" si="10"/>
        <v>-0.004736104093804812</v>
      </c>
      <c r="S42">
        <f t="shared" si="11"/>
        <v>0.0008698125641222053</v>
      </c>
      <c r="T42">
        <f t="shared" si="12"/>
        <v>0.007978380981618322</v>
      </c>
      <c r="U42">
        <f t="shared" si="22"/>
        <v>-0.004486640212867758</v>
      </c>
      <c r="V42">
        <f t="shared" si="13"/>
        <v>0.004515995495572359</v>
      </c>
    </row>
    <row r="43" spans="1:22" ht="12.75">
      <c r="A43" s="4">
        <f t="shared" si="14"/>
        <v>1.7802358370342168</v>
      </c>
      <c r="B43">
        <f t="shared" si="7"/>
        <v>102.00000000000003</v>
      </c>
      <c r="C43" s="4">
        <f t="shared" si="0"/>
        <v>1.2020593520757707</v>
      </c>
      <c r="D43" s="4">
        <f t="shared" si="1"/>
        <v>0.3905727595303825</v>
      </c>
      <c r="E43" s="4">
        <f t="shared" si="15"/>
        <v>1.4572772404696175</v>
      </c>
      <c r="F43" s="4">
        <f t="shared" si="16"/>
        <v>1.8890748109864695</v>
      </c>
      <c r="G43" s="4">
        <f t="shared" si="17"/>
        <v>1.7369182275350434</v>
      </c>
      <c r="H43" s="4">
        <f t="shared" si="18"/>
        <v>2.1602253155194715</v>
      </c>
      <c r="I43" s="4">
        <f t="shared" si="19"/>
        <v>1.8630687866414584</v>
      </c>
      <c r="J43" s="4">
        <f t="shared" si="20"/>
        <v>2.852647667968983</v>
      </c>
      <c r="K43" s="4">
        <f t="shared" si="21"/>
        <v>0.7116730172272911</v>
      </c>
      <c r="L43">
        <f t="shared" si="23"/>
        <v>0.0003375000939266405</v>
      </c>
      <c r="M43">
        <f t="shared" si="24"/>
        <v>-0.0009849285379844247</v>
      </c>
      <c r="N43">
        <f t="shared" si="25"/>
        <v>0</v>
      </c>
      <c r="O43">
        <f t="shared" si="8"/>
        <v>-0.0006474284440577843</v>
      </c>
      <c r="P43">
        <f t="shared" si="9"/>
        <v>-0.0006474284440577843</v>
      </c>
      <c r="Q43">
        <f t="shared" si="26"/>
        <v>0.005655637861607015</v>
      </c>
      <c r="R43">
        <f t="shared" si="10"/>
        <v>-0.00455713958164193</v>
      </c>
      <c r="S43">
        <f t="shared" si="11"/>
        <v>0.0009113778322217881</v>
      </c>
      <c r="T43">
        <f t="shared" si="12"/>
        <v>0.008428089339358008</v>
      </c>
      <c r="U43">
        <f t="shared" si="22"/>
        <v>-0.0038628857510249965</v>
      </c>
      <c r="V43">
        <f t="shared" si="13"/>
        <v>0.0059276512564621015</v>
      </c>
    </row>
    <row r="44" spans="1:22" ht="12.75">
      <c r="A44" s="4">
        <f t="shared" si="14"/>
        <v>1.8325957145940468</v>
      </c>
      <c r="B44">
        <f t="shared" si="7"/>
        <v>105.00000000000004</v>
      </c>
      <c r="C44" s="4">
        <f t="shared" si="0"/>
        <v>1.2208529703632793</v>
      </c>
      <c r="D44" s="4">
        <f t="shared" si="1"/>
        <v>0.32712656748597724</v>
      </c>
      <c r="E44" s="4">
        <f t="shared" si="15"/>
        <v>1.5207234325140226</v>
      </c>
      <c r="F44" s="4">
        <f t="shared" si="16"/>
        <v>1.9501491567164992</v>
      </c>
      <c r="G44" s="4">
        <f t="shared" si="17"/>
        <v>1.7236499574376394</v>
      </c>
      <c r="H44" s="4">
        <f t="shared" si="18"/>
        <v>2.144777970363279</v>
      </c>
      <c r="I44" s="4">
        <f t="shared" si="19"/>
        <v>1.9274116098690537</v>
      </c>
      <c r="J44" s="4">
        <f t="shared" si="20"/>
        <v>2.8835721000199808</v>
      </c>
      <c r="K44" s="4">
        <f t="shared" si="21"/>
        <v>0.7320705209564687</v>
      </c>
      <c r="L44">
        <f t="shared" si="23"/>
        <v>0.00031428241551605574</v>
      </c>
      <c r="M44">
        <f t="shared" si="24"/>
        <v>-0.0009386524735521788</v>
      </c>
      <c r="N44">
        <f t="shared" si="25"/>
        <v>0</v>
      </c>
      <c r="O44">
        <f t="shared" si="8"/>
        <v>-0.0006243700580361231</v>
      </c>
      <c r="P44">
        <f t="shared" si="9"/>
        <v>-0.0006243700580361231</v>
      </c>
      <c r="Q44">
        <f t="shared" si="26"/>
        <v>0.0057345478034289315</v>
      </c>
      <c r="R44">
        <f t="shared" si="10"/>
        <v>-0.004367780451405128</v>
      </c>
      <c r="S44">
        <f t="shared" si="11"/>
        <v>0.0009551992970659916</v>
      </c>
      <c r="T44">
        <f t="shared" si="12"/>
        <v>0.0087613682493372</v>
      </c>
      <c r="U44">
        <f t="shared" si="22"/>
        <v>-0.003343494380170541</v>
      </c>
      <c r="V44">
        <f t="shared" si="13"/>
        <v>0.007115470460220331</v>
      </c>
    </row>
    <row r="45" spans="1:22" ht="12.75">
      <c r="A45" s="4">
        <f t="shared" si="14"/>
        <v>1.8849555921538768</v>
      </c>
      <c r="B45">
        <f t="shared" si="7"/>
        <v>108.00000000000006</v>
      </c>
      <c r="C45" s="4">
        <f t="shared" si="0"/>
        <v>1.2363003155194718</v>
      </c>
      <c r="D45" s="4">
        <f t="shared" si="1"/>
        <v>0.26278374425838114</v>
      </c>
      <c r="E45" s="4">
        <f t="shared" si="15"/>
        <v>1.5850662557416189</v>
      </c>
      <c r="F45" s="4">
        <f t="shared" si="16"/>
        <v>2.0101924050309963</v>
      </c>
      <c r="G45" s="4">
        <f t="shared" si="17"/>
        <v>1.7096036974060629</v>
      </c>
      <c r="H45" s="4">
        <f t="shared" si="18"/>
        <v>2.12598435207577</v>
      </c>
      <c r="I45" s="4">
        <f t="shared" si="19"/>
        <v>1.9908578019134595</v>
      </c>
      <c r="J45" s="4">
        <f t="shared" si="20"/>
        <v>2.9126146763193246</v>
      </c>
      <c r="K45" s="4">
        <f t="shared" si="21"/>
        <v>0.7525870789086687</v>
      </c>
      <c r="L45">
        <f t="shared" si="23"/>
        <v>0.0002915019994821308</v>
      </c>
      <c r="M45">
        <f t="shared" si="24"/>
        <v>-0.0008945937266634077</v>
      </c>
      <c r="N45">
        <f t="shared" si="25"/>
        <v>0</v>
      </c>
      <c r="O45">
        <f t="shared" si="8"/>
        <v>-0.0006030917271812768</v>
      </c>
      <c r="P45">
        <f t="shared" si="9"/>
        <v>-0.0006030917271812768</v>
      </c>
      <c r="Q45">
        <f t="shared" si="26"/>
        <v>0.005799438620673209</v>
      </c>
      <c r="R45">
        <f t="shared" si="10"/>
        <v>-0.000483387658677525</v>
      </c>
      <c r="S45">
        <f t="shared" si="11"/>
        <v>0.0010008080180542909</v>
      </c>
      <c r="T45">
        <f t="shared" si="12"/>
        <v>0.008997133807839154</v>
      </c>
      <c r="U45">
        <f t="shared" si="22"/>
        <v>-0.00292052936059899</v>
      </c>
      <c r="V45">
        <f t="shared" si="13"/>
        <v>0.011790371700108862</v>
      </c>
    </row>
    <row r="46" spans="1:22" ht="12.75">
      <c r="A46" s="4">
        <f t="shared" si="14"/>
        <v>1.9373154697137067</v>
      </c>
      <c r="B46">
        <f t="shared" si="7"/>
        <v>111.00000000000006</v>
      </c>
      <c r="C46" s="4">
        <f t="shared" si="0"/>
        <v>1.2483590474450066</v>
      </c>
      <c r="D46" s="4">
        <f t="shared" si="1"/>
        <v>0.19772064905364758</v>
      </c>
      <c r="E46" s="4">
        <f t="shared" si="15"/>
        <v>1.6501293509463524</v>
      </c>
      <c r="F46" s="4">
        <f t="shared" si="16"/>
        <v>2.0691368215254484</v>
      </c>
      <c r="G46" s="4">
        <f t="shared" si="17"/>
        <v>1.6948596473846873</v>
      </c>
      <c r="H46" s="4">
        <f t="shared" si="18"/>
        <v>2.103895972658343</v>
      </c>
      <c r="I46" s="4">
        <f t="shared" si="19"/>
        <v>2.053233461172372</v>
      </c>
      <c r="J46" s="4">
        <f t="shared" si="20"/>
        <v>2.9397526953548105</v>
      </c>
      <c r="K46" s="4">
        <f t="shared" si="21"/>
        <v>0.773211868894071</v>
      </c>
      <c r="L46">
        <f t="shared" si="23"/>
        <v>0.0002691205857278057</v>
      </c>
      <c r="M46">
        <f t="shared" si="24"/>
        <v>-0.000852586042036121</v>
      </c>
      <c r="N46">
        <f t="shared" si="25"/>
        <v>0</v>
      </c>
      <c r="O46">
        <f t="shared" si="8"/>
        <v>-0.0005834654563083154</v>
      </c>
      <c r="P46">
        <f t="shared" si="9"/>
        <v>-0.0005834654563083154</v>
      </c>
      <c r="Q46">
        <f t="shared" si="26"/>
        <v>0.005850113803730305</v>
      </c>
      <c r="R46">
        <f t="shared" si="10"/>
        <v>-0.0004943139916045699</v>
      </c>
      <c r="S46">
        <f t="shared" si="11"/>
        <v>0.0010473626541806932</v>
      </c>
      <c r="T46">
        <f t="shared" si="12"/>
        <v>0.009156407991063912</v>
      </c>
      <c r="U46">
        <f t="shared" si="22"/>
        <v>0.0011104077832528245</v>
      </c>
      <c r="V46">
        <f t="shared" si="13"/>
        <v>0.016086512784314846</v>
      </c>
    </row>
    <row r="47" spans="1:22" ht="12.75">
      <c r="A47" s="4">
        <f t="shared" si="14"/>
        <v>1.9896753472735367</v>
      </c>
      <c r="B47">
        <f t="shared" si="7"/>
        <v>114.00000000000007</v>
      </c>
      <c r="C47" s="4">
        <f aca="true" t="shared" si="27" ref="C47:C109">Rp*SIN(A47-thetac/2)</f>
        <v>1.2569961139938681</v>
      </c>
      <c r="D47" s="4">
        <f aca="true" t="shared" si="28" ref="D47:D109">Rp*COS(A47-thetac/2)</f>
        <v>0.13211561529325114</v>
      </c>
      <c r="E47" s="4">
        <f t="shared" si="15"/>
        <v>1.7157343847067488</v>
      </c>
      <c r="F47" s="4">
        <f aca="true" t="shared" si="29" ref="F47:F109">SQRT(C47^2+E47^2)</f>
        <v>2.1269188300122623</v>
      </c>
      <c r="G47" s="4">
        <f aca="true" t="shared" si="30" ref="G47:G109">ASIN(C47/F47)+(PI()/2-thetac/2)</f>
        <v>1.6794879646189744</v>
      </c>
      <c r="H47" s="4">
        <f aca="true" t="shared" si="31" ref="H47:H109">2*Rcp*SIN(thetac/2)-F47*COS(G47)</f>
        <v>2.0785733748236357</v>
      </c>
      <c r="I47" s="4">
        <f aca="true" t="shared" si="32" ref="I47:I109">F47*SIN(G47)</f>
        <v>2.1143676202994413</v>
      </c>
      <c r="J47" s="4">
        <f aca="true" t="shared" si="33" ref="J47:J109">SQRT(I47^2+H47^2)</f>
        <v>2.9649650433515133</v>
      </c>
      <c r="K47" s="4">
        <f aca="true" t="shared" si="34" ref="K47:K109">PI()/2-ASIN(H47/J47)</f>
        <v>0.7939347433380783</v>
      </c>
      <c r="L47">
        <f t="shared" si="23"/>
        <v>0.00024710198852713293</v>
      </c>
      <c r="M47">
        <f t="shared" si="24"/>
        <v>-0.0008124735409046933</v>
      </c>
      <c r="N47">
        <f t="shared" si="25"/>
        <v>0</v>
      </c>
      <c r="O47">
        <f t="shared" si="8"/>
        <v>-0.0005653715523775604</v>
      </c>
      <c r="P47">
        <f t="shared" si="9"/>
        <v>-0.0005653715523775604</v>
      </c>
      <c r="Q47">
        <f t="shared" si="26"/>
        <v>0.00588642009800437</v>
      </c>
      <c r="R47">
        <f t="shared" si="10"/>
        <v>-0.000506234793114095</v>
      </c>
      <c r="S47">
        <f t="shared" si="11"/>
        <v>0.001093456278509439</v>
      </c>
      <c r="T47">
        <f t="shared" si="12"/>
        <v>0.009257212270196487</v>
      </c>
      <c r="U47">
        <f t="shared" si="22"/>
        <v>0.00118115208524001</v>
      </c>
      <c r="V47">
        <f t="shared" si="13"/>
        <v>0.016346634386458652</v>
      </c>
    </row>
    <row r="48" spans="1:22" ht="12.75">
      <c r="A48" s="4">
        <f t="shared" si="14"/>
        <v>2.0420352248333664</v>
      </c>
      <c r="B48">
        <f t="shared" si="7"/>
        <v>117.00000000000006</v>
      </c>
      <c r="C48" s="4">
        <f t="shared" si="27"/>
        <v>1.262187841567001</v>
      </c>
      <c r="D48" s="4">
        <f t="shared" si="28"/>
        <v>0.06614846181458033</v>
      </c>
      <c r="E48" s="4">
        <f t="shared" si="15"/>
        <v>1.7817015381854198</v>
      </c>
      <c r="F48" s="4">
        <f t="shared" si="29"/>
        <v>2.1834785363203952</v>
      </c>
      <c r="G48" s="4">
        <f t="shared" si="30"/>
        <v>1.663550268074533</v>
      </c>
      <c r="H48" s="4">
        <f t="shared" si="31"/>
        <v>2.050085966052161</v>
      </c>
      <c r="I48" s="4">
        <f t="shared" si="32"/>
        <v>2.174092714813884</v>
      </c>
      <c r="J48" s="4">
        <f t="shared" si="33"/>
        <v>2.988232186562956</v>
      </c>
      <c r="K48" s="4">
        <f t="shared" si="34"/>
        <v>0.8147461511518383</v>
      </c>
      <c r="L48">
        <f t="shared" si="23"/>
        <v>0.00022541187731753626</v>
      </c>
      <c r="M48">
        <f t="shared" si="24"/>
        <v>-0.0007741110413212497</v>
      </c>
      <c r="N48">
        <f t="shared" si="25"/>
        <v>0</v>
      </c>
      <c r="O48">
        <f t="shared" si="8"/>
        <v>-0.0005486991640037134</v>
      </c>
      <c r="P48">
        <f t="shared" si="9"/>
        <v>-0.0005486991640037134</v>
      </c>
      <c r="Q48">
        <f t="shared" si="26"/>
        <v>0.005908247813235961</v>
      </c>
      <c r="R48">
        <f t="shared" si="10"/>
        <v>-0.0005192198753853094</v>
      </c>
      <c r="S48">
        <f t="shared" si="11"/>
        <v>0.0011368333350867817</v>
      </c>
      <c r="T48">
        <f t="shared" si="12"/>
        <v>0.009312576737862465</v>
      </c>
      <c r="U48">
        <f t="shared" si="22"/>
        <v>0.0012057295481910123</v>
      </c>
      <c r="V48">
        <f t="shared" si="13"/>
        <v>0.0164954683949872</v>
      </c>
    </row>
    <row r="49" spans="1:22" ht="12.75">
      <c r="A49" s="4">
        <f t="shared" si="14"/>
        <v>2.094395102393196</v>
      </c>
      <c r="B49">
        <f t="shared" si="7"/>
        <v>120.00000000000004</v>
      </c>
      <c r="C49" s="4">
        <f t="shared" si="27"/>
        <v>1.26392</v>
      </c>
      <c r="D49" s="4">
        <f t="shared" si="28"/>
        <v>-1.0451936891084661E-15</v>
      </c>
      <c r="E49" s="4">
        <f t="shared" si="15"/>
        <v>1.847850000000001</v>
      </c>
      <c r="F49" s="4">
        <f t="shared" si="29"/>
        <v>2.2387593414433815</v>
      </c>
      <c r="G49" s="4">
        <f t="shared" si="30"/>
        <v>1.647100888700229</v>
      </c>
      <c r="H49" s="4">
        <f t="shared" si="31"/>
        <v>2.0185118283512273</v>
      </c>
      <c r="I49" s="4">
        <f t="shared" si="32"/>
        <v>2.2322450423830755</v>
      </c>
      <c r="J49" s="4">
        <f t="shared" si="33"/>
        <v>3.0095361653314012</v>
      </c>
      <c r="K49" s="4">
        <f t="shared" si="34"/>
        <v>0.8356370674623885</v>
      </c>
      <c r="L49">
        <f t="shared" si="23"/>
        <v>0.0002040175750004243</v>
      </c>
      <c r="M49">
        <f t="shared" si="24"/>
        <v>-0.0007373639278911147</v>
      </c>
      <c r="N49">
        <f t="shared" si="25"/>
        <v>0</v>
      </c>
      <c r="O49">
        <f t="shared" si="8"/>
        <v>-0.0005333463528906905</v>
      </c>
      <c r="P49">
        <f t="shared" si="9"/>
        <v>-0.0005333463528906905</v>
      </c>
      <c r="Q49">
        <f t="shared" si="26"/>
        <v>0.005915531045901503</v>
      </c>
      <c r="R49">
        <f t="shared" si="10"/>
        <v>-0.0005333463528906892</v>
      </c>
      <c r="S49">
        <f t="shared" si="11"/>
        <v>0.0011739832277085655</v>
      </c>
      <c r="T49">
        <f t="shared" si="12"/>
        <v>0.009330190207100016</v>
      </c>
      <c r="U49">
        <f t="shared" si="22"/>
        <v>0.001199576550150691</v>
      </c>
      <c r="V49">
        <f t="shared" si="13"/>
        <v>0.016552588325079394</v>
      </c>
    </row>
    <row r="50" spans="1:22" ht="12.75">
      <c r="A50" s="4">
        <f t="shared" si="14"/>
        <v>2.146754979953026</v>
      </c>
      <c r="B50">
        <f t="shared" si="7"/>
        <v>123.00000000000003</v>
      </c>
      <c r="C50" s="4">
        <f t="shared" si="27"/>
        <v>1.262187841567001</v>
      </c>
      <c r="D50" s="4">
        <f t="shared" si="28"/>
        <v>-0.06614846181458242</v>
      </c>
      <c r="E50" s="4">
        <f t="shared" si="15"/>
        <v>1.9139984618145824</v>
      </c>
      <c r="F50" s="4">
        <f t="shared" si="29"/>
        <v>2.2927076261983674</v>
      </c>
      <c r="G50" s="4">
        <f t="shared" si="30"/>
        <v>1.6301879127805874</v>
      </c>
      <c r="H50" s="4">
        <f t="shared" si="31"/>
        <v>1.9839375042375802</v>
      </c>
      <c r="I50" s="4">
        <f t="shared" si="32"/>
        <v>2.2886652115192687</v>
      </c>
      <c r="J50" s="4">
        <f t="shared" si="33"/>
        <v>3.0288605895846343</v>
      </c>
      <c r="K50" s="4">
        <f t="shared" si="34"/>
        <v>0.8565989300887945</v>
      </c>
      <c r="L50">
        <f t="shared" si="23"/>
        <v>0.00018288787173243113</v>
      </c>
      <c r="M50">
        <f t="shared" si="24"/>
        <v>-0.0007021077471177414</v>
      </c>
      <c r="N50">
        <f t="shared" si="25"/>
        <v>0</v>
      </c>
      <c r="O50">
        <f t="shared" si="8"/>
        <v>-0.0005192198753853103</v>
      </c>
      <c r="P50">
        <f t="shared" si="9"/>
        <v>-0.0005192198753853103</v>
      </c>
      <c r="Q50">
        <f t="shared" si="26"/>
        <v>0.005908247813235964</v>
      </c>
      <c r="R50">
        <f t="shared" si="10"/>
        <v>-0.0005486991640037122</v>
      </c>
      <c r="S50">
        <f t="shared" si="11"/>
        <v>0.0011995765501506906</v>
      </c>
      <c r="T50">
        <f>P9</f>
        <v>0.009330190207100016</v>
      </c>
      <c r="U50">
        <f t="shared" si="22"/>
        <v>0.0011739832277085664</v>
      </c>
      <c r="V50">
        <f t="shared" si="13"/>
        <v>0.016544078758806216</v>
      </c>
    </row>
    <row r="51" spans="1:22" ht="12.75">
      <c r="A51" s="4">
        <f t="shared" si="14"/>
        <v>2.1991148575128556</v>
      </c>
      <c r="B51">
        <f t="shared" si="7"/>
        <v>126.00000000000003</v>
      </c>
      <c r="C51" s="4">
        <f t="shared" si="27"/>
        <v>1.256996113993868</v>
      </c>
      <c r="D51" s="4">
        <f t="shared" si="28"/>
        <v>-0.13211561529325325</v>
      </c>
      <c r="E51" s="4">
        <f t="shared" si="15"/>
        <v>1.9799656152932532</v>
      </c>
      <c r="F51" s="4">
        <f t="shared" si="29"/>
        <v>2.3452724934086606</v>
      </c>
      <c r="G51" s="4">
        <f t="shared" si="30"/>
        <v>1.6128540562228924</v>
      </c>
      <c r="H51" s="4">
        <f t="shared" si="31"/>
        <v>1.9464577595303834</v>
      </c>
      <c r="I51" s="4">
        <f t="shared" si="32"/>
        <v>2.343198578460578</v>
      </c>
      <c r="J51" s="4">
        <f t="shared" si="33"/>
        <v>3.0461906354881525</v>
      </c>
      <c r="K51" s="4">
        <f t="shared" si="34"/>
        <v>0.8776235817997625</v>
      </c>
      <c r="L51">
        <f t="shared" si="23"/>
        <v>0.00016199285235313254</v>
      </c>
      <c r="M51">
        <f t="shared" si="24"/>
        <v>-0.0006682276454672289</v>
      </c>
      <c r="N51">
        <f t="shared" si="25"/>
        <v>0</v>
      </c>
      <c r="O51">
        <f t="shared" si="8"/>
        <v>-0.0005062347931140964</v>
      </c>
      <c r="P51">
        <f t="shared" si="9"/>
        <v>-0.0005062347931140964</v>
      </c>
      <c r="Q51">
        <f t="shared" si="26"/>
        <v>0.005886420098004372</v>
      </c>
      <c r="R51">
        <f t="shared" si="10"/>
        <v>-0.0005653715523775596</v>
      </c>
      <c r="S51">
        <f t="shared" si="11"/>
        <v>0.0012057295481910108</v>
      </c>
      <c r="T51">
        <f aca="true" t="shared" si="35" ref="T51:T114">P10</f>
        <v>0.009312576737862458</v>
      </c>
      <c r="U51">
        <f t="shared" si="22"/>
        <v>0.0011368333350867817</v>
      </c>
      <c r="V51">
        <f t="shared" si="13"/>
        <v>0.016469953373652965</v>
      </c>
    </row>
    <row r="52" spans="1:22" ht="12.75">
      <c r="A52" s="4">
        <f t="shared" si="14"/>
        <v>2.2514747350726854</v>
      </c>
      <c r="B52">
        <f t="shared" si="7"/>
        <v>129.00000000000003</v>
      </c>
      <c r="C52" s="4">
        <f t="shared" si="27"/>
        <v>1.2483590474450064</v>
      </c>
      <c r="D52" s="4">
        <f t="shared" si="28"/>
        <v>-0.19772064905364908</v>
      </c>
      <c r="E52" s="4">
        <f t="shared" si="15"/>
        <v>2.045570649053649</v>
      </c>
      <c r="F52" s="4">
        <f t="shared" si="29"/>
        <v>2.3964055565800146</v>
      </c>
      <c r="G52" s="4">
        <f t="shared" si="30"/>
        <v>1.5951374001788672</v>
      </c>
      <c r="H52" s="4">
        <f t="shared" si="31"/>
        <v>1.9061753236046952</v>
      </c>
      <c r="I52" s="4">
        <f t="shared" si="32"/>
        <v>2.395695671038786</v>
      </c>
      <c r="J52" s="4">
        <f t="shared" si="33"/>
        <v>3.0615130430154043</v>
      </c>
      <c r="K52" s="4">
        <f t="shared" si="34"/>
        <v>0.8987032175124569</v>
      </c>
      <c r="L52">
        <f t="shared" si="23"/>
        <v>0.00014130373574585244</v>
      </c>
      <c r="M52">
        <f t="shared" si="24"/>
        <v>-0.0006356177273504235</v>
      </c>
      <c r="N52">
        <f t="shared" si="25"/>
        <v>0</v>
      </c>
      <c r="O52">
        <f t="shared" si="8"/>
        <v>-0.000494313991604571</v>
      </c>
      <c r="P52">
        <f t="shared" si="9"/>
        <v>-0.000494313991604571</v>
      </c>
      <c r="Q52">
        <f t="shared" si="26"/>
        <v>0.005850113803730309</v>
      </c>
      <c r="R52">
        <f t="shared" si="10"/>
        <v>-0.0005834654563083146</v>
      </c>
      <c r="S52">
        <f t="shared" si="11"/>
        <v>0.0011811520852400051</v>
      </c>
      <c r="T52">
        <f t="shared" si="35"/>
        <v>0.009257212270196477</v>
      </c>
      <c r="U52">
        <f t="shared" si="22"/>
        <v>0.0010934562785094393</v>
      </c>
      <c r="V52">
        <f t="shared" si="13"/>
        <v>0.016304154989763345</v>
      </c>
    </row>
    <row r="53" spans="1:22" ht="12.75">
      <c r="A53" s="4">
        <f t="shared" si="14"/>
        <v>2.303834612632515</v>
      </c>
      <c r="B53">
        <f t="shared" si="7"/>
        <v>132</v>
      </c>
      <c r="C53" s="4">
        <f t="shared" si="27"/>
        <v>1.2363003155194714</v>
      </c>
      <c r="D53" s="4">
        <f t="shared" si="28"/>
        <v>-0.26278374425838263</v>
      </c>
      <c r="E53" s="4">
        <f t="shared" si="15"/>
        <v>2.1106337442583825</v>
      </c>
      <c r="F53" s="4">
        <f t="shared" si="29"/>
        <v>2.446060766325257</v>
      </c>
      <c r="G53" s="4">
        <f t="shared" si="30"/>
        <v>1.57707201249787</v>
      </c>
      <c r="H53" s="4">
        <f t="shared" si="31"/>
        <v>1.863200607817388</v>
      </c>
      <c r="I53" s="4">
        <f t="shared" si="32"/>
        <v>2.446012598372163</v>
      </c>
      <c r="J53" s="4">
        <f t="shared" si="33"/>
        <v>3.074816114236171</v>
      </c>
      <c r="K53" s="4">
        <f t="shared" si="34"/>
        <v>0.9198303356956417</v>
      </c>
      <c r="L53">
        <f t="shared" si="23"/>
        <v>0.00012079272456457429</v>
      </c>
      <c r="M53">
        <f t="shared" si="24"/>
        <v>-0.0006041803832421002</v>
      </c>
      <c r="N53">
        <f t="shared" si="25"/>
        <v>0</v>
      </c>
      <c r="O53">
        <f t="shared" si="8"/>
        <v>-0.00048338765867752593</v>
      </c>
      <c r="P53">
        <f t="shared" si="9"/>
        <v>-0.00048338765867752593</v>
      </c>
      <c r="Q53">
        <f t="shared" si="26"/>
        <v>0.005799438620673216</v>
      </c>
      <c r="R53">
        <f t="shared" si="10"/>
        <v>-0.0006030917271812762</v>
      </c>
      <c r="S53">
        <f t="shared" si="11"/>
        <v>0.0011104077832528169</v>
      </c>
      <c r="T53">
        <f t="shared" si="35"/>
        <v>0.009156407991063896</v>
      </c>
      <c r="U53">
        <f t="shared" si="22"/>
        <v>0.0010473626541806932</v>
      </c>
      <c r="V53">
        <f t="shared" si="13"/>
        <v>0.01602713766331182</v>
      </c>
    </row>
    <row r="54" spans="1:22" ht="12.75">
      <c r="A54" s="4">
        <f t="shared" si="14"/>
        <v>2.356194490192345</v>
      </c>
      <c r="B54">
        <f t="shared" si="7"/>
        <v>135</v>
      </c>
      <c r="C54" s="4">
        <f t="shared" si="27"/>
        <v>1.220852970363279</v>
      </c>
      <c r="D54" s="4">
        <f t="shared" si="28"/>
        <v>-0.3271265674859781</v>
      </c>
      <c r="E54" s="4">
        <f t="shared" si="15"/>
        <v>2.1749765674859782</v>
      </c>
      <c r="F54" s="4">
        <f t="shared" si="29"/>
        <v>2.4941942675657667</v>
      </c>
      <c r="G54" s="4">
        <f t="shared" si="30"/>
        <v>1.5586884748200855</v>
      </c>
      <c r="H54" s="4">
        <f t="shared" si="31"/>
        <v>1.8176514028773008</v>
      </c>
      <c r="I54" s="4">
        <f t="shared" si="32"/>
        <v>2.4940114452603765</v>
      </c>
      <c r="J54" s="4">
        <f t="shared" si="33"/>
        <v>3.086089712155428</v>
      </c>
      <c r="K54" s="4">
        <f t="shared" si="34"/>
        <v>0.9409976933261073</v>
      </c>
      <c r="L54">
        <f t="shared" si="23"/>
        <v>0.00010043286388138584</v>
      </c>
      <c r="M54">
        <f t="shared" si="24"/>
        <v>-0.0005738256199380636</v>
      </c>
      <c r="N54">
        <f t="shared" si="25"/>
        <v>-0.0038943876953484316</v>
      </c>
      <c r="O54">
        <f t="shared" si="8"/>
        <v>-0.004367780451405109</v>
      </c>
      <c r="P54">
        <f t="shared" si="9"/>
        <v>-0.004367780451405109</v>
      </c>
      <c r="Q54">
        <f t="shared" si="26"/>
        <v>0.0057345478034289375</v>
      </c>
      <c r="R54">
        <f t="shared" si="10"/>
        <v>-0.0006243700580361218</v>
      </c>
      <c r="S54">
        <f t="shared" si="11"/>
        <v>-0.002920529360599013</v>
      </c>
      <c r="T54">
        <f t="shared" si="35"/>
        <v>0.00899713380783913</v>
      </c>
      <c r="U54">
        <f t="shared" si="22"/>
        <v>0.0010008080180542913</v>
      </c>
      <c r="V54">
        <f t="shared" si="13"/>
        <v>0.007819809759282113</v>
      </c>
    </row>
    <row r="55" spans="1:22" ht="12.75">
      <c r="A55" s="4">
        <f t="shared" si="14"/>
        <v>2.4085543677521746</v>
      </c>
      <c r="B55">
        <f t="shared" si="7"/>
        <v>137.99999999999997</v>
      </c>
      <c r="C55" s="4">
        <f t="shared" si="27"/>
        <v>1.2020593520757705</v>
      </c>
      <c r="D55" s="4">
        <f t="shared" si="28"/>
        <v>-0.3905727595303834</v>
      </c>
      <c r="E55" s="4">
        <f t="shared" si="15"/>
        <v>2.2384227595303834</v>
      </c>
      <c r="F55" s="4">
        <f t="shared" si="29"/>
        <v>2.5407642819231455</v>
      </c>
      <c r="G55" s="4">
        <f t="shared" si="30"/>
        <v>1.5400143313852912</v>
      </c>
      <c r="H55" s="4">
        <f t="shared" si="31"/>
        <v>1.7696525559890888</v>
      </c>
      <c r="I55" s="4">
        <f t="shared" si="32"/>
        <v>2.5395606502004626</v>
      </c>
      <c r="J55" s="4">
        <f t="shared" si="33"/>
        <v>3.0953252599630483</v>
      </c>
      <c r="K55" s="4">
        <f t="shared" si="34"/>
        <v>0.9621982638182625</v>
      </c>
      <c r="L55">
        <f t="shared" si="23"/>
        <v>8.019790741524535E-05</v>
      </c>
      <c r="M55">
        <f t="shared" si="24"/>
        <v>-0.0005444704126806036</v>
      </c>
      <c r="N55">
        <f t="shared" si="25"/>
        <v>-0.004092867076376555</v>
      </c>
      <c r="O55">
        <f t="shared" si="8"/>
        <v>-0.0045571395816419134</v>
      </c>
      <c r="P55">
        <f t="shared" si="9"/>
        <v>-0.0045571395816419134</v>
      </c>
      <c r="Q55">
        <f t="shared" si="26"/>
        <v>0.0056556378616070225</v>
      </c>
      <c r="R55">
        <f t="shared" si="10"/>
        <v>-0.0006474284440577836</v>
      </c>
      <c r="S55">
        <f t="shared" si="11"/>
        <v>-0.0033434943801705745</v>
      </c>
      <c r="T55">
        <f t="shared" si="35"/>
        <v>0.008761368249337168</v>
      </c>
      <c r="U55">
        <f t="shared" si="22"/>
        <v>0.0009551992970659918</v>
      </c>
      <c r="V55">
        <f t="shared" si="13"/>
        <v>0.00682414300213991</v>
      </c>
    </row>
    <row r="56" spans="1:22" ht="12.75">
      <c r="A56" s="4">
        <f t="shared" si="14"/>
        <v>2.4609142453120043</v>
      </c>
      <c r="B56">
        <f t="shared" si="7"/>
        <v>141</v>
      </c>
      <c r="C56" s="4">
        <f t="shared" si="27"/>
        <v>1.1799709726583434</v>
      </c>
      <c r="D56" s="4">
        <f t="shared" si="28"/>
        <v>-0.4529484187892956</v>
      </c>
      <c r="E56" s="4">
        <f t="shared" si="15"/>
        <v>2.3007984187892956</v>
      </c>
      <c r="F56" s="4">
        <f t="shared" si="29"/>
        <v>2.5857310108013167</v>
      </c>
      <c r="G56" s="4">
        <f t="shared" si="30"/>
        <v>1.5210744726522505</v>
      </c>
      <c r="H56" s="4">
        <f t="shared" si="31"/>
        <v>1.7193356286557113</v>
      </c>
      <c r="I56" s="4">
        <f t="shared" si="32"/>
        <v>2.5825353659877694</v>
      </c>
      <c r="J56" s="4">
        <f t="shared" si="33"/>
        <v>3.1025157405793307</v>
      </c>
      <c r="K56" s="4">
        <f t="shared" si="34"/>
        <v>0.9834251974049181</v>
      </c>
      <c r="L56">
        <f t="shared" si="23"/>
        <v>6.006219009441626E-05</v>
      </c>
      <c r="M56">
        <f t="shared" si="24"/>
        <v>-0.0005160380906591785</v>
      </c>
      <c r="N56">
        <f t="shared" si="25"/>
        <v>-0.004280128193240033</v>
      </c>
      <c r="O56">
        <f t="shared" si="8"/>
        <v>-0.004736104093804795</v>
      </c>
      <c r="P56">
        <f t="shared" si="9"/>
        <v>-0.004736104093804795</v>
      </c>
      <c r="Q56">
        <f t="shared" si="26"/>
        <v>0.00556294816561034</v>
      </c>
      <c r="R56">
        <f t="shared" si="10"/>
        <v>-0.0006724019091059268</v>
      </c>
      <c r="S56">
        <f t="shared" si="11"/>
        <v>-0.0038628857510250416</v>
      </c>
      <c r="T56">
        <f t="shared" si="35"/>
        <v>0.008428089339357965</v>
      </c>
      <c r="U56">
        <f t="shared" si="22"/>
        <v>0.0009113778322217891</v>
      </c>
      <c r="V56">
        <f t="shared" si="13"/>
        <v>0.005631023583254331</v>
      </c>
    </row>
    <row r="57" spans="1:22" ht="12.75">
      <c r="A57" s="4">
        <f t="shared" si="14"/>
        <v>2.513274122871834</v>
      </c>
      <c r="B57">
        <f t="shared" si="7"/>
        <v>143.99999999999997</v>
      </c>
      <c r="C57" s="4">
        <f t="shared" si="27"/>
        <v>1.1546483748236362</v>
      </c>
      <c r="D57" s="4">
        <f t="shared" si="28"/>
        <v>-0.5140825779163649</v>
      </c>
      <c r="E57" s="4">
        <f t="shared" si="15"/>
        <v>2.361932577916365</v>
      </c>
      <c r="F57" s="4">
        <f t="shared" si="29"/>
        <v>2.6290565555167333</v>
      </c>
      <c r="G57" s="4">
        <f t="shared" si="30"/>
        <v>1.5018914644364472</v>
      </c>
      <c r="H57" s="4">
        <f t="shared" si="31"/>
        <v>1.666838536077503</v>
      </c>
      <c r="I57" s="4">
        <f t="shared" si="32"/>
        <v>2.6228178019134583</v>
      </c>
      <c r="J57" s="4">
        <f t="shared" si="33"/>
        <v>3.1076556964031807</v>
      </c>
      <c r="K57" s="4">
        <f t="shared" si="34"/>
        <v>1.004671783494342</v>
      </c>
      <c r="L57">
        <f t="shared" si="23"/>
        <v>4.0000505782105166E-05</v>
      </c>
      <c r="M57">
        <f t="shared" si="24"/>
        <v>-0.0004884577619260959</v>
      </c>
      <c r="N57">
        <f t="shared" si="25"/>
        <v>-0.0044556577762339036</v>
      </c>
      <c r="O57">
        <f t="shared" si="8"/>
        <v>-0.004904115032377894</v>
      </c>
      <c r="P57">
        <f t="shared" si="9"/>
        <v>-0.004904115032377894</v>
      </c>
      <c r="Q57">
        <f t="shared" si="26"/>
        <v>0.005456760470102348</v>
      </c>
      <c r="R57">
        <f t="shared" si="10"/>
        <v>-0.0006994301022855357</v>
      </c>
      <c r="S57">
        <f t="shared" si="11"/>
        <v>-0.004486640212867809</v>
      </c>
      <c r="T57">
        <f t="shared" si="35"/>
        <v>0.007978380981618266</v>
      </c>
      <c r="U57">
        <f t="shared" si="22"/>
        <v>0.0008698125641222063</v>
      </c>
      <c r="V57">
        <f t="shared" si="13"/>
        <v>0.004214768668311581</v>
      </c>
    </row>
    <row r="58" spans="1:22" ht="12.75">
      <c r="A58" s="4">
        <f t="shared" si="14"/>
        <v>2.565634000431664</v>
      </c>
      <c r="B58">
        <f t="shared" si="7"/>
        <v>146.99999999999997</v>
      </c>
      <c r="C58" s="4">
        <f t="shared" si="27"/>
        <v>1.126160966052162</v>
      </c>
      <c r="D58" s="4">
        <f t="shared" si="28"/>
        <v>-0.5738076724308074</v>
      </c>
      <c r="E58" s="4">
        <f t="shared" si="15"/>
        <v>2.4216576724308077</v>
      </c>
      <c r="F58" s="4">
        <f t="shared" si="29"/>
        <v>2.6707048515143965</v>
      </c>
      <c r="G58" s="4">
        <f t="shared" si="30"/>
        <v>1.4824858313553446</v>
      </c>
      <c r="H58" s="4">
        <f t="shared" si="31"/>
        <v>1.6123051691361934</v>
      </c>
      <c r="I58" s="4">
        <f t="shared" si="32"/>
        <v>2.660297546620655</v>
      </c>
      <c r="J58" s="4">
        <f t="shared" si="33"/>
        <v>3.1107412291894616</v>
      </c>
      <c r="K58" s="4">
        <f t="shared" si="34"/>
        <v>1.025931414566064</v>
      </c>
      <c r="L58">
        <f t="shared" si="23"/>
        <v>1.998798905820434E-05</v>
      </c>
      <c r="M58">
        <f t="shared" si="24"/>
        <v>-0.00046166378017747375</v>
      </c>
      <c r="N58">
        <f t="shared" si="25"/>
        <v>-0.004618974710972091</v>
      </c>
      <c r="O58">
        <f t="shared" si="8"/>
        <v>-0.0050606505020913605</v>
      </c>
      <c r="P58">
        <f t="shared" si="9"/>
        <v>-0.0050606505020913605</v>
      </c>
      <c r="Q58">
        <f t="shared" si="26"/>
        <v>0.0053373983582863166</v>
      </c>
      <c r="R58">
        <f t="shared" si="10"/>
        <v>-0.0007286531750536841</v>
      </c>
      <c r="S58">
        <f t="shared" si="11"/>
        <v>-0.005201025905069601</v>
      </c>
      <c r="T58">
        <f t="shared" si="35"/>
        <v>0.007404395687107832</v>
      </c>
      <c r="U58">
        <f t="shared" si="22"/>
        <v>0.0008307302952098174</v>
      </c>
      <c r="V58">
        <f t="shared" si="13"/>
        <v>0.0025821947583893204</v>
      </c>
    </row>
    <row r="59" spans="1:22" ht="12.75">
      <c r="A59" s="4">
        <f t="shared" si="14"/>
        <v>2.6179938779914935</v>
      </c>
      <c r="B59">
        <f t="shared" si="7"/>
        <v>149.99999999999997</v>
      </c>
      <c r="C59" s="4">
        <f t="shared" si="27"/>
        <v>1.094586828351228</v>
      </c>
      <c r="D59" s="4">
        <f t="shared" si="28"/>
        <v>-0.6319599999999993</v>
      </c>
      <c r="E59" s="4">
        <f t="shared" si="15"/>
        <v>2.479809999999999</v>
      </c>
      <c r="F59" s="4">
        <f t="shared" si="29"/>
        <v>2.71064161424929</v>
      </c>
      <c r="G59" s="4">
        <f t="shared" si="30"/>
        <v>1.46287630182327</v>
      </c>
      <c r="H59" s="4">
        <f t="shared" si="31"/>
        <v>1.5558850000000013</v>
      </c>
      <c r="I59" s="4">
        <f t="shared" si="32"/>
        <v>2.694871870734302</v>
      </c>
      <c r="J59" s="4">
        <f t="shared" si="33"/>
        <v>3.1117700000000004</v>
      </c>
      <c r="K59" s="4">
        <f t="shared" si="34"/>
        <v>1.0471975511965974</v>
      </c>
      <c r="L59">
        <f t="shared" si="23"/>
        <v>3.2478078380306395E-19</v>
      </c>
      <c r="M59">
        <f t="shared" si="24"/>
        <v>-0.0004355952535376867</v>
      </c>
      <c r="N59">
        <f t="shared" si="25"/>
        <v>-0.0047696313570885</v>
      </c>
      <c r="O59">
        <f t="shared" si="8"/>
        <v>-0.005205226610626186</v>
      </c>
      <c r="P59">
        <f t="shared" si="9"/>
        <v>-0.005205226610626186</v>
      </c>
      <c r="Q59">
        <f t="shared" si="26"/>
        <v>0.005205226610626199</v>
      </c>
      <c r="R59">
        <f t="shared" si="10"/>
        <v>-0.0007602050608708157</v>
      </c>
      <c r="S59">
        <f t="shared" si="11"/>
        <v>-0.005965431671497072</v>
      </c>
      <c r="T59">
        <f t="shared" si="35"/>
        <v>0.006719878978815895</v>
      </c>
      <c r="U59">
        <f t="shared" si="22"/>
        <v>0.0007942028484540782</v>
      </c>
      <c r="V59">
        <f t="shared" si="13"/>
        <v>0.0007884450949020984</v>
      </c>
    </row>
    <row r="60" spans="1:22" ht="12.75">
      <c r="A60" s="4">
        <f t="shared" si="14"/>
        <v>2.6703537555513233</v>
      </c>
      <c r="B60">
        <f t="shared" si="7"/>
        <v>152.99999999999994</v>
      </c>
      <c r="C60" s="4">
        <f t="shared" si="27"/>
        <v>1.060012504237581</v>
      </c>
      <c r="D60" s="4">
        <f t="shared" si="28"/>
        <v>-0.6883801691361922</v>
      </c>
      <c r="E60" s="4">
        <f t="shared" si="15"/>
        <v>2.536230169136192</v>
      </c>
      <c r="F60" s="4">
        <f t="shared" si="29"/>
        <v>2.7488342947468887</v>
      </c>
      <c r="G60" s="4">
        <f t="shared" si="30"/>
        <v>1.4430800205861076</v>
      </c>
      <c r="H60" s="4">
        <f t="shared" si="31"/>
        <v>1.497732672430809</v>
      </c>
      <c r="I60" s="4">
        <f t="shared" si="32"/>
        <v>2.726446008435236</v>
      </c>
      <c r="J60" s="4">
        <f t="shared" si="33"/>
        <v>3.110741229189462</v>
      </c>
      <c r="K60" s="4">
        <f t="shared" si="34"/>
        <v>1.0684636878271305</v>
      </c>
      <c r="L60">
        <f t="shared" si="23"/>
        <v>-1.9987989058203827E-05</v>
      </c>
      <c r="M60">
        <f t="shared" si="24"/>
        <v>-0.0004101955940399609</v>
      </c>
      <c r="N60">
        <f t="shared" si="25"/>
        <v>-0.00490721477518814</v>
      </c>
      <c r="O60">
        <f t="shared" si="8"/>
        <v>-0.005337398358286305</v>
      </c>
      <c r="P60">
        <f t="shared" si="9"/>
        <v>-0.005337398358286305</v>
      </c>
      <c r="Q60">
        <f t="shared" si="26"/>
        <v>0.0050606505020913736</v>
      </c>
      <c r="R60">
        <f t="shared" si="10"/>
        <v>-0.0007942028484540774</v>
      </c>
      <c r="S60">
        <f t="shared" si="11"/>
        <v>-0.006719878978815963</v>
      </c>
      <c r="T60">
        <f t="shared" si="35"/>
        <v>0.005965431671497003</v>
      </c>
      <c r="U60">
        <f t="shared" si="22"/>
        <v>0.0007602050608708161</v>
      </c>
      <c r="V60">
        <f t="shared" si="13"/>
        <v>-0.001065192951097152</v>
      </c>
    </row>
    <row r="61" spans="1:22" ht="12.75">
      <c r="A61" s="4">
        <f t="shared" si="14"/>
        <v>2.722713633111153</v>
      </c>
      <c r="B61">
        <f t="shared" si="7"/>
        <v>155.99999999999994</v>
      </c>
      <c r="C61" s="4">
        <f t="shared" si="27"/>
        <v>1.0225327595303841</v>
      </c>
      <c r="D61" s="4">
        <f t="shared" si="28"/>
        <v>-0.7429135360775017</v>
      </c>
      <c r="E61" s="4">
        <f t="shared" si="15"/>
        <v>2.5907635360775014</v>
      </c>
      <c r="F61" s="4">
        <f t="shared" si="29"/>
        <v>2.785252043205717</v>
      </c>
      <c r="G61" s="4">
        <f t="shared" si="30"/>
        <v>1.4231127337694207</v>
      </c>
      <c r="H61" s="4">
        <f t="shared" si="31"/>
        <v>1.438007577916367</v>
      </c>
      <c r="I61" s="4">
        <f t="shared" si="32"/>
        <v>2.7549334172067104</v>
      </c>
      <c r="J61" s="4">
        <f t="shared" si="33"/>
        <v>3.1076556964031807</v>
      </c>
      <c r="K61" s="4">
        <f t="shared" si="34"/>
        <v>1.0897233188988527</v>
      </c>
      <c r="L61">
        <f t="shared" si="23"/>
        <v>-4.000050578210467E-05</v>
      </c>
      <c r="M61">
        <f t="shared" si="24"/>
        <v>-0.00038541210563492725</v>
      </c>
      <c r="N61">
        <f t="shared" si="25"/>
        <v>-0.005031347858685306</v>
      </c>
      <c r="O61">
        <f t="shared" si="8"/>
        <v>-0.005456760470102338</v>
      </c>
      <c r="P61">
        <f t="shared" si="9"/>
        <v>-0.005456760470102338</v>
      </c>
      <c r="Q61">
        <f t="shared" si="26"/>
        <v>0.004904115032377908</v>
      </c>
      <c r="R61">
        <f t="shared" si="10"/>
        <v>-0.0008307302952098166</v>
      </c>
      <c r="S61">
        <f t="shared" si="11"/>
        <v>-0.007404395687107896</v>
      </c>
      <c r="T61">
        <f t="shared" si="35"/>
        <v>0.0052010259050695356</v>
      </c>
      <c r="U61">
        <f t="shared" si="22"/>
        <v>0.0007286531750536849</v>
      </c>
      <c r="V61">
        <f t="shared" si="13"/>
        <v>-0.002858092339918923</v>
      </c>
    </row>
    <row r="62" spans="1:22" ht="12.75">
      <c r="A62" s="4">
        <f t="shared" si="14"/>
        <v>2.7750735106709827</v>
      </c>
      <c r="B62">
        <f t="shared" si="7"/>
        <v>158.99999999999994</v>
      </c>
      <c r="C62" s="4">
        <f t="shared" si="27"/>
        <v>0.9822503236046954</v>
      </c>
      <c r="D62" s="4">
        <f t="shared" si="28"/>
        <v>-0.7954106286557094</v>
      </c>
      <c r="E62" s="4">
        <f t="shared" si="15"/>
        <v>2.6432606286557094</v>
      </c>
      <c r="F62" s="4">
        <f t="shared" si="29"/>
        <v>2.819865679287385</v>
      </c>
      <c r="G62" s="4">
        <f t="shared" si="30"/>
        <v>1.4029889505852808</v>
      </c>
      <c r="H62" s="4">
        <f t="shared" si="31"/>
        <v>1.3768734187892973</v>
      </c>
      <c r="I62" s="4">
        <f t="shared" si="32"/>
        <v>2.7802560150414175</v>
      </c>
      <c r="J62" s="4">
        <f t="shared" si="33"/>
        <v>3.10251574057933</v>
      </c>
      <c r="K62" s="4">
        <f t="shared" si="34"/>
        <v>1.1109699049882766</v>
      </c>
      <c r="L62">
        <f t="shared" si="23"/>
        <v>-6.006219009441562E-05</v>
      </c>
      <c r="M62">
        <f t="shared" si="24"/>
        <v>-0.00036119560808939695</v>
      </c>
      <c r="N62">
        <f t="shared" si="25"/>
        <v>-0.005141690367426518</v>
      </c>
      <c r="O62">
        <f t="shared" si="8"/>
        <v>-0.005562948165610331</v>
      </c>
      <c r="P62">
        <f t="shared" si="9"/>
        <v>-0.005562948165610331</v>
      </c>
      <c r="Q62">
        <f t="shared" si="26"/>
        <v>0.004736104093804812</v>
      </c>
      <c r="R62">
        <f t="shared" si="10"/>
        <v>-0.0008698125641222053</v>
      </c>
      <c r="S62">
        <f t="shared" si="11"/>
        <v>-0.007978380981618322</v>
      </c>
      <c r="T62">
        <f t="shared" si="35"/>
        <v>0.004486640212867758</v>
      </c>
      <c r="U62">
        <f aca="true" t="shared" si="36" ref="U62:U93">-1*O41</f>
        <v>0.0006994301022855366</v>
      </c>
      <c r="V62">
        <f t="shared" si="13"/>
        <v>-0.004488967302392751</v>
      </c>
    </row>
    <row r="63" spans="1:22" ht="12.75">
      <c r="A63" s="4">
        <f t="shared" si="14"/>
        <v>2.8274333882308125</v>
      </c>
      <c r="B63">
        <f t="shared" si="7"/>
        <v>161.99999999999991</v>
      </c>
      <c r="C63" s="4">
        <f t="shared" si="27"/>
        <v>0.9392756078173892</v>
      </c>
      <c r="D63" s="4">
        <f t="shared" si="28"/>
        <v>-0.8457275559890869</v>
      </c>
      <c r="E63" s="4">
        <f t="shared" si="15"/>
        <v>2.693577555989087</v>
      </c>
      <c r="F63" s="4">
        <f t="shared" si="29"/>
        <v>2.852647667968982</v>
      </c>
      <c r="G63" s="4">
        <f t="shared" si="30"/>
        <v>1.3827220851659052</v>
      </c>
      <c r="H63" s="4">
        <f t="shared" si="31"/>
        <v>1.314497759530385</v>
      </c>
      <c r="I63" s="4">
        <f t="shared" si="32"/>
        <v>2.8023443944588453</v>
      </c>
      <c r="J63" s="4">
        <f t="shared" si="33"/>
        <v>3.0953252599630483</v>
      </c>
      <c r="K63" s="4">
        <f t="shared" si="34"/>
        <v>1.1321968385749321</v>
      </c>
      <c r="L63">
        <f t="shared" si="23"/>
        <v>-8.019790741524485E-05</v>
      </c>
      <c r="M63">
        <f t="shared" si="24"/>
        <v>-0.0003375000939266414</v>
      </c>
      <c r="N63">
        <f t="shared" si="25"/>
        <v>-0.005237939860265129</v>
      </c>
      <c r="O63">
        <f t="shared" si="8"/>
        <v>-0.005655637861607015</v>
      </c>
      <c r="P63">
        <f t="shared" si="9"/>
        <v>-0.005655637861607015</v>
      </c>
      <c r="Q63">
        <f t="shared" si="26"/>
        <v>0.00455713958164193</v>
      </c>
      <c r="R63">
        <f t="shared" si="10"/>
        <v>-0.0009113778322217881</v>
      </c>
      <c r="S63">
        <f t="shared" si="11"/>
        <v>-0.008428089339358008</v>
      </c>
      <c r="T63">
        <f t="shared" si="35"/>
        <v>0.0038628857510249965</v>
      </c>
      <c r="U63">
        <f t="shared" si="36"/>
        <v>0.0006724019091059278</v>
      </c>
      <c r="V63">
        <f t="shared" si="13"/>
        <v>-0.005902677791413957</v>
      </c>
    </row>
    <row r="64" spans="1:22" ht="12.75">
      <c r="A64" s="4">
        <f t="shared" si="14"/>
        <v>2.879793265790642</v>
      </c>
      <c r="B64">
        <f t="shared" si="7"/>
        <v>164.99999999999991</v>
      </c>
      <c r="C64" s="4">
        <f t="shared" si="27"/>
        <v>0.8937264028773023</v>
      </c>
      <c r="D64" s="4">
        <f t="shared" si="28"/>
        <v>-0.8937264028772999</v>
      </c>
      <c r="E64" s="4">
        <f t="shared" si="15"/>
        <v>2.7415764028772998</v>
      </c>
      <c r="F64" s="4">
        <f t="shared" si="29"/>
        <v>2.88357210001998</v>
      </c>
      <c r="G64" s="4">
        <f t="shared" si="30"/>
        <v>1.3623245814367275</v>
      </c>
      <c r="H64" s="4">
        <f t="shared" si="31"/>
        <v>1.2510515674859801</v>
      </c>
      <c r="I64" s="4">
        <f t="shared" si="32"/>
        <v>2.8211380127463537</v>
      </c>
      <c r="J64" s="4">
        <f t="shared" si="33"/>
        <v>3.0860897121554283</v>
      </c>
      <c r="K64" s="4">
        <f t="shared" si="34"/>
        <v>1.1533974090670878</v>
      </c>
      <c r="L64">
        <f t="shared" si="23"/>
        <v>-0.00010043286388138504</v>
      </c>
      <c r="M64">
        <f t="shared" si="24"/>
        <v>-0.00031428241551605704</v>
      </c>
      <c r="N64">
        <f t="shared" si="25"/>
        <v>-0.005319832524031489</v>
      </c>
      <c r="O64">
        <f t="shared" si="8"/>
        <v>-0.0057345478034289315</v>
      </c>
      <c r="P64">
        <f t="shared" si="9"/>
        <v>-0.0057345478034289315</v>
      </c>
      <c r="Q64">
        <f t="shared" si="26"/>
        <v>0.004367780451405128</v>
      </c>
      <c r="R64">
        <f t="shared" si="10"/>
        <v>-0.0009551992970659916</v>
      </c>
      <c r="S64">
        <f t="shared" si="11"/>
        <v>-0.0087613682493372</v>
      </c>
      <c r="T64">
        <f t="shared" si="35"/>
        <v>0.003343494380170541</v>
      </c>
      <c r="U64">
        <f t="shared" si="36"/>
        <v>0.0006474284440577843</v>
      </c>
      <c r="V64">
        <f t="shared" si="13"/>
        <v>-0.007092412074198671</v>
      </c>
    </row>
    <row r="65" spans="1:22" ht="12.75">
      <c r="A65" s="4">
        <f t="shared" si="14"/>
        <v>2.932153143350472</v>
      </c>
      <c r="B65">
        <f t="shared" si="7"/>
        <v>167.9999999999999</v>
      </c>
      <c r="C65" s="4">
        <f t="shared" si="27"/>
        <v>0.8457275559890894</v>
      </c>
      <c r="D65" s="4">
        <f t="shared" si="28"/>
        <v>-0.9392756078173867</v>
      </c>
      <c r="E65" s="4">
        <f t="shared" si="15"/>
        <v>2.7871256078173867</v>
      </c>
      <c r="F65" s="4">
        <f t="shared" si="29"/>
        <v>2.9126146763193232</v>
      </c>
      <c r="G65" s="4">
        <f t="shared" si="30"/>
        <v>1.3418080234845275</v>
      </c>
      <c r="H65" s="4">
        <f t="shared" si="31"/>
        <v>1.1867087442583841</v>
      </c>
      <c r="I65" s="4">
        <f t="shared" si="32"/>
        <v>2.836585357902546</v>
      </c>
      <c r="J65" s="4">
        <f t="shared" si="33"/>
        <v>3.074816114236171</v>
      </c>
      <c r="K65" s="4">
        <f t="shared" si="34"/>
        <v>1.174564766697553</v>
      </c>
      <c r="L65">
        <f t="shared" si="23"/>
        <v>-0.00012079272456457376</v>
      </c>
      <c r="M65">
        <f t="shared" si="24"/>
        <v>-0.00029150199948213237</v>
      </c>
      <c r="N65">
        <f t="shared" si="25"/>
        <v>-0.005387143896626503</v>
      </c>
      <c r="O65">
        <f t="shared" si="8"/>
        <v>-0.005799438620673209</v>
      </c>
      <c r="P65">
        <f t="shared" si="9"/>
        <v>-0.005799438620673209</v>
      </c>
      <c r="Q65">
        <f t="shared" si="26"/>
        <v>0.000483387658677525</v>
      </c>
      <c r="R65">
        <f t="shared" si="10"/>
        <v>-0.0010008080180542909</v>
      </c>
      <c r="S65">
        <f t="shared" si="11"/>
        <v>-0.008997133807839154</v>
      </c>
      <c r="T65">
        <f t="shared" si="35"/>
        <v>0.00292052936059899</v>
      </c>
      <c r="U65">
        <f t="shared" si="36"/>
        <v>0.0006243700580361231</v>
      </c>
      <c r="V65">
        <f t="shared" si="13"/>
        <v>-0.011769093369254016</v>
      </c>
    </row>
    <row r="66" spans="1:22" ht="12.75">
      <c r="A66" s="4">
        <f t="shared" si="14"/>
        <v>2.9845130209103017</v>
      </c>
      <c r="B66">
        <f t="shared" si="7"/>
        <v>170.9999999999999</v>
      </c>
      <c r="C66" s="4">
        <f t="shared" si="27"/>
        <v>0.7954106286557122</v>
      </c>
      <c r="D66" s="4">
        <f t="shared" si="28"/>
        <v>-0.9822503236046932</v>
      </c>
      <c r="E66" s="4">
        <f t="shared" si="15"/>
        <v>2.830100323604693</v>
      </c>
      <c r="F66" s="4">
        <f t="shared" si="29"/>
        <v>2.9397526953548088</v>
      </c>
      <c r="G66" s="4">
        <f t="shared" si="30"/>
        <v>1.3211832334991256</v>
      </c>
      <c r="H66" s="4">
        <f t="shared" si="31"/>
        <v>1.121645649053651</v>
      </c>
      <c r="I66" s="4">
        <f t="shared" si="32"/>
        <v>2.8486440898280807</v>
      </c>
      <c r="J66" s="4">
        <f t="shared" si="33"/>
        <v>3.0615130430154043</v>
      </c>
      <c r="K66" s="4">
        <f t="shared" si="34"/>
        <v>1.1956918848807376</v>
      </c>
      <c r="L66">
        <f t="shared" si="23"/>
        <v>-0.00014130373574585206</v>
      </c>
      <c r="M66">
        <f t="shared" si="24"/>
        <v>-0.00026912058572780705</v>
      </c>
      <c r="N66">
        <f t="shared" si="25"/>
        <v>-0.005439689482256646</v>
      </c>
      <c r="O66">
        <f t="shared" si="8"/>
        <v>-0.005850113803730305</v>
      </c>
      <c r="P66">
        <f t="shared" si="9"/>
        <v>-0.005850113803730305</v>
      </c>
      <c r="Q66">
        <f t="shared" si="26"/>
        <v>0.0004943139916045699</v>
      </c>
      <c r="R66">
        <f t="shared" si="10"/>
        <v>-0.0010473626541806932</v>
      </c>
      <c r="S66">
        <f t="shared" si="11"/>
        <v>-0.009156407991063912</v>
      </c>
      <c r="T66">
        <f t="shared" si="35"/>
        <v>-0.0011104077832528245</v>
      </c>
      <c r="U66">
        <f t="shared" si="36"/>
        <v>0.0006030917271812768</v>
      </c>
      <c r="V66">
        <f t="shared" si="13"/>
        <v>-0.016066886513441885</v>
      </c>
    </row>
    <row r="67" spans="1:22" ht="12.75">
      <c r="A67" s="4">
        <f t="shared" si="14"/>
        <v>3.0368728984701314</v>
      </c>
      <c r="B67">
        <f t="shared" si="7"/>
        <v>173.9999999999999</v>
      </c>
      <c r="C67" s="4">
        <f t="shared" si="27"/>
        <v>0.7429135360775045</v>
      </c>
      <c r="D67" s="4">
        <f t="shared" si="28"/>
        <v>-1.0225327595303821</v>
      </c>
      <c r="E67" s="4">
        <f t="shared" si="15"/>
        <v>2.870382759530382</v>
      </c>
      <c r="F67" s="4">
        <f t="shared" si="29"/>
        <v>2.9649650433515116</v>
      </c>
      <c r="G67" s="4">
        <f t="shared" si="30"/>
        <v>1.3004603590551183</v>
      </c>
      <c r="H67" s="4">
        <f t="shared" si="31"/>
        <v>1.0560406152932553</v>
      </c>
      <c r="I67" s="4">
        <f t="shared" si="32"/>
        <v>2.8572811563769425</v>
      </c>
      <c r="J67" s="4">
        <f t="shared" si="33"/>
        <v>3.0461906354881525</v>
      </c>
      <c r="K67" s="4">
        <f t="shared" si="34"/>
        <v>1.216771520593432</v>
      </c>
      <c r="L67">
        <f t="shared" si="23"/>
        <v>-0.00016199285235313218</v>
      </c>
      <c r="M67">
        <f t="shared" si="24"/>
        <v>-0.000247101988527134</v>
      </c>
      <c r="N67">
        <f t="shared" si="25"/>
        <v>-0.005477325257124104</v>
      </c>
      <c r="O67">
        <f t="shared" si="8"/>
        <v>-0.00588642009800437</v>
      </c>
      <c r="P67">
        <f t="shared" si="9"/>
        <v>-0.00588642009800437</v>
      </c>
      <c r="Q67">
        <f t="shared" si="26"/>
        <v>0.000506234793114095</v>
      </c>
      <c r="R67">
        <f t="shared" si="10"/>
        <v>-0.001093456278509439</v>
      </c>
      <c r="S67">
        <f t="shared" si="11"/>
        <v>-0.009257212270196487</v>
      </c>
      <c r="T67">
        <f t="shared" si="35"/>
        <v>-0.00118115208524001</v>
      </c>
      <c r="U67">
        <f t="shared" si="36"/>
        <v>0.0005834654563083154</v>
      </c>
      <c r="V67">
        <f t="shared" si="13"/>
        <v>-0.0163285404825279</v>
      </c>
    </row>
    <row r="68" spans="1:22" ht="12.75">
      <c r="A68" s="4">
        <f t="shared" si="14"/>
        <v>3.089232776029961</v>
      </c>
      <c r="B68">
        <f t="shared" si="7"/>
        <v>176.99999999999986</v>
      </c>
      <c r="C68" s="4">
        <f t="shared" si="27"/>
        <v>0.6883801691361952</v>
      </c>
      <c r="D68" s="4">
        <f t="shared" si="28"/>
        <v>-1.060012504237579</v>
      </c>
      <c r="E68" s="4">
        <f t="shared" si="15"/>
        <v>2.907862504237579</v>
      </c>
      <c r="F68" s="4">
        <f t="shared" si="29"/>
        <v>2.9882321865629553</v>
      </c>
      <c r="G68" s="4">
        <f t="shared" si="30"/>
        <v>1.2796489512413585</v>
      </c>
      <c r="H68" s="4">
        <f t="shared" si="31"/>
        <v>0.9900734618145846</v>
      </c>
      <c r="I68" s="4">
        <f t="shared" si="32"/>
        <v>2.862472883950076</v>
      </c>
      <c r="J68" s="4">
        <f t="shared" si="33"/>
        <v>3.0288605895846348</v>
      </c>
      <c r="K68" s="4">
        <f t="shared" si="34"/>
        <v>1.2377961723044002</v>
      </c>
      <c r="L68">
        <f t="shared" si="23"/>
        <v>-0.00018288787173243058</v>
      </c>
      <c r="M68">
        <f t="shared" si="24"/>
        <v>-0.00022541187731753743</v>
      </c>
      <c r="N68">
        <f t="shared" si="25"/>
        <v>-0.0054999480641859935</v>
      </c>
      <c r="O68">
        <f t="shared" si="8"/>
        <v>-0.005908247813235961</v>
      </c>
      <c r="P68">
        <f t="shared" si="9"/>
        <v>-0.005908247813235961</v>
      </c>
      <c r="Q68">
        <f t="shared" si="26"/>
        <v>0.0005192198753853094</v>
      </c>
      <c r="R68">
        <f t="shared" si="10"/>
        <v>-0.0011368333350867817</v>
      </c>
      <c r="S68">
        <f t="shared" si="11"/>
        <v>-0.009312576737862465</v>
      </c>
      <c r="T68">
        <f t="shared" si="35"/>
        <v>-0.0012057295481910123</v>
      </c>
      <c r="U68">
        <f t="shared" si="36"/>
        <v>0.0005653715523775604</v>
      </c>
      <c r="V68">
        <f t="shared" si="13"/>
        <v>-0.016478796006613353</v>
      </c>
    </row>
    <row r="69" spans="1:22" ht="12.75">
      <c r="A69" s="4">
        <f t="shared" si="14"/>
        <v>3.141592653589791</v>
      </c>
      <c r="B69">
        <f t="shared" si="7"/>
        <v>179.99999999999986</v>
      </c>
      <c r="C69" s="4">
        <f t="shared" si="27"/>
        <v>0.6319600000000023</v>
      </c>
      <c r="D69" s="4">
        <f t="shared" si="28"/>
        <v>-1.0945868283512261</v>
      </c>
      <c r="E69" s="4">
        <f t="shared" si="15"/>
        <v>2.942436828351226</v>
      </c>
      <c r="F69" s="4">
        <f t="shared" si="29"/>
        <v>3.0095361653314</v>
      </c>
      <c r="G69" s="4">
        <f t="shared" si="30"/>
        <v>1.258758034930808</v>
      </c>
      <c r="H69" s="4">
        <f t="shared" si="31"/>
        <v>0.9239250000000029</v>
      </c>
      <c r="I69" s="4">
        <f t="shared" si="32"/>
        <v>2.864205042383075</v>
      </c>
      <c r="J69" s="4">
        <f t="shared" si="33"/>
        <v>3.0095361653314012</v>
      </c>
      <c r="K69" s="4">
        <f t="shared" si="34"/>
        <v>1.258758034930806</v>
      </c>
      <c r="L69">
        <f t="shared" si="23"/>
        <v>-0.00020401757500042376</v>
      </c>
      <c r="M69">
        <f t="shared" si="24"/>
        <v>-0.0002040175750004254</v>
      </c>
      <c r="N69">
        <f t="shared" si="25"/>
        <v>-0.005507495895900653</v>
      </c>
      <c r="O69">
        <f t="shared" si="8"/>
        <v>-0.005915531045901503</v>
      </c>
      <c r="P69">
        <f t="shared" si="9"/>
        <v>-0.005915531045901503</v>
      </c>
      <c r="Q69">
        <f t="shared" si="26"/>
        <v>0.0005333463528906892</v>
      </c>
      <c r="R69">
        <f t="shared" si="10"/>
        <v>-0.0011739832277085655</v>
      </c>
      <c r="S69">
        <f t="shared" si="11"/>
        <v>-0.009330190207100016</v>
      </c>
      <c r="T69">
        <f t="shared" si="35"/>
        <v>-0.001199576550150691</v>
      </c>
      <c r="U69">
        <f t="shared" si="36"/>
        <v>0.0005486991640037134</v>
      </c>
      <c r="V69">
        <f t="shared" si="13"/>
        <v>-0.016537235513966374</v>
      </c>
    </row>
    <row r="70" spans="1:22" ht="12.75">
      <c r="A70" s="4">
        <f t="shared" si="14"/>
        <v>3.1939525311496206</v>
      </c>
      <c r="B70">
        <f t="shared" si="7"/>
        <v>182.99999999999986</v>
      </c>
      <c r="C70" s="4">
        <f t="shared" si="27"/>
        <v>0.5738076724308105</v>
      </c>
      <c r="D70" s="4">
        <f t="shared" si="28"/>
        <v>-1.1261609660521605</v>
      </c>
      <c r="E70" s="4">
        <f t="shared" si="15"/>
        <v>2.9740109660521608</v>
      </c>
      <c r="F70" s="4">
        <f t="shared" si="29"/>
        <v>3.028860589584633</v>
      </c>
      <c r="G70" s="4">
        <f t="shared" si="30"/>
        <v>1.2377961723044022</v>
      </c>
      <c r="H70" s="4">
        <f t="shared" si="31"/>
        <v>0.8577765381854214</v>
      </c>
      <c r="I70" s="4">
        <f t="shared" si="32"/>
        <v>2.862472883950076</v>
      </c>
      <c r="J70" s="4">
        <f t="shared" si="33"/>
        <v>2.988232186562957</v>
      </c>
      <c r="K70" s="4">
        <f t="shared" si="34"/>
        <v>1.2796489512413565</v>
      </c>
      <c r="L70">
        <f t="shared" si="23"/>
        <v>-0.00022541187731753558</v>
      </c>
      <c r="M70">
        <f t="shared" si="24"/>
        <v>-0.00018288787173243243</v>
      </c>
      <c r="N70">
        <f t="shared" si="25"/>
        <v>-0.005499948064185996</v>
      </c>
      <c r="O70">
        <f t="shared" si="8"/>
        <v>-0.005908247813235964</v>
      </c>
      <c r="P70">
        <f t="shared" si="9"/>
        <v>-0.005908247813235964</v>
      </c>
      <c r="Q70">
        <f t="shared" si="26"/>
        <v>0.0005486991640037122</v>
      </c>
      <c r="R70">
        <f t="shared" si="10"/>
        <v>-0.0011995765501506906</v>
      </c>
      <c r="S70">
        <f>-1*O9</f>
        <v>-0.009330190207100016</v>
      </c>
      <c r="T70">
        <f t="shared" si="35"/>
        <v>-0.0011739832277085664</v>
      </c>
      <c r="U70">
        <f t="shared" si="36"/>
        <v>0.0005333463528906905</v>
      </c>
      <c r="V70">
        <f t="shared" si="13"/>
        <v>-0.016529952281300837</v>
      </c>
    </row>
    <row r="71" spans="1:22" ht="12.75">
      <c r="A71" s="4">
        <f t="shared" si="14"/>
        <v>3.2463124087094504</v>
      </c>
      <c r="B71">
        <f t="shared" si="7"/>
        <v>185.99999999999983</v>
      </c>
      <c r="C71" s="4">
        <f t="shared" si="27"/>
        <v>0.5140825779163682</v>
      </c>
      <c r="D71" s="4">
        <f t="shared" si="28"/>
        <v>-1.1546483748236347</v>
      </c>
      <c r="E71" s="4">
        <f t="shared" si="15"/>
        <v>3.0024983748236345</v>
      </c>
      <c r="F71" s="4">
        <f t="shared" si="29"/>
        <v>3.046190635488151</v>
      </c>
      <c r="G71" s="4">
        <f t="shared" si="30"/>
        <v>1.2167715205934342</v>
      </c>
      <c r="H71" s="4">
        <f t="shared" si="31"/>
        <v>0.7918093847067509</v>
      </c>
      <c r="I71" s="4">
        <f t="shared" si="32"/>
        <v>2.8572811563769434</v>
      </c>
      <c r="J71" s="4">
        <f t="shared" si="33"/>
        <v>2.9649650433515142</v>
      </c>
      <c r="K71" s="4">
        <f t="shared" si="34"/>
        <v>1.3004603590551163</v>
      </c>
      <c r="L71">
        <f t="shared" si="23"/>
        <v>-0.00024710198852713233</v>
      </c>
      <c r="M71">
        <f t="shared" si="24"/>
        <v>-0.00016199285235313386</v>
      </c>
      <c r="N71">
        <f t="shared" si="25"/>
        <v>-0.005477325257124106</v>
      </c>
      <c r="O71">
        <f t="shared" si="8"/>
        <v>-0.005886420098004372</v>
      </c>
      <c r="P71">
        <f t="shared" si="9"/>
        <v>-0.005886420098004372</v>
      </c>
      <c r="Q71">
        <f t="shared" si="26"/>
        <v>0.0005653715523775596</v>
      </c>
      <c r="R71">
        <f t="shared" si="10"/>
        <v>-0.0012057295481910108</v>
      </c>
      <c r="S71">
        <f aca="true" t="shared" si="37" ref="S71:S129">-1*O10</f>
        <v>-0.009312576737862458</v>
      </c>
      <c r="T71">
        <f t="shared" si="35"/>
        <v>-0.0011368333350867817</v>
      </c>
      <c r="U71">
        <f t="shared" si="36"/>
        <v>0.0005192198753853103</v>
      </c>
      <c r="V71">
        <f t="shared" si="13"/>
        <v>-0.01645696829138175</v>
      </c>
    </row>
    <row r="72" spans="1:22" ht="12.75">
      <c r="A72" s="4">
        <f t="shared" si="14"/>
        <v>3.29867228626928</v>
      </c>
      <c r="B72">
        <f t="shared" si="7"/>
        <v>188.99999999999983</v>
      </c>
      <c r="C72" s="4">
        <f t="shared" si="27"/>
        <v>0.452948418789299</v>
      </c>
      <c r="D72" s="4">
        <f t="shared" si="28"/>
        <v>-1.179970972658342</v>
      </c>
      <c r="E72" s="4">
        <f t="shared" si="15"/>
        <v>3.027820972658342</v>
      </c>
      <c r="F72" s="4">
        <f t="shared" si="29"/>
        <v>3.0615130430154034</v>
      </c>
      <c r="G72" s="4">
        <f t="shared" si="30"/>
        <v>1.1956918848807396</v>
      </c>
      <c r="H72" s="4">
        <f t="shared" si="31"/>
        <v>0.7262043509463549</v>
      </c>
      <c r="I72" s="4">
        <f t="shared" si="32"/>
        <v>2.848644089828082</v>
      </c>
      <c r="J72" s="4">
        <f t="shared" si="33"/>
        <v>2.9397526953548114</v>
      </c>
      <c r="K72" s="4">
        <f t="shared" si="34"/>
        <v>1.3211832334991236</v>
      </c>
      <c r="L72">
        <f t="shared" si="23"/>
        <v>-0.00026912058572780504</v>
      </c>
      <c r="M72">
        <f t="shared" si="24"/>
        <v>-0.00014130373574585396</v>
      </c>
      <c r="N72">
        <f t="shared" si="25"/>
        <v>-0.005439689482256651</v>
      </c>
      <c r="O72">
        <f t="shared" si="8"/>
        <v>-0.005850113803730309</v>
      </c>
      <c r="P72">
        <f t="shared" si="9"/>
        <v>-0.005850113803730309</v>
      </c>
      <c r="Q72">
        <f t="shared" si="26"/>
        <v>0.0005834654563083146</v>
      </c>
      <c r="R72">
        <f t="shared" si="10"/>
        <v>-0.0011811520852400051</v>
      </c>
      <c r="S72">
        <f t="shared" si="37"/>
        <v>-0.009257212270196477</v>
      </c>
      <c r="T72">
        <f t="shared" si="35"/>
        <v>-0.0010934562785094393</v>
      </c>
      <c r="U72">
        <f t="shared" si="36"/>
        <v>0.0005062347931140964</v>
      </c>
      <c r="V72">
        <f t="shared" si="13"/>
        <v>-0.01629223418825382</v>
      </c>
    </row>
    <row r="73" spans="1:22" ht="12.75">
      <c r="A73" s="4">
        <f t="shared" si="14"/>
        <v>3.35103216382911</v>
      </c>
      <c r="B73">
        <f t="shared" si="7"/>
        <v>191.99999999999986</v>
      </c>
      <c r="C73" s="4">
        <f t="shared" si="27"/>
        <v>0.39057275953038684</v>
      </c>
      <c r="D73" s="4">
        <f t="shared" si="28"/>
        <v>-1.2020593520757694</v>
      </c>
      <c r="E73" s="4">
        <f t="shared" si="15"/>
        <v>3.0499093520757694</v>
      </c>
      <c r="F73" s="4">
        <f t="shared" si="29"/>
        <v>3.07481611423617</v>
      </c>
      <c r="G73" s="4">
        <f t="shared" si="30"/>
        <v>1.174564766697555</v>
      </c>
      <c r="H73" s="4">
        <f t="shared" si="31"/>
        <v>0.6611412557416212</v>
      </c>
      <c r="I73" s="4">
        <f t="shared" si="32"/>
        <v>2.836585357902547</v>
      </c>
      <c r="J73" s="4">
        <f t="shared" si="33"/>
        <v>2.9126146763193255</v>
      </c>
      <c r="K73" s="4">
        <f t="shared" si="34"/>
        <v>1.3418080234845258</v>
      </c>
      <c r="L73">
        <f aca="true" t="shared" si="38" ref="L73:L104">10000*mu0*COS(K73-A73)/2/PI()/J73</f>
        <v>-0.0002915019994821301</v>
      </c>
      <c r="M73">
        <f aca="true" t="shared" si="39" ref="M73:M104">10000*mu0*COS(G73+A73)/2/PI()/F73</f>
        <v>-0.00012079272456457553</v>
      </c>
      <c r="N73">
        <f aca="true" t="shared" si="40" ref="N73:N104">10000*IF(ABS(Rp*SIN(A73))&lt;=Rcp*SIN(thetac/2),2*mu0/2/PI()/dp*COS(PI()/2-delta)*COS(A73),0)</f>
        <v>-0.00538714389662651</v>
      </c>
      <c r="O73">
        <f t="shared" si="8"/>
        <v>-0.005799438620673216</v>
      </c>
      <c r="P73">
        <f t="shared" si="9"/>
        <v>-0.005799438620673216</v>
      </c>
      <c r="Q73">
        <f aca="true" t="shared" si="41" ref="Q73:Q104">-1*P93</f>
        <v>0.0006030917271812762</v>
      </c>
      <c r="R73">
        <f t="shared" si="10"/>
        <v>-0.0011104077832528169</v>
      </c>
      <c r="S73">
        <f t="shared" si="37"/>
        <v>-0.009156407991063896</v>
      </c>
      <c r="T73">
        <f t="shared" si="35"/>
        <v>-0.0010473626541806932</v>
      </c>
      <c r="U73">
        <f t="shared" si="36"/>
        <v>0.000494313991604571</v>
      </c>
      <c r="V73">
        <f t="shared" si="13"/>
        <v>-0.01601621133038477</v>
      </c>
    </row>
    <row r="74" spans="1:22" ht="12.75">
      <c r="A74" s="4">
        <f t="shared" si="14"/>
        <v>3.4033920413889396</v>
      </c>
      <c r="B74">
        <f aca="true" t="shared" si="42" ref="B74:B129">A74*180/PI()</f>
        <v>194.99999999999986</v>
      </c>
      <c r="C74" s="4">
        <f t="shared" si="27"/>
        <v>0.3271265674859816</v>
      </c>
      <c r="D74" s="4">
        <f t="shared" si="28"/>
        <v>-1.2208529703632782</v>
      </c>
      <c r="E74" s="4">
        <f t="shared" si="15"/>
        <v>3.068702970363278</v>
      </c>
      <c r="F74" s="4">
        <f t="shared" si="29"/>
        <v>3.0860897121554274</v>
      </c>
      <c r="G74" s="4">
        <f t="shared" si="30"/>
        <v>1.1533974090670898</v>
      </c>
      <c r="H74" s="4">
        <f t="shared" si="31"/>
        <v>0.5967984325140256</v>
      </c>
      <c r="I74" s="4">
        <f t="shared" si="32"/>
        <v>2.8211380127463555</v>
      </c>
      <c r="J74" s="4">
        <f t="shared" si="33"/>
        <v>2.883572100019983</v>
      </c>
      <c r="K74" s="4">
        <f t="shared" si="34"/>
        <v>1.3623245814367255</v>
      </c>
      <c r="L74">
        <f t="shared" si="38"/>
        <v>-0.00031428241551605487</v>
      </c>
      <c r="M74">
        <f t="shared" si="39"/>
        <v>-0.00010043286388138695</v>
      </c>
      <c r="N74">
        <f t="shared" si="40"/>
        <v>-0.005319832524031495</v>
      </c>
      <c r="O74">
        <f aca="true" t="shared" si="43" ref="O74:O109">SUM(L74:N74)</f>
        <v>-0.0057345478034289375</v>
      </c>
      <c r="P74">
        <f aca="true" t="shared" si="44" ref="P74:P129">O74</f>
        <v>-0.0057345478034289375</v>
      </c>
      <c r="Q74">
        <f t="shared" si="41"/>
        <v>0.0006243700580361218</v>
      </c>
      <c r="R74">
        <f aca="true" t="shared" si="45" ref="R74:R89">O114</f>
        <v>0.002920529360599013</v>
      </c>
      <c r="S74">
        <f t="shared" si="37"/>
        <v>-0.00899713380783913</v>
      </c>
      <c r="T74">
        <f t="shared" si="35"/>
        <v>-0.0010008080180542913</v>
      </c>
      <c r="U74">
        <f t="shared" si="36"/>
        <v>0.00048338765867752593</v>
      </c>
      <c r="V74">
        <f aca="true" t="shared" si="46" ref="V74:V129">SUM(P74:U74)</f>
        <v>-0.011704202552009699</v>
      </c>
    </row>
    <row r="75" spans="1:22" ht="12.75">
      <c r="A75" s="4">
        <f aca="true" t="shared" si="47" ref="A75:A118">A74+360/120*PI()/180</f>
        <v>3.4557519189487693</v>
      </c>
      <c r="B75">
        <f t="shared" si="42"/>
        <v>197.99999999999983</v>
      </c>
      <c r="C75" s="4">
        <f t="shared" si="27"/>
        <v>0.2627837442583862</v>
      </c>
      <c r="D75" s="4">
        <f t="shared" si="28"/>
        <v>-1.2363003155194707</v>
      </c>
      <c r="E75" s="4">
        <f aca="true" t="shared" si="48" ref="E75:E129">Rcp-D75</f>
        <v>3.0841503155194707</v>
      </c>
      <c r="F75" s="4">
        <f t="shared" si="29"/>
        <v>3.0953252599630474</v>
      </c>
      <c r="G75" s="4">
        <f t="shared" si="30"/>
        <v>1.1321968385749341</v>
      </c>
      <c r="H75" s="4">
        <f t="shared" si="31"/>
        <v>0.5333522404696207</v>
      </c>
      <c r="I75" s="4">
        <f t="shared" si="32"/>
        <v>2.8023443944588466</v>
      </c>
      <c r="J75" s="4">
        <f t="shared" si="33"/>
        <v>2.8526476679689843</v>
      </c>
      <c r="K75" s="4">
        <f t="shared" si="34"/>
        <v>1.3827220851659032</v>
      </c>
      <c r="L75">
        <f t="shared" si="38"/>
        <v>-0.0003375000939266393</v>
      </c>
      <c r="M75">
        <f t="shared" si="39"/>
        <v>-8.019790741524675E-05</v>
      </c>
      <c r="N75">
        <f t="shared" si="40"/>
        <v>-0.0052379398602651365</v>
      </c>
      <c r="O75">
        <f t="shared" si="43"/>
        <v>-0.0056556378616070225</v>
      </c>
      <c r="P75">
        <f t="shared" si="44"/>
        <v>-0.0056556378616070225</v>
      </c>
      <c r="Q75">
        <f t="shared" si="41"/>
        <v>0.0006474284440577836</v>
      </c>
      <c r="R75">
        <f t="shared" si="45"/>
        <v>0.0033434943801705745</v>
      </c>
      <c r="S75">
        <f t="shared" si="37"/>
        <v>-0.008761368249337168</v>
      </c>
      <c r="T75">
        <f t="shared" si="35"/>
        <v>-0.0009551992970659918</v>
      </c>
      <c r="U75">
        <f t="shared" si="36"/>
        <v>0.004367780451405109</v>
      </c>
      <c r="V75">
        <f t="shared" si="46"/>
        <v>-0.007013502132376713</v>
      </c>
    </row>
    <row r="76" spans="1:22" ht="12.75">
      <c r="A76" s="4">
        <f t="shared" si="47"/>
        <v>3.508111796508599</v>
      </c>
      <c r="B76">
        <f t="shared" si="42"/>
        <v>200.99999999999983</v>
      </c>
      <c r="C76" s="4">
        <f t="shared" si="27"/>
        <v>0.19772064905365264</v>
      </c>
      <c r="D76" s="4">
        <f t="shared" si="28"/>
        <v>-1.2483590474450057</v>
      </c>
      <c r="E76" s="4">
        <f t="shared" si="48"/>
        <v>3.0962090474450057</v>
      </c>
      <c r="F76" s="4">
        <f t="shared" si="29"/>
        <v>3.1025157405793298</v>
      </c>
      <c r="G76" s="4">
        <f t="shared" si="30"/>
        <v>1.1109699049882786</v>
      </c>
      <c r="H76" s="4">
        <f t="shared" si="31"/>
        <v>0.4709765812107083</v>
      </c>
      <c r="I76" s="4">
        <f t="shared" si="32"/>
        <v>2.7802560150414197</v>
      </c>
      <c r="J76" s="4">
        <f t="shared" si="33"/>
        <v>2.8198656792873877</v>
      </c>
      <c r="K76" s="4">
        <f t="shared" si="34"/>
        <v>1.4029889505852788</v>
      </c>
      <c r="L76">
        <f t="shared" si="38"/>
        <v>-0.0003611956080893954</v>
      </c>
      <c r="M76">
        <f t="shared" si="39"/>
        <v>-6.006219009441721E-05</v>
      </c>
      <c r="N76">
        <f t="shared" si="40"/>
        <v>-0.0051416903674265275</v>
      </c>
      <c r="O76">
        <f t="shared" si="43"/>
        <v>-0.00556294816561034</v>
      </c>
      <c r="P76">
        <f t="shared" si="44"/>
        <v>-0.00556294816561034</v>
      </c>
      <c r="Q76">
        <f t="shared" si="41"/>
        <v>0.0006724019091059268</v>
      </c>
      <c r="R76">
        <f t="shared" si="45"/>
        <v>0.0038628857510250416</v>
      </c>
      <c r="S76">
        <f t="shared" si="37"/>
        <v>-0.008428089339357965</v>
      </c>
      <c r="T76">
        <f t="shared" si="35"/>
        <v>-0.0009113778322217891</v>
      </c>
      <c r="U76">
        <f t="shared" si="36"/>
        <v>0.0045571395816419134</v>
      </c>
      <c r="V76">
        <f t="shared" si="46"/>
        <v>-0.005809988095417214</v>
      </c>
    </row>
    <row r="77" spans="1:22" ht="12.75">
      <c r="A77" s="4">
        <f t="shared" si="47"/>
        <v>3.560471674068429</v>
      </c>
      <c r="B77">
        <f t="shared" si="42"/>
        <v>203.9999999999998</v>
      </c>
      <c r="C77" s="4">
        <f t="shared" si="27"/>
        <v>0.1321156152932568</v>
      </c>
      <c r="D77" s="4">
        <f t="shared" si="28"/>
        <v>-1.2569961139938675</v>
      </c>
      <c r="E77" s="4">
        <f t="shared" si="48"/>
        <v>3.1048461139938675</v>
      </c>
      <c r="F77" s="4">
        <f t="shared" si="29"/>
        <v>3.1076556964031803</v>
      </c>
      <c r="G77" s="4">
        <f t="shared" si="30"/>
        <v>1.0897233188988547</v>
      </c>
      <c r="H77" s="4">
        <f t="shared" si="31"/>
        <v>0.40984242208363875</v>
      </c>
      <c r="I77" s="4">
        <f t="shared" si="32"/>
        <v>2.7549334172067126</v>
      </c>
      <c r="J77" s="4">
        <f t="shared" si="33"/>
        <v>2.78525204320572</v>
      </c>
      <c r="K77" s="4">
        <f t="shared" si="34"/>
        <v>1.4231127337694187</v>
      </c>
      <c r="L77">
        <f t="shared" si="38"/>
        <v>-0.0003854121056349251</v>
      </c>
      <c r="M77">
        <f t="shared" si="39"/>
        <v>-4.000050578210639E-05</v>
      </c>
      <c r="N77">
        <f t="shared" si="40"/>
        <v>-0.005031347858685317</v>
      </c>
      <c r="O77">
        <f t="shared" si="43"/>
        <v>-0.005456760470102348</v>
      </c>
      <c r="P77">
        <f t="shared" si="44"/>
        <v>-0.005456760470102348</v>
      </c>
      <c r="Q77">
        <f t="shared" si="41"/>
        <v>0.0006994301022855357</v>
      </c>
      <c r="R77">
        <f t="shared" si="45"/>
        <v>0.004486640212867809</v>
      </c>
      <c r="S77">
        <f t="shared" si="37"/>
        <v>-0.007978380981618266</v>
      </c>
      <c r="T77">
        <f t="shared" si="35"/>
        <v>-0.0008698125641222063</v>
      </c>
      <c r="U77">
        <f t="shared" si="36"/>
        <v>0.004736104093804795</v>
      </c>
      <c r="V77">
        <f t="shared" si="46"/>
        <v>-0.0043827796068846795</v>
      </c>
    </row>
    <row r="78" spans="1:22" ht="12.75">
      <c r="A78" s="4">
        <f t="shared" si="47"/>
        <v>3.6128315516282585</v>
      </c>
      <c r="B78">
        <f t="shared" si="42"/>
        <v>206.9999999999998</v>
      </c>
      <c r="C78" s="4">
        <f t="shared" si="27"/>
        <v>0.06614846181458602</v>
      </c>
      <c r="D78" s="4">
        <f t="shared" si="28"/>
        <v>-1.2621878415670007</v>
      </c>
      <c r="E78" s="4">
        <f t="shared" si="48"/>
        <v>3.1100378415670007</v>
      </c>
      <c r="F78" s="4">
        <f t="shared" si="29"/>
        <v>3.110741229189462</v>
      </c>
      <c r="G78" s="4">
        <f t="shared" si="30"/>
        <v>1.0684636878271325</v>
      </c>
      <c r="H78" s="4">
        <f t="shared" si="31"/>
        <v>0.3501173275691962</v>
      </c>
      <c r="I78" s="4">
        <f t="shared" si="32"/>
        <v>2.7264460084352393</v>
      </c>
      <c r="J78" s="4">
        <f t="shared" si="33"/>
        <v>2.7488342947468922</v>
      </c>
      <c r="K78" s="4">
        <f t="shared" si="34"/>
        <v>1.4430800205861058</v>
      </c>
      <c r="L78">
        <f t="shared" si="38"/>
        <v>-0.00041019559403995836</v>
      </c>
      <c r="M78">
        <f t="shared" si="39"/>
        <v>-1.9987989058205555E-05</v>
      </c>
      <c r="N78">
        <f t="shared" si="40"/>
        <v>-0.004907214775188152</v>
      </c>
      <c r="O78">
        <f t="shared" si="43"/>
        <v>-0.0053373983582863166</v>
      </c>
      <c r="P78">
        <f t="shared" si="44"/>
        <v>-0.0053373983582863166</v>
      </c>
      <c r="Q78">
        <f t="shared" si="41"/>
        <v>0.0007286531750536841</v>
      </c>
      <c r="R78">
        <f t="shared" si="45"/>
        <v>0.005201025905069601</v>
      </c>
      <c r="S78">
        <f t="shared" si="37"/>
        <v>-0.007404395687107832</v>
      </c>
      <c r="T78">
        <f t="shared" si="35"/>
        <v>-0.0008307302952098174</v>
      </c>
      <c r="U78">
        <f t="shared" si="36"/>
        <v>0.004904115032377894</v>
      </c>
      <c r="V78">
        <f t="shared" si="46"/>
        <v>-0.0027387302281027866</v>
      </c>
    </row>
    <row r="79" spans="1:22" ht="12.75">
      <c r="A79" s="4">
        <f t="shared" si="47"/>
        <v>3.6651914291880883</v>
      </c>
      <c r="B79">
        <f t="shared" si="42"/>
        <v>209.9999999999998</v>
      </c>
      <c r="C79" s="4">
        <f t="shared" si="27"/>
        <v>4.645131431147361E-15</v>
      </c>
      <c r="D79" s="4">
        <f t="shared" si="28"/>
        <v>-1.26392</v>
      </c>
      <c r="E79" s="4">
        <f t="shared" si="48"/>
        <v>3.11177</v>
      </c>
      <c r="F79" s="4">
        <f t="shared" si="29"/>
        <v>3.11177</v>
      </c>
      <c r="G79" s="4">
        <f t="shared" si="30"/>
        <v>1.0471975511965994</v>
      </c>
      <c r="H79" s="4">
        <f t="shared" si="31"/>
        <v>0.29196500000000447</v>
      </c>
      <c r="I79" s="4">
        <f t="shared" si="32"/>
        <v>2.694871870734305</v>
      </c>
      <c r="J79" s="4">
        <f t="shared" si="33"/>
        <v>2.7106416142492935</v>
      </c>
      <c r="K79" s="4">
        <f t="shared" si="34"/>
        <v>1.462876301823268</v>
      </c>
      <c r="L79">
        <f t="shared" si="38"/>
        <v>-0.00043559525353768444</v>
      </c>
      <c r="M79">
        <f t="shared" si="39"/>
        <v>-1.2597678229897158E-18</v>
      </c>
      <c r="N79">
        <f t="shared" si="40"/>
        <v>-0.004769631357088513</v>
      </c>
      <c r="O79">
        <f t="shared" si="43"/>
        <v>-0.005205226610626199</v>
      </c>
      <c r="P79">
        <f t="shared" si="44"/>
        <v>-0.005205226610626199</v>
      </c>
      <c r="Q79">
        <f t="shared" si="41"/>
        <v>0.0007602050608708157</v>
      </c>
      <c r="R79">
        <f t="shared" si="45"/>
        <v>0.005965431671497072</v>
      </c>
      <c r="S79">
        <f t="shared" si="37"/>
        <v>-0.006719878978815895</v>
      </c>
      <c r="T79">
        <f t="shared" si="35"/>
        <v>-0.0007942028484540782</v>
      </c>
      <c r="U79">
        <f t="shared" si="36"/>
        <v>0.0050606505020913605</v>
      </c>
      <c r="V79">
        <f t="shared" si="46"/>
        <v>-0.0009330212034369253</v>
      </c>
    </row>
    <row r="80" spans="1:22" ht="12.75">
      <c r="A80" s="4">
        <f t="shared" si="47"/>
        <v>3.717551306747918</v>
      </c>
      <c r="B80">
        <f t="shared" si="42"/>
        <v>212.99999999999977</v>
      </c>
      <c r="C80" s="4">
        <f t="shared" si="27"/>
        <v>-0.06614846181457673</v>
      </c>
      <c r="D80" s="4">
        <f t="shared" si="28"/>
        <v>-1.2621878415670011</v>
      </c>
      <c r="E80" s="4">
        <f t="shared" si="48"/>
        <v>3.110037841567001</v>
      </c>
      <c r="F80" s="4">
        <f t="shared" si="29"/>
        <v>3.110741229189462</v>
      </c>
      <c r="G80" s="4">
        <f t="shared" si="30"/>
        <v>1.025931414566066</v>
      </c>
      <c r="H80" s="4">
        <f t="shared" si="31"/>
        <v>0.23554483086381106</v>
      </c>
      <c r="I80" s="4">
        <f t="shared" si="32"/>
        <v>2.6602975466206575</v>
      </c>
      <c r="J80" s="4">
        <f t="shared" si="33"/>
        <v>2.6707048515143996</v>
      </c>
      <c r="K80" s="4">
        <f t="shared" si="34"/>
        <v>1.482485831355343</v>
      </c>
      <c r="L80">
        <f t="shared" si="38"/>
        <v>-0.00046166378017747147</v>
      </c>
      <c r="M80">
        <f t="shared" si="39"/>
        <v>1.9987989058202462E-05</v>
      </c>
      <c r="N80">
        <f t="shared" si="40"/>
        <v>-0.004618974710972105</v>
      </c>
      <c r="O80">
        <f t="shared" si="43"/>
        <v>-0.0050606505020913736</v>
      </c>
      <c r="P80">
        <f t="shared" si="44"/>
        <v>-0.0050606505020913736</v>
      </c>
      <c r="Q80">
        <f t="shared" si="41"/>
        <v>0.0007942028484540774</v>
      </c>
      <c r="R80">
        <f t="shared" si="45"/>
        <v>0.006719878978815963</v>
      </c>
      <c r="S80">
        <f t="shared" si="37"/>
        <v>-0.005965431671497003</v>
      </c>
      <c r="T80">
        <f t="shared" si="35"/>
        <v>-0.0007602050608708161</v>
      </c>
      <c r="U80">
        <f t="shared" si="36"/>
        <v>0.005205226610626186</v>
      </c>
      <c r="V80">
        <f t="shared" si="46"/>
        <v>0.0009330212034370337</v>
      </c>
    </row>
    <row r="81" spans="1:22" ht="12.75">
      <c r="A81" s="4">
        <f t="shared" si="47"/>
        <v>3.7699111843077477</v>
      </c>
      <c r="B81">
        <f t="shared" si="42"/>
        <v>215.99999999999977</v>
      </c>
      <c r="C81" s="4">
        <f t="shared" si="27"/>
        <v>-0.13211561529324756</v>
      </c>
      <c r="D81" s="4">
        <f t="shared" si="28"/>
        <v>-1.2569961139938686</v>
      </c>
      <c r="E81" s="4">
        <f t="shared" si="48"/>
        <v>3.104846113993869</v>
      </c>
      <c r="F81" s="4">
        <f t="shared" si="29"/>
        <v>3.1076556964031816</v>
      </c>
      <c r="G81" s="4">
        <f t="shared" si="30"/>
        <v>1.004671783494344</v>
      </c>
      <c r="H81" s="4">
        <f t="shared" si="31"/>
        <v>0.18101146392250111</v>
      </c>
      <c r="I81" s="4">
        <f t="shared" si="32"/>
        <v>2.622817801913462</v>
      </c>
      <c r="J81" s="4">
        <f t="shared" si="33"/>
        <v>2.6290565555167373</v>
      </c>
      <c r="K81" s="4">
        <f t="shared" si="34"/>
        <v>1.5018914644364456</v>
      </c>
      <c r="L81">
        <f t="shared" si="38"/>
        <v>-0.0004884577619260935</v>
      </c>
      <c r="M81">
        <f t="shared" si="39"/>
        <v>4.0000505782103296E-05</v>
      </c>
      <c r="N81">
        <f t="shared" si="40"/>
        <v>-0.004455657776233918</v>
      </c>
      <c r="O81">
        <f t="shared" si="43"/>
        <v>-0.004904115032377908</v>
      </c>
      <c r="P81">
        <f t="shared" si="44"/>
        <v>-0.004904115032377908</v>
      </c>
      <c r="Q81">
        <f t="shared" si="41"/>
        <v>0.0008307302952098166</v>
      </c>
      <c r="R81">
        <f t="shared" si="45"/>
        <v>0.007404395687107896</v>
      </c>
      <c r="S81">
        <f t="shared" si="37"/>
        <v>-0.0052010259050695356</v>
      </c>
      <c r="T81">
        <f t="shared" si="35"/>
        <v>-0.0007286531750536849</v>
      </c>
      <c r="U81">
        <f t="shared" si="36"/>
        <v>0.005337398358286305</v>
      </c>
      <c r="V81">
        <f t="shared" si="46"/>
        <v>0.0027387302281028894</v>
      </c>
    </row>
    <row r="82" spans="1:22" ht="12.75">
      <c r="A82" s="4">
        <f t="shared" si="47"/>
        <v>3.8222710618675775</v>
      </c>
      <c r="B82">
        <f t="shared" si="42"/>
        <v>218.99999999999977</v>
      </c>
      <c r="C82" s="4">
        <f t="shared" si="27"/>
        <v>-0.19772064905364342</v>
      </c>
      <c r="D82" s="4">
        <f t="shared" si="28"/>
        <v>-1.2483590474450073</v>
      </c>
      <c r="E82" s="4">
        <f t="shared" si="48"/>
        <v>3.096209047445007</v>
      </c>
      <c r="F82" s="4">
        <f t="shared" si="29"/>
        <v>3.1025157405793307</v>
      </c>
      <c r="G82" s="4">
        <f t="shared" si="30"/>
        <v>0.9834251974049202</v>
      </c>
      <c r="H82" s="4">
        <f t="shared" si="31"/>
        <v>0.128514371344294</v>
      </c>
      <c r="I82" s="4">
        <f t="shared" si="32"/>
        <v>2.582535365987773</v>
      </c>
      <c r="J82" s="4">
        <f t="shared" si="33"/>
        <v>2.5857310108013207</v>
      </c>
      <c r="K82" s="4">
        <f t="shared" si="34"/>
        <v>1.5210744726522485</v>
      </c>
      <c r="L82">
        <f t="shared" si="38"/>
        <v>-0.000516038090659176</v>
      </c>
      <c r="M82">
        <f t="shared" si="39"/>
        <v>6.006219009441468E-05</v>
      </c>
      <c r="N82">
        <f t="shared" si="40"/>
        <v>-0.00428012819324005</v>
      </c>
      <c r="O82">
        <f t="shared" si="43"/>
        <v>-0.004736104093804812</v>
      </c>
      <c r="P82">
        <f t="shared" si="44"/>
        <v>-0.004736104093804812</v>
      </c>
      <c r="Q82">
        <f t="shared" si="41"/>
        <v>0.0008698125641222053</v>
      </c>
      <c r="R82">
        <f t="shared" si="45"/>
        <v>0.007978380981618322</v>
      </c>
      <c r="S82">
        <f t="shared" si="37"/>
        <v>-0.004486640212867758</v>
      </c>
      <c r="T82">
        <f t="shared" si="35"/>
        <v>-0.0006994301022855366</v>
      </c>
      <c r="U82">
        <f t="shared" si="36"/>
        <v>0.005456760470102338</v>
      </c>
      <c r="V82">
        <f t="shared" si="46"/>
        <v>0.0043827796068847584</v>
      </c>
    </row>
    <row r="83" spans="1:22" ht="12.75">
      <c r="A83" s="4">
        <f t="shared" si="47"/>
        <v>3.874630939427407</v>
      </c>
      <c r="B83">
        <f t="shared" si="42"/>
        <v>221.99999999999974</v>
      </c>
      <c r="C83" s="4">
        <f t="shared" si="27"/>
        <v>-0.2627837442583771</v>
      </c>
      <c r="D83" s="4">
        <f t="shared" si="28"/>
        <v>-1.2363003155194727</v>
      </c>
      <c r="E83" s="4">
        <f t="shared" si="48"/>
        <v>3.084150315519473</v>
      </c>
      <c r="F83" s="4">
        <f t="shared" si="29"/>
        <v>3.0953252599630487</v>
      </c>
      <c r="G83" s="4">
        <f t="shared" si="30"/>
        <v>0.9621982638182647</v>
      </c>
      <c r="H83" s="4">
        <f t="shared" si="31"/>
        <v>0.0781974440109161</v>
      </c>
      <c r="I83" s="4">
        <f t="shared" si="32"/>
        <v>2.539560650200467</v>
      </c>
      <c r="J83" s="4">
        <f t="shared" si="33"/>
        <v>2.54076428192315</v>
      </c>
      <c r="K83" s="4">
        <f t="shared" si="34"/>
        <v>1.5400143313852892</v>
      </c>
      <c r="L83">
        <f t="shared" si="38"/>
        <v>-0.0005444704126806012</v>
      </c>
      <c r="M83">
        <f t="shared" si="39"/>
        <v>8.019790741524363E-05</v>
      </c>
      <c r="N83">
        <f t="shared" si="40"/>
        <v>-0.004092867076376573</v>
      </c>
      <c r="O83">
        <f t="shared" si="43"/>
        <v>-0.00455713958164193</v>
      </c>
      <c r="P83">
        <f t="shared" si="44"/>
        <v>-0.00455713958164193</v>
      </c>
      <c r="Q83">
        <f t="shared" si="41"/>
        <v>0.0009113778322217881</v>
      </c>
      <c r="R83">
        <f t="shared" si="45"/>
        <v>0.008428089339358008</v>
      </c>
      <c r="S83">
        <f t="shared" si="37"/>
        <v>-0.0038628857510249965</v>
      </c>
      <c r="T83">
        <f t="shared" si="35"/>
        <v>-0.0006724019091059278</v>
      </c>
      <c r="U83">
        <f t="shared" si="36"/>
        <v>0.005562948165610331</v>
      </c>
      <c r="V83">
        <f t="shared" si="46"/>
        <v>0.005809988095417273</v>
      </c>
    </row>
    <row r="84" spans="1:22" ht="12.75">
      <c r="A84" s="4">
        <f t="shared" si="47"/>
        <v>3.926990816987237</v>
      </c>
      <c r="B84">
        <f t="shared" si="42"/>
        <v>224.99999999999974</v>
      </c>
      <c r="C84" s="4">
        <f t="shared" si="27"/>
        <v>-0.3271265674859727</v>
      </c>
      <c r="D84" s="4">
        <f t="shared" si="28"/>
        <v>-1.2208529703632807</v>
      </c>
      <c r="E84" s="4">
        <f t="shared" si="48"/>
        <v>3.0687029703632804</v>
      </c>
      <c r="F84" s="4">
        <f t="shared" si="29"/>
        <v>3.0860897121554283</v>
      </c>
      <c r="G84" s="4">
        <f t="shared" si="30"/>
        <v>0.9409976933261088</v>
      </c>
      <c r="H84" s="4">
        <f t="shared" si="31"/>
        <v>0.03019859712270323</v>
      </c>
      <c r="I84" s="4">
        <f t="shared" si="32"/>
        <v>2.4940114452603797</v>
      </c>
      <c r="J84" s="4">
        <f t="shared" si="33"/>
        <v>2.49419426756577</v>
      </c>
      <c r="K84" s="4">
        <f t="shared" si="34"/>
        <v>1.5586884748200838</v>
      </c>
      <c r="L84">
        <f t="shared" si="38"/>
        <v>-0.0005738256199380613</v>
      </c>
      <c r="M84">
        <f t="shared" si="39"/>
        <v>0.00010043286388138384</v>
      </c>
      <c r="N84">
        <f t="shared" si="40"/>
        <v>-0.00389438769534845</v>
      </c>
      <c r="O84">
        <f t="shared" si="43"/>
        <v>-0.004367780451405128</v>
      </c>
      <c r="P84">
        <f t="shared" si="44"/>
        <v>-0.004367780451405128</v>
      </c>
      <c r="Q84">
        <f t="shared" si="41"/>
        <v>0.0009551992970659916</v>
      </c>
      <c r="R84">
        <f t="shared" si="45"/>
        <v>0.0087613682493372</v>
      </c>
      <c r="S84">
        <f t="shared" si="37"/>
        <v>-0.003343494380170541</v>
      </c>
      <c r="T84">
        <f t="shared" si="35"/>
        <v>-0.0006474284440577843</v>
      </c>
      <c r="U84">
        <f t="shared" si="36"/>
        <v>0.005655637861607015</v>
      </c>
      <c r="V84">
        <f t="shared" si="46"/>
        <v>0.007013502132376753</v>
      </c>
    </row>
    <row r="85" spans="1:22" ht="12.75">
      <c r="A85" s="4">
        <f t="shared" si="47"/>
        <v>3.9793506945470667</v>
      </c>
      <c r="B85">
        <f t="shared" si="42"/>
        <v>227.99999999999974</v>
      </c>
      <c r="C85" s="4">
        <f t="shared" si="27"/>
        <v>-0.390572759530378</v>
      </c>
      <c r="D85" s="4">
        <f t="shared" si="28"/>
        <v>-1.2020593520757723</v>
      </c>
      <c r="E85" s="4">
        <f t="shared" si="48"/>
        <v>3.0499093520757725</v>
      </c>
      <c r="F85" s="4">
        <f t="shared" si="29"/>
        <v>3.0748161142361723</v>
      </c>
      <c r="G85" s="4">
        <f t="shared" si="30"/>
        <v>0.9198303356956438</v>
      </c>
      <c r="H85" s="4">
        <f t="shared" si="31"/>
        <v>-0.015350607817384176</v>
      </c>
      <c r="I85" s="4">
        <f t="shared" si="32"/>
        <v>2.446012598372168</v>
      </c>
      <c r="J85" s="4">
        <f t="shared" si="33"/>
        <v>2.446060766325262</v>
      </c>
      <c r="K85" s="4">
        <f t="shared" si="34"/>
        <v>1.5770720124978685</v>
      </c>
      <c r="L85">
        <f t="shared" si="38"/>
        <v>-0.0006041803832420974</v>
      </c>
      <c r="M85">
        <f t="shared" si="39"/>
        <v>0.00012079272456457238</v>
      </c>
      <c r="N85">
        <f t="shared" si="40"/>
        <v>0</v>
      </c>
      <c r="O85">
        <f t="shared" si="43"/>
        <v>-0.000483387658677525</v>
      </c>
      <c r="P85">
        <f t="shared" si="44"/>
        <v>-0.000483387658677525</v>
      </c>
      <c r="Q85">
        <f t="shared" si="41"/>
        <v>0.0010008080180542909</v>
      </c>
      <c r="R85">
        <f t="shared" si="45"/>
        <v>0.008997133807839154</v>
      </c>
      <c r="S85">
        <f t="shared" si="37"/>
        <v>-0.00292052936059899</v>
      </c>
      <c r="T85">
        <f t="shared" si="35"/>
        <v>-0.0006243700580361231</v>
      </c>
      <c r="U85">
        <f t="shared" si="36"/>
        <v>0.0057345478034289315</v>
      </c>
      <c r="V85">
        <f t="shared" si="46"/>
        <v>0.011704202552009739</v>
      </c>
    </row>
    <row r="86" spans="1:22" ht="12.75">
      <c r="A86" s="4">
        <f t="shared" si="47"/>
        <v>4.031710572106896</v>
      </c>
      <c r="B86">
        <f t="shared" si="42"/>
        <v>230.99999999999972</v>
      </c>
      <c r="C86" s="4">
        <f t="shared" si="27"/>
        <v>-0.4529484187892904</v>
      </c>
      <c r="D86" s="4">
        <f t="shared" si="28"/>
        <v>-1.1799709726583452</v>
      </c>
      <c r="E86" s="4">
        <f t="shared" si="48"/>
        <v>3.027820972658345</v>
      </c>
      <c r="F86" s="4">
        <f t="shared" si="29"/>
        <v>3.061513043015405</v>
      </c>
      <c r="G86" s="4">
        <f t="shared" si="30"/>
        <v>0.8987032175124591</v>
      </c>
      <c r="H86" s="4">
        <f t="shared" si="31"/>
        <v>-0.05832532360469056</v>
      </c>
      <c r="I86" s="4">
        <f t="shared" si="32"/>
        <v>2.39569567103879</v>
      </c>
      <c r="J86" s="4">
        <f t="shared" si="33"/>
        <v>2.396405556580019</v>
      </c>
      <c r="K86" s="4">
        <f t="shared" si="34"/>
        <v>1.5951374001788652</v>
      </c>
      <c r="L86">
        <f t="shared" si="38"/>
        <v>-0.0006356177273504207</v>
      </c>
      <c r="M86">
        <f t="shared" si="39"/>
        <v>0.0001413037357458508</v>
      </c>
      <c r="N86">
        <f t="shared" si="40"/>
        <v>0</v>
      </c>
      <c r="O86">
        <f t="shared" si="43"/>
        <v>-0.0004943139916045699</v>
      </c>
      <c r="P86">
        <f t="shared" si="44"/>
        <v>-0.0004943139916045699</v>
      </c>
      <c r="Q86">
        <f t="shared" si="41"/>
        <v>0.0010473626541806932</v>
      </c>
      <c r="R86">
        <f t="shared" si="45"/>
        <v>0.009156407991063912</v>
      </c>
      <c r="S86">
        <f t="shared" si="37"/>
        <v>0.0011104077832528245</v>
      </c>
      <c r="T86">
        <f t="shared" si="35"/>
        <v>-0.0006030917271812768</v>
      </c>
      <c r="U86">
        <f t="shared" si="36"/>
        <v>0.005799438620673209</v>
      </c>
      <c r="V86">
        <f t="shared" si="46"/>
        <v>0.01601621133038479</v>
      </c>
    </row>
    <row r="87" spans="1:22" ht="12.75">
      <c r="A87" s="4">
        <f t="shared" si="47"/>
        <v>4.084070449666727</v>
      </c>
      <c r="B87">
        <f t="shared" si="42"/>
        <v>233.99999999999974</v>
      </c>
      <c r="C87" s="4">
        <f t="shared" si="27"/>
        <v>-0.5140825779163603</v>
      </c>
      <c r="D87" s="4">
        <f t="shared" si="28"/>
        <v>-1.1546483748236385</v>
      </c>
      <c r="E87" s="4">
        <f t="shared" si="48"/>
        <v>3.0024983748236385</v>
      </c>
      <c r="F87" s="4">
        <f t="shared" si="29"/>
        <v>3.0461906354881534</v>
      </c>
      <c r="G87" s="4">
        <f t="shared" si="30"/>
        <v>0.8776235817997643</v>
      </c>
      <c r="H87" s="4">
        <f t="shared" si="31"/>
        <v>-0.09860775953037981</v>
      </c>
      <c r="I87" s="4">
        <f t="shared" si="32"/>
        <v>2.343198578460582</v>
      </c>
      <c r="J87" s="4">
        <f t="shared" si="33"/>
        <v>2.3452724934086646</v>
      </c>
      <c r="K87" s="4">
        <f t="shared" si="34"/>
        <v>1.6128540562228908</v>
      </c>
      <c r="L87">
        <f t="shared" si="38"/>
        <v>-0.0006682276454672262</v>
      </c>
      <c r="M87">
        <f t="shared" si="39"/>
        <v>0.0001619928523531312</v>
      </c>
      <c r="N87">
        <f t="shared" si="40"/>
        <v>0</v>
      </c>
      <c r="O87">
        <f t="shared" si="43"/>
        <v>-0.000506234793114095</v>
      </c>
      <c r="P87">
        <f t="shared" si="44"/>
        <v>-0.000506234793114095</v>
      </c>
      <c r="Q87">
        <f t="shared" si="41"/>
        <v>0.001093456278509439</v>
      </c>
      <c r="R87">
        <f t="shared" si="45"/>
        <v>0.009257212270196487</v>
      </c>
      <c r="S87">
        <f t="shared" si="37"/>
        <v>0.00118115208524001</v>
      </c>
      <c r="T87">
        <f t="shared" si="35"/>
        <v>-0.0005834654563083154</v>
      </c>
      <c r="U87">
        <f t="shared" si="36"/>
        <v>0.005850113803730305</v>
      </c>
      <c r="V87">
        <f t="shared" si="46"/>
        <v>0.016292234188253832</v>
      </c>
    </row>
    <row r="88" spans="1:22" ht="12.75">
      <c r="A88" s="4">
        <f t="shared" si="47"/>
        <v>4.136430327226557</v>
      </c>
      <c r="B88">
        <f t="shared" si="42"/>
        <v>236.99999999999977</v>
      </c>
      <c r="C88" s="4">
        <f t="shared" si="27"/>
        <v>-0.5738076724308033</v>
      </c>
      <c r="D88" s="4">
        <f t="shared" si="28"/>
        <v>-1.1261609660521643</v>
      </c>
      <c r="E88" s="4">
        <f t="shared" si="48"/>
        <v>2.9740109660521643</v>
      </c>
      <c r="F88" s="4">
        <f t="shared" si="29"/>
        <v>3.028860589584635</v>
      </c>
      <c r="G88" s="4">
        <f t="shared" si="30"/>
        <v>0.8565989300887961</v>
      </c>
      <c r="H88" s="4">
        <f t="shared" si="31"/>
        <v>-0.13608750423757732</v>
      </c>
      <c r="I88" s="4">
        <f t="shared" si="32"/>
        <v>2.2886652115192727</v>
      </c>
      <c r="J88" s="4">
        <f t="shared" si="33"/>
        <v>2.292707626198371</v>
      </c>
      <c r="K88" s="4">
        <f t="shared" si="34"/>
        <v>1.630187912780586</v>
      </c>
      <c r="L88">
        <f t="shared" si="38"/>
        <v>-0.0007021077471177392</v>
      </c>
      <c r="M88">
        <f t="shared" si="39"/>
        <v>0.00018288787173242982</v>
      </c>
      <c r="N88">
        <f t="shared" si="40"/>
        <v>0</v>
      </c>
      <c r="O88">
        <f t="shared" si="43"/>
        <v>-0.0005192198753853094</v>
      </c>
      <c r="P88">
        <f t="shared" si="44"/>
        <v>-0.0005192198753853094</v>
      </c>
      <c r="Q88">
        <f t="shared" si="41"/>
        <v>0.0011368333350867817</v>
      </c>
      <c r="R88">
        <f t="shared" si="45"/>
        <v>0.009312576737862465</v>
      </c>
      <c r="S88">
        <f t="shared" si="37"/>
        <v>0.0012057295481910123</v>
      </c>
      <c r="T88">
        <f t="shared" si="35"/>
        <v>-0.0005653715523775604</v>
      </c>
      <c r="U88">
        <f t="shared" si="36"/>
        <v>0.00588642009800437</v>
      </c>
      <c r="V88">
        <f t="shared" si="46"/>
        <v>0.01645696829138176</v>
      </c>
    </row>
    <row r="89" spans="1:22" ht="12.75">
      <c r="A89" s="4">
        <f t="shared" si="47"/>
        <v>4.188790204786387</v>
      </c>
      <c r="B89">
        <f t="shared" si="42"/>
        <v>239.99999999999977</v>
      </c>
      <c r="C89" s="4">
        <f t="shared" si="27"/>
        <v>-0.6319599999999957</v>
      </c>
      <c r="D89" s="4">
        <f t="shared" si="28"/>
        <v>-1.0945868283512301</v>
      </c>
      <c r="E89" s="4">
        <f t="shared" si="48"/>
        <v>2.94243682835123</v>
      </c>
      <c r="F89" s="4">
        <f t="shared" si="29"/>
        <v>3.009536165331402</v>
      </c>
      <c r="G89" s="4">
        <f t="shared" si="30"/>
        <v>0.8356370674623901</v>
      </c>
      <c r="H89" s="4">
        <f t="shared" si="31"/>
        <v>-0.17066182835122468</v>
      </c>
      <c r="I89" s="4">
        <f t="shared" si="32"/>
        <v>2.2322450423830795</v>
      </c>
      <c r="J89" s="4">
        <f t="shared" si="33"/>
        <v>2.238759341443385</v>
      </c>
      <c r="K89" s="4">
        <f t="shared" si="34"/>
        <v>1.6471008887002276</v>
      </c>
      <c r="L89">
        <f t="shared" si="38"/>
        <v>-0.0007373639278911126</v>
      </c>
      <c r="M89">
        <f t="shared" si="39"/>
        <v>0.00020401757500042333</v>
      </c>
      <c r="N89">
        <f t="shared" si="40"/>
        <v>0</v>
      </c>
      <c r="O89">
        <f t="shared" si="43"/>
        <v>-0.0005333463528906892</v>
      </c>
      <c r="P89">
        <f t="shared" si="44"/>
        <v>-0.0005333463528906892</v>
      </c>
      <c r="Q89">
        <f t="shared" si="41"/>
        <v>0.0011739832277085655</v>
      </c>
      <c r="R89">
        <f t="shared" si="45"/>
        <v>0.009330190207100016</v>
      </c>
      <c r="S89">
        <f t="shared" si="37"/>
        <v>0.001199576550150691</v>
      </c>
      <c r="T89">
        <f t="shared" si="35"/>
        <v>-0.0005486991640037134</v>
      </c>
      <c r="U89">
        <f t="shared" si="36"/>
        <v>0.005908247813235961</v>
      </c>
      <c r="V89">
        <f t="shared" si="46"/>
        <v>0.01652995228130083</v>
      </c>
    </row>
    <row r="90" spans="1:22" ht="12.75">
      <c r="A90" s="4">
        <f t="shared" si="47"/>
        <v>4.241150082346217</v>
      </c>
      <c r="B90">
        <f t="shared" si="42"/>
        <v>242.9999999999998</v>
      </c>
      <c r="C90" s="4">
        <f t="shared" si="27"/>
        <v>-0.6883801691361892</v>
      </c>
      <c r="D90" s="4">
        <f t="shared" si="28"/>
        <v>-1.0600125042375828</v>
      </c>
      <c r="E90" s="4">
        <f t="shared" si="48"/>
        <v>2.907862504237583</v>
      </c>
      <c r="F90" s="4">
        <f t="shared" si="29"/>
        <v>2.9882321865629575</v>
      </c>
      <c r="G90" s="4">
        <f t="shared" si="30"/>
        <v>0.8147461511518396</v>
      </c>
      <c r="H90" s="4">
        <f t="shared" si="31"/>
        <v>-0.20223596605215977</v>
      </c>
      <c r="I90" s="4">
        <f t="shared" si="32"/>
        <v>2.174092714813887</v>
      </c>
      <c r="J90" s="4">
        <f t="shared" si="33"/>
        <v>2.1834785363203983</v>
      </c>
      <c r="K90" s="4">
        <f t="shared" si="34"/>
        <v>1.6635502680745322</v>
      </c>
      <c r="L90">
        <f t="shared" si="38"/>
        <v>-0.0007741110413212475</v>
      </c>
      <c r="M90">
        <f t="shared" si="39"/>
        <v>0.0002254118773175353</v>
      </c>
      <c r="N90">
        <f t="shared" si="40"/>
        <v>0</v>
      </c>
      <c r="O90">
        <f t="shared" si="43"/>
        <v>-0.0005486991640037122</v>
      </c>
      <c r="P90">
        <f t="shared" si="44"/>
        <v>-0.0005486991640037122</v>
      </c>
      <c r="Q90">
        <f t="shared" si="41"/>
        <v>0.0011995765501506906</v>
      </c>
      <c r="R90">
        <f>O9</f>
        <v>0.009330190207100016</v>
      </c>
      <c r="S90">
        <f t="shared" si="37"/>
        <v>0.0011739832277085664</v>
      </c>
      <c r="T90">
        <f t="shared" si="35"/>
        <v>-0.0005333463528906905</v>
      </c>
      <c r="U90">
        <f t="shared" si="36"/>
        <v>0.005915531045901503</v>
      </c>
      <c r="V90">
        <f t="shared" si="46"/>
        <v>0.016537235513966374</v>
      </c>
    </row>
    <row r="91" spans="1:22" ht="12.75">
      <c r="A91" s="4">
        <f t="shared" si="47"/>
        <v>4.293509959906047</v>
      </c>
      <c r="B91">
        <f t="shared" si="42"/>
        <v>245.99999999999983</v>
      </c>
      <c r="C91" s="4">
        <f t="shared" si="27"/>
        <v>-0.7429135360774992</v>
      </c>
      <c r="D91" s="4">
        <f t="shared" si="28"/>
        <v>-1.022532759530386</v>
      </c>
      <c r="E91" s="4">
        <f t="shared" si="48"/>
        <v>2.870382759530386</v>
      </c>
      <c r="F91" s="4">
        <f t="shared" si="29"/>
        <v>2.9649650433515142</v>
      </c>
      <c r="G91" s="4">
        <f t="shared" si="30"/>
        <v>0.7939347433380795</v>
      </c>
      <c r="H91" s="4">
        <f t="shared" si="31"/>
        <v>-0.23072337482363392</v>
      </c>
      <c r="I91" s="4">
        <f t="shared" si="32"/>
        <v>2.1143676202994444</v>
      </c>
      <c r="J91" s="4">
        <f t="shared" si="33"/>
        <v>2.126918830012265</v>
      </c>
      <c r="K91" s="4">
        <f t="shared" si="34"/>
        <v>1.6794879646189735</v>
      </c>
      <c r="L91">
        <f t="shared" si="38"/>
        <v>-0.0008124735409046915</v>
      </c>
      <c r="M91">
        <f t="shared" si="39"/>
        <v>0.0002471019885271319</v>
      </c>
      <c r="N91">
        <f t="shared" si="40"/>
        <v>0</v>
      </c>
      <c r="O91">
        <f t="shared" si="43"/>
        <v>-0.0005653715523775596</v>
      </c>
      <c r="P91">
        <f t="shared" si="44"/>
        <v>-0.0005653715523775596</v>
      </c>
      <c r="Q91">
        <f t="shared" si="41"/>
        <v>0.0012057295481910108</v>
      </c>
      <c r="R91">
        <f aca="true" t="shared" si="49" ref="R91:R129">O10</f>
        <v>0.009312576737862458</v>
      </c>
      <c r="S91">
        <f t="shared" si="37"/>
        <v>0.0011368333350867817</v>
      </c>
      <c r="T91">
        <f t="shared" si="35"/>
        <v>-0.0005192198753853103</v>
      </c>
      <c r="U91">
        <f t="shared" si="36"/>
        <v>0.005908247813235964</v>
      </c>
      <c r="V91">
        <f t="shared" si="46"/>
        <v>0.016478796006613346</v>
      </c>
    </row>
    <row r="92" spans="1:22" ht="12.75">
      <c r="A92" s="4">
        <f t="shared" si="47"/>
        <v>4.3458698374658775</v>
      </c>
      <c r="B92">
        <f t="shared" si="42"/>
        <v>248.99999999999983</v>
      </c>
      <c r="C92" s="4">
        <f t="shared" si="27"/>
        <v>-0.7954106286557077</v>
      </c>
      <c r="D92" s="4">
        <f t="shared" si="28"/>
        <v>-0.9822503236046969</v>
      </c>
      <c r="E92" s="4">
        <f t="shared" si="48"/>
        <v>2.8301003236046967</v>
      </c>
      <c r="F92" s="4">
        <f t="shared" si="29"/>
        <v>2.939752695354811</v>
      </c>
      <c r="G92" s="4">
        <f t="shared" si="30"/>
        <v>0.7732118688940719</v>
      </c>
      <c r="H92" s="4">
        <f t="shared" si="31"/>
        <v>-0.2560459726583415</v>
      </c>
      <c r="I92" s="4">
        <f t="shared" si="32"/>
        <v>2.053233461172374</v>
      </c>
      <c r="J92" s="4">
        <f t="shared" si="33"/>
        <v>2.0691368215254506</v>
      </c>
      <c r="K92" s="4">
        <f t="shared" si="34"/>
        <v>1.6948596473846866</v>
      </c>
      <c r="L92">
        <f t="shared" si="38"/>
        <v>-0.0008525860420361196</v>
      </c>
      <c r="M92">
        <f t="shared" si="39"/>
        <v>0.000269120585727805</v>
      </c>
      <c r="N92">
        <f t="shared" si="40"/>
        <v>0</v>
      </c>
      <c r="O92">
        <f t="shared" si="43"/>
        <v>-0.0005834654563083146</v>
      </c>
      <c r="P92">
        <f t="shared" si="44"/>
        <v>-0.0005834654563083146</v>
      </c>
      <c r="Q92">
        <f t="shared" si="41"/>
        <v>0.0011811520852400051</v>
      </c>
      <c r="R92">
        <f t="shared" si="49"/>
        <v>0.009257212270196477</v>
      </c>
      <c r="S92">
        <f t="shared" si="37"/>
        <v>0.0010934562785094393</v>
      </c>
      <c r="T92">
        <f t="shared" si="35"/>
        <v>-0.0005062347931140964</v>
      </c>
      <c r="U92">
        <f t="shared" si="36"/>
        <v>0.005886420098004372</v>
      </c>
      <c r="V92">
        <f t="shared" si="46"/>
        <v>0.01632854048252788</v>
      </c>
    </row>
    <row r="93" spans="1:22" ht="12.75">
      <c r="A93" s="4">
        <f t="shared" si="47"/>
        <v>4.398229715025708</v>
      </c>
      <c r="B93">
        <f t="shared" si="42"/>
        <v>251.99999999999983</v>
      </c>
      <c r="C93" s="4">
        <f t="shared" si="27"/>
        <v>-0.8457275559890856</v>
      </c>
      <c r="D93" s="4">
        <f t="shared" si="28"/>
        <v>-0.9392756078173903</v>
      </c>
      <c r="E93" s="4">
        <f t="shared" si="48"/>
        <v>2.7871256078173903</v>
      </c>
      <c r="F93" s="4">
        <f t="shared" si="29"/>
        <v>2.9126146763193255</v>
      </c>
      <c r="G93" s="4">
        <f t="shared" si="30"/>
        <v>0.7525870789086697</v>
      </c>
      <c r="H93" s="4">
        <f t="shared" si="31"/>
        <v>-0.2781343520757693</v>
      </c>
      <c r="I93" s="4">
        <f t="shared" si="32"/>
        <v>1.9908578019134617</v>
      </c>
      <c r="J93" s="4">
        <f t="shared" si="33"/>
        <v>2.010192405030998</v>
      </c>
      <c r="K93" s="4">
        <f t="shared" si="34"/>
        <v>1.7096036974060622</v>
      </c>
      <c r="L93">
        <f t="shared" si="38"/>
        <v>-0.0008945937266634064</v>
      </c>
      <c r="M93">
        <f t="shared" si="39"/>
        <v>0.00029150199948213025</v>
      </c>
      <c r="N93">
        <f t="shared" si="40"/>
        <v>0</v>
      </c>
      <c r="O93">
        <f t="shared" si="43"/>
        <v>-0.0006030917271812762</v>
      </c>
      <c r="P93">
        <f t="shared" si="44"/>
        <v>-0.0006030917271812762</v>
      </c>
      <c r="Q93">
        <f t="shared" si="41"/>
        <v>0.0011104077832528169</v>
      </c>
      <c r="R93">
        <f t="shared" si="49"/>
        <v>0.009156407991063896</v>
      </c>
      <c r="S93">
        <f t="shared" si="37"/>
        <v>0.0010473626541806932</v>
      </c>
      <c r="T93">
        <f t="shared" si="35"/>
        <v>-0.000494313991604571</v>
      </c>
      <c r="U93">
        <f t="shared" si="36"/>
        <v>0.005850113803730309</v>
      </c>
      <c r="V93">
        <f t="shared" si="46"/>
        <v>0.016066886513441868</v>
      </c>
    </row>
    <row r="94" spans="1:22" ht="12.75">
      <c r="A94" s="4">
        <f t="shared" si="47"/>
        <v>4.450589592585538</v>
      </c>
      <c r="B94">
        <f t="shared" si="42"/>
        <v>254.99999999999986</v>
      </c>
      <c r="C94" s="4">
        <f t="shared" si="27"/>
        <v>-0.8937264028772991</v>
      </c>
      <c r="D94" s="4">
        <f t="shared" si="28"/>
        <v>-0.8937264028773031</v>
      </c>
      <c r="E94" s="4">
        <f t="shared" si="48"/>
        <v>2.7415764028773033</v>
      </c>
      <c r="F94" s="4">
        <f t="shared" si="29"/>
        <v>2.883572100019982</v>
      </c>
      <c r="G94" s="4">
        <f t="shared" si="30"/>
        <v>0.7320705209564697</v>
      </c>
      <c r="H94" s="4">
        <f t="shared" si="31"/>
        <v>-0.2969279703632781</v>
      </c>
      <c r="I94" s="4">
        <f t="shared" si="32"/>
        <v>1.9274116098690564</v>
      </c>
      <c r="J94" s="4">
        <f t="shared" si="33"/>
        <v>1.950149156716502</v>
      </c>
      <c r="K94" s="4">
        <f t="shared" si="34"/>
        <v>1.7236499574376387</v>
      </c>
      <c r="L94">
        <f t="shared" si="38"/>
        <v>-0.0009386524735521772</v>
      </c>
      <c r="M94">
        <f t="shared" si="39"/>
        <v>0.0003142824155160554</v>
      </c>
      <c r="N94">
        <f t="shared" si="40"/>
        <v>0</v>
      </c>
      <c r="O94">
        <f t="shared" si="43"/>
        <v>-0.0006243700580361218</v>
      </c>
      <c r="P94">
        <f t="shared" si="44"/>
        <v>-0.0006243700580361218</v>
      </c>
      <c r="Q94">
        <f t="shared" si="41"/>
        <v>-0.002920529360599013</v>
      </c>
      <c r="R94">
        <f t="shared" si="49"/>
        <v>0.00899713380783913</v>
      </c>
      <c r="S94">
        <f t="shared" si="37"/>
        <v>0.0010008080180542913</v>
      </c>
      <c r="T94">
        <f t="shared" si="35"/>
        <v>-0.00048338765867752593</v>
      </c>
      <c r="U94">
        <f aca="true" t="shared" si="50" ref="U94:U125">-1*O73</f>
        <v>0.005799438620673216</v>
      </c>
      <c r="V94">
        <f t="shared" si="46"/>
        <v>0.011769093369253976</v>
      </c>
    </row>
    <row r="95" spans="1:22" ht="12.75">
      <c r="A95" s="4">
        <f t="shared" si="47"/>
        <v>4.502949470145368</v>
      </c>
      <c r="B95">
        <f t="shared" si="42"/>
        <v>257.9999999999999</v>
      </c>
      <c r="C95" s="4">
        <f t="shared" si="27"/>
        <v>-0.9392756078173864</v>
      </c>
      <c r="D95" s="4">
        <f t="shared" si="28"/>
        <v>-0.84572755598909</v>
      </c>
      <c r="E95" s="4">
        <f t="shared" si="48"/>
        <v>2.6935775559890898</v>
      </c>
      <c r="F95" s="4">
        <f t="shared" si="29"/>
        <v>2.8526476679689834</v>
      </c>
      <c r="G95" s="4">
        <f t="shared" si="30"/>
        <v>0.7116730172272916</v>
      </c>
      <c r="H95" s="4">
        <f t="shared" si="31"/>
        <v>-0.31237531551947106</v>
      </c>
      <c r="I95" s="4">
        <f t="shared" si="32"/>
        <v>1.86306878664146</v>
      </c>
      <c r="J95" s="4">
        <f t="shared" si="33"/>
        <v>1.8890748109864708</v>
      </c>
      <c r="K95" s="4">
        <f t="shared" si="34"/>
        <v>1.736918227535043</v>
      </c>
      <c r="L95">
        <f t="shared" si="38"/>
        <v>-0.0009849285379844234</v>
      </c>
      <c r="M95">
        <f t="shared" si="39"/>
        <v>0.00033750009392663987</v>
      </c>
      <c r="N95">
        <f t="shared" si="40"/>
        <v>0</v>
      </c>
      <c r="O95">
        <f t="shared" si="43"/>
        <v>-0.0006474284440577836</v>
      </c>
      <c r="P95">
        <f t="shared" si="44"/>
        <v>-0.0006474284440577836</v>
      </c>
      <c r="Q95">
        <f t="shared" si="41"/>
        <v>-0.0033434943801705745</v>
      </c>
      <c r="R95">
        <f t="shared" si="49"/>
        <v>0.008761368249337168</v>
      </c>
      <c r="S95">
        <f t="shared" si="37"/>
        <v>0.0009551992970659918</v>
      </c>
      <c r="T95">
        <f t="shared" si="35"/>
        <v>-0.004367780451405109</v>
      </c>
      <c r="U95">
        <f t="shared" si="50"/>
        <v>0.0057345478034289375</v>
      </c>
      <c r="V95">
        <f t="shared" si="46"/>
        <v>0.007092412074198629</v>
      </c>
    </row>
    <row r="96" spans="1:22" ht="12.75">
      <c r="A96" s="4">
        <f t="shared" si="47"/>
        <v>4.555309347705198</v>
      </c>
      <c r="B96">
        <f t="shared" si="42"/>
        <v>260.9999999999999</v>
      </c>
      <c r="C96" s="4">
        <f t="shared" si="27"/>
        <v>-0.9822503236046928</v>
      </c>
      <c r="D96" s="4">
        <f t="shared" si="28"/>
        <v>-0.7954106286557127</v>
      </c>
      <c r="E96" s="4">
        <f t="shared" si="48"/>
        <v>2.6432606286557125</v>
      </c>
      <c r="F96" s="4">
        <f t="shared" si="29"/>
        <v>2.819865679287387</v>
      </c>
      <c r="G96" s="4">
        <f t="shared" si="30"/>
        <v>0.6914061518079161</v>
      </c>
      <c r="H96" s="4">
        <f t="shared" si="31"/>
        <v>-0.3244340474450056</v>
      </c>
      <c r="I96" s="4">
        <f t="shared" si="32"/>
        <v>1.7980056914367264</v>
      </c>
      <c r="J96" s="4">
        <f t="shared" si="33"/>
        <v>1.8270418488859002</v>
      </c>
      <c r="K96" s="4">
        <f t="shared" si="34"/>
        <v>1.7493164473716716</v>
      </c>
      <c r="L96">
        <f t="shared" si="38"/>
        <v>-0.0010335975171953226</v>
      </c>
      <c r="M96">
        <f t="shared" si="39"/>
        <v>0.00036119560808939587</v>
      </c>
      <c r="N96">
        <f t="shared" si="40"/>
        <v>0</v>
      </c>
      <c r="O96">
        <f t="shared" si="43"/>
        <v>-0.0006724019091059268</v>
      </c>
      <c r="P96">
        <f t="shared" si="44"/>
        <v>-0.0006724019091059268</v>
      </c>
      <c r="Q96">
        <f t="shared" si="41"/>
        <v>-0.0038628857510250416</v>
      </c>
      <c r="R96">
        <f t="shared" si="49"/>
        <v>0.008428089339357965</v>
      </c>
      <c r="S96">
        <f t="shared" si="37"/>
        <v>0.0009113778322217891</v>
      </c>
      <c r="T96">
        <f t="shared" si="35"/>
        <v>-0.0045571395816419134</v>
      </c>
      <c r="U96">
        <f t="shared" si="50"/>
        <v>0.0056556378616070225</v>
      </c>
      <c r="V96">
        <f t="shared" si="46"/>
        <v>0.005902677791413896</v>
      </c>
    </row>
    <row r="97" spans="1:22" ht="12.75">
      <c r="A97" s="4">
        <f t="shared" si="47"/>
        <v>4.607669225265028</v>
      </c>
      <c r="B97">
        <f t="shared" si="42"/>
        <v>263.9999999999999</v>
      </c>
      <c r="C97" s="4">
        <f t="shared" si="27"/>
        <v>-1.022532759530382</v>
      </c>
      <c r="D97" s="4">
        <f t="shared" si="28"/>
        <v>-0.7429135360775045</v>
      </c>
      <c r="E97" s="4">
        <f t="shared" si="48"/>
        <v>2.5907635360775045</v>
      </c>
      <c r="F97" s="4">
        <f t="shared" si="29"/>
        <v>2.7852520432057193</v>
      </c>
      <c r="G97" s="4">
        <f t="shared" si="30"/>
        <v>0.6712823686237762</v>
      </c>
      <c r="H97" s="4">
        <f t="shared" si="31"/>
        <v>-0.33307111399386735</v>
      </c>
      <c r="I97" s="4">
        <f t="shared" si="32"/>
        <v>1.7324006576763302</v>
      </c>
      <c r="J97" s="4">
        <f t="shared" si="33"/>
        <v>1.7641282282460358</v>
      </c>
      <c r="K97" s="4">
        <f t="shared" si="34"/>
        <v>1.7607384912438675</v>
      </c>
      <c r="L97">
        <f t="shared" si="38"/>
        <v>-0.001084842207920462</v>
      </c>
      <c r="M97">
        <f t="shared" si="39"/>
        <v>0.0003854121056349262</v>
      </c>
      <c r="N97">
        <f t="shared" si="40"/>
        <v>0</v>
      </c>
      <c r="O97">
        <f t="shared" si="43"/>
        <v>-0.0006994301022855357</v>
      </c>
      <c r="P97">
        <f t="shared" si="44"/>
        <v>-0.0006994301022855357</v>
      </c>
      <c r="Q97">
        <f t="shared" si="41"/>
        <v>-0.004486640212867809</v>
      </c>
      <c r="R97">
        <f t="shared" si="49"/>
        <v>0.007978380981618266</v>
      </c>
      <c r="S97">
        <f t="shared" si="37"/>
        <v>0.0008698125641222063</v>
      </c>
      <c r="T97">
        <f t="shared" si="35"/>
        <v>-0.004736104093804795</v>
      </c>
      <c r="U97">
        <f t="shared" si="50"/>
        <v>0.00556294816561034</v>
      </c>
      <c r="V97">
        <f t="shared" si="46"/>
        <v>0.004488967302392672</v>
      </c>
    </row>
    <row r="98" spans="1:22" ht="12.75">
      <c r="A98" s="4">
        <f t="shared" si="47"/>
        <v>4.660029102824859</v>
      </c>
      <c r="B98">
        <f t="shared" si="42"/>
        <v>266.99999999999994</v>
      </c>
      <c r="C98" s="4">
        <f t="shared" si="27"/>
        <v>-1.0600125042375792</v>
      </c>
      <c r="D98" s="4">
        <f t="shared" si="28"/>
        <v>-0.6883801691361948</v>
      </c>
      <c r="E98" s="4">
        <f t="shared" si="48"/>
        <v>2.5362301691361946</v>
      </c>
      <c r="F98" s="4">
        <f t="shared" si="29"/>
        <v>2.7488342947468904</v>
      </c>
      <c r="G98" s="4">
        <f t="shared" si="30"/>
        <v>0.651315081807089</v>
      </c>
      <c r="H98" s="4">
        <f t="shared" si="31"/>
        <v>-0.3382628415670006</v>
      </c>
      <c r="I98" s="4">
        <f t="shared" si="32"/>
        <v>1.6664335041976588</v>
      </c>
      <c r="J98" s="4">
        <f t="shared" si="33"/>
        <v>1.7004182938022838</v>
      </c>
      <c r="K98" s="4">
        <f t="shared" si="34"/>
        <v>1.7710614829973048</v>
      </c>
      <c r="L98">
        <f t="shared" si="38"/>
        <v>-0.0011388487690936436</v>
      </c>
      <c r="M98">
        <f t="shared" si="39"/>
        <v>0.00041019559403995945</v>
      </c>
      <c r="N98">
        <f t="shared" si="40"/>
        <v>0</v>
      </c>
      <c r="O98">
        <f t="shared" si="43"/>
        <v>-0.0007286531750536841</v>
      </c>
      <c r="P98">
        <f t="shared" si="44"/>
        <v>-0.0007286531750536841</v>
      </c>
      <c r="Q98">
        <f t="shared" si="41"/>
        <v>-0.005201025905069601</v>
      </c>
      <c r="R98">
        <f t="shared" si="49"/>
        <v>0.007404395687107832</v>
      </c>
      <c r="S98">
        <f t="shared" si="37"/>
        <v>0.0008307302952098174</v>
      </c>
      <c r="T98">
        <f t="shared" si="35"/>
        <v>-0.004904115032377894</v>
      </c>
      <c r="U98">
        <f t="shared" si="50"/>
        <v>0.005456760470102348</v>
      </c>
      <c r="V98">
        <f t="shared" si="46"/>
        <v>0.0028580923399188184</v>
      </c>
    </row>
    <row r="99" spans="1:22" ht="12.75">
      <c r="A99" s="4">
        <f t="shared" si="47"/>
        <v>4.712388980384689</v>
      </c>
      <c r="B99">
        <f t="shared" si="42"/>
        <v>269.99999999999994</v>
      </c>
      <c r="C99" s="4">
        <f t="shared" si="27"/>
        <v>-1.0945868283512268</v>
      </c>
      <c r="D99" s="4">
        <f t="shared" si="28"/>
        <v>-0.6319600000000015</v>
      </c>
      <c r="E99" s="4">
        <f t="shared" si="48"/>
        <v>2.4798100000000014</v>
      </c>
      <c r="F99" s="4">
        <f t="shared" si="29"/>
        <v>2.7106416142492917</v>
      </c>
      <c r="G99" s="4">
        <f t="shared" si="30"/>
        <v>0.6315188005699266</v>
      </c>
      <c r="H99" s="4">
        <f t="shared" si="31"/>
        <v>-0.3399949999999998</v>
      </c>
      <c r="I99" s="4">
        <f t="shared" si="32"/>
        <v>1.6002850423830768</v>
      </c>
      <c r="J99" s="4">
        <f t="shared" si="33"/>
        <v>1.6360039171407892</v>
      </c>
      <c r="K99" s="4">
        <f t="shared" si="34"/>
        <v>1.7801425148609822</v>
      </c>
      <c r="L99">
        <f t="shared" si="38"/>
        <v>-0.0011958003144085013</v>
      </c>
      <c r="M99">
        <f t="shared" si="39"/>
        <v>0.0004355952535376857</v>
      </c>
      <c r="N99">
        <f t="shared" si="40"/>
        <v>0</v>
      </c>
      <c r="O99">
        <f t="shared" si="43"/>
        <v>-0.0007602050608708157</v>
      </c>
      <c r="P99">
        <f t="shared" si="44"/>
        <v>-0.0007602050608708157</v>
      </c>
      <c r="Q99">
        <f t="shared" si="41"/>
        <v>-0.005965431671497072</v>
      </c>
      <c r="R99">
        <f t="shared" si="49"/>
        <v>0.006719878978815895</v>
      </c>
      <c r="S99">
        <f t="shared" si="37"/>
        <v>0.0007942028484540782</v>
      </c>
      <c r="T99">
        <f t="shared" si="35"/>
        <v>-0.0050606505020913605</v>
      </c>
      <c r="U99">
        <f t="shared" si="50"/>
        <v>0.0053373983582863166</v>
      </c>
      <c r="V99">
        <f t="shared" si="46"/>
        <v>0.0010651929510970418</v>
      </c>
    </row>
    <row r="100" spans="1:22" ht="12.75">
      <c r="A100" s="4">
        <f t="shared" si="47"/>
        <v>4.764748857944519</v>
      </c>
      <c r="B100">
        <f t="shared" si="42"/>
        <v>273</v>
      </c>
      <c r="C100" s="4">
        <f t="shared" si="27"/>
        <v>-1.1261609660521612</v>
      </c>
      <c r="D100" s="4">
        <f t="shared" si="28"/>
        <v>-0.5738076724308092</v>
      </c>
      <c r="E100" s="4">
        <f t="shared" si="48"/>
        <v>2.4216576724308094</v>
      </c>
      <c r="F100" s="4">
        <f t="shared" si="29"/>
        <v>2.670704851514398</v>
      </c>
      <c r="G100" s="4">
        <f t="shared" si="30"/>
        <v>0.6119092710378515</v>
      </c>
      <c r="H100" s="4">
        <f t="shared" si="31"/>
        <v>-0.33826284156700104</v>
      </c>
      <c r="I100" s="4">
        <f t="shared" si="32"/>
        <v>1.534136580568495</v>
      </c>
      <c r="J100" s="4">
        <f t="shared" si="33"/>
        <v>1.5709859317713117</v>
      </c>
      <c r="K100" s="4">
        <f t="shared" si="34"/>
        <v>1.7878146257563305</v>
      </c>
      <c r="L100">
        <f t="shared" si="38"/>
        <v>-0.0012558666286315507</v>
      </c>
      <c r="M100">
        <f t="shared" si="39"/>
        <v>0.00046166378017747326</v>
      </c>
      <c r="N100">
        <f t="shared" si="40"/>
        <v>0</v>
      </c>
      <c r="O100">
        <f t="shared" si="43"/>
        <v>-0.0007942028484540774</v>
      </c>
      <c r="P100">
        <f t="shared" si="44"/>
        <v>-0.0007942028484540774</v>
      </c>
      <c r="Q100">
        <f t="shared" si="41"/>
        <v>-0.006719878978815963</v>
      </c>
      <c r="R100">
        <f t="shared" si="49"/>
        <v>0.005965431671497003</v>
      </c>
      <c r="S100">
        <f t="shared" si="37"/>
        <v>0.0007602050608708161</v>
      </c>
      <c r="T100">
        <f t="shared" si="35"/>
        <v>-0.005205226610626186</v>
      </c>
      <c r="U100">
        <f t="shared" si="50"/>
        <v>0.005205226610626199</v>
      </c>
      <c r="V100">
        <f t="shared" si="46"/>
        <v>-0.0007884450949022081</v>
      </c>
    </row>
    <row r="101" spans="1:22" ht="12.75">
      <c r="A101" s="4">
        <f t="shared" si="47"/>
        <v>4.817108735504349</v>
      </c>
      <c r="B101">
        <f t="shared" si="42"/>
        <v>275.99999999999994</v>
      </c>
      <c r="C101" s="4">
        <f t="shared" si="27"/>
        <v>-1.1546483748236356</v>
      </c>
      <c r="D101" s="4">
        <f t="shared" si="28"/>
        <v>-0.5140825779163662</v>
      </c>
      <c r="E101" s="4">
        <f t="shared" si="48"/>
        <v>2.3619325779163662</v>
      </c>
      <c r="F101" s="4">
        <f t="shared" si="29"/>
        <v>2.6290565555167342</v>
      </c>
      <c r="G101" s="4">
        <f t="shared" si="30"/>
        <v>0.592503637956749</v>
      </c>
      <c r="H101" s="4">
        <f t="shared" si="31"/>
        <v>-0.3330711139938678</v>
      </c>
      <c r="I101" s="4">
        <f t="shared" si="32"/>
        <v>1.468169427089824</v>
      </c>
      <c r="J101" s="4">
        <f t="shared" si="33"/>
        <v>1.5054759491995804</v>
      </c>
      <c r="K101" s="4">
        <f t="shared" si="34"/>
        <v>1.7938818608234537</v>
      </c>
      <c r="L101">
        <f t="shared" si="38"/>
        <v>-0.001319188057135912</v>
      </c>
      <c r="M101">
        <f t="shared" si="39"/>
        <v>0.0004884577619260955</v>
      </c>
      <c r="N101">
        <f t="shared" si="40"/>
        <v>0</v>
      </c>
      <c r="O101">
        <f t="shared" si="43"/>
        <v>-0.0008307302952098166</v>
      </c>
      <c r="P101">
        <f t="shared" si="44"/>
        <v>-0.0008307302952098166</v>
      </c>
      <c r="Q101">
        <f t="shared" si="41"/>
        <v>-0.007404395687107896</v>
      </c>
      <c r="R101">
        <f t="shared" si="49"/>
        <v>0.0052010259050695356</v>
      </c>
      <c r="S101">
        <f t="shared" si="37"/>
        <v>0.0007286531750536849</v>
      </c>
      <c r="T101">
        <f t="shared" si="35"/>
        <v>-0.005337398358286305</v>
      </c>
      <c r="U101">
        <f t="shared" si="50"/>
        <v>0.0050606505020913736</v>
      </c>
      <c r="V101">
        <f t="shared" si="46"/>
        <v>-0.0025821947583894236</v>
      </c>
    </row>
    <row r="102" spans="1:22" ht="12.75">
      <c r="A102" s="4">
        <f t="shared" si="47"/>
        <v>4.869468613064179</v>
      </c>
      <c r="B102">
        <f t="shared" si="42"/>
        <v>279</v>
      </c>
      <c r="C102" s="4">
        <f t="shared" si="27"/>
        <v>-1.179970972658343</v>
      </c>
      <c r="D102" s="4">
        <f t="shared" si="28"/>
        <v>-0.4529484187892964</v>
      </c>
      <c r="E102" s="4">
        <f t="shared" si="48"/>
        <v>2.3007984187892965</v>
      </c>
      <c r="F102" s="4">
        <f t="shared" si="29"/>
        <v>2.5857310108013176</v>
      </c>
      <c r="G102" s="4">
        <f t="shared" si="30"/>
        <v>0.5733206297409457</v>
      </c>
      <c r="H102" s="4">
        <f t="shared" si="31"/>
        <v>-0.3244340474450065</v>
      </c>
      <c r="I102" s="4">
        <f t="shared" si="32"/>
        <v>1.4025643933294274</v>
      </c>
      <c r="J102" s="4">
        <f t="shared" si="33"/>
        <v>1.4395986692745633</v>
      </c>
      <c r="K102" s="4">
        <f t="shared" si="34"/>
        <v>1.7981131955068697</v>
      </c>
      <c r="L102">
        <f t="shared" si="38"/>
        <v>-0.0013858506547813835</v>
      </c>
      <c r="M102">
        <f t="shared" si="39"/>
        <v>0.0005160380906591782</v>
      </c>
      <c r="N102">
        <f t="shared" si="40"/>
        <v>0</v>
      </c>
      <c r="O102">
        <f t="shared" si="43"/>
        <v>-0.0008698125641222053</v>
      </c>
      <c r="P102">
        <f t="shared" si="44"/>
        <v>-0.0008698125641222053</v>
      </c>
      <c r="Q102">
        <f t="shared" si="41"/>
        <v>-0.007978380981618322</v>
      </c>
      <c r="R102">
        <f t="shared" si="49"/>
        <v>0.004486640212867758</v>
      </c>
      <c r="S102">
        <f t="shared" si="37"/>
        <v>0.0006994301022855366</v>
      </c>
      <c r="T102">
        <f t="shared" si="35"/>
        <v>-0.005456760470102338</v>
      </c>
      <c r="U102">
        <f t="shared" si="50"/>
        <v>0.004904115032377908</v>
      </c>
      <c r="V102">
        <f t="shared" si="46"/>
        <v>-0.004214768668311662</v>
      </c>
    </row>
    <row r="103" spans="1:22" ht="12.75">
      <c r="A103" s="4">
        <f t="shared" si="47"/>
        <v>4.9218284906240095</v>
      </c>
      <c r="B103">
        <f t="shared" si="42"/>
        <v>282</v>
      </c>
      <c r="C103" s="4">
        <f t="shared" si="27"/>
        <v>-1.2020593520757703</v>
      </c>
      <c r="D103" s="4">
        <f t="shared" si="28"/>
        <v>-0.3905727595303838</v>
      </c>
      <c r="E103" s="4">
        <f t="shared" si="48"/>
        <v>2.238422759530384</v>
      </c>
      <c r="F103" s="4">
        <f t="shared" si="29"/>
        <v>2.540764281923146</v>
      </c>
      <c r="G103" s="4">
        <f t="shared" si="30"/>
        <v>0.5543807710079048</v>
      </c>
      <c r="H103" s="4">
        <f t="shared" si="31"/>
        <v>-0.3123753155194715</v>
      </c>
      <c r="I103" s="4">
        <f t="shared" si="32"/>
        <v>1.3375012981246934</v>
      </c>
      <c r="J103" s="4">
        <f t="shared" si="33"/>
        <v>1.3734948344391869</v>
      </c>
      <c r="K103" s="4">
        <f t="shared" si="34"/>
        <v>1.8002350677772427</v>
      </c>
      <c r="L103">
        <f t="shared" si="38"/>
        <v>-0.0014558482449023918</v>
      </c>
      <c r="M103">
        <f t="shared" si="39"/>
        <v>0.0005444704126806037</v>
      </c>
      <c r="N103">
        <f t="shared" si="40"/>
        <v>0</v>
      </c>
      <c r="O103">
        <f t="shared" si="43"/>
        <v>-0.0009113778322217881</v>
      </c>
      <c r="P103">
        <f t="shared" si="44"/>
        <v>-0.0009113778322217881</v>
      </c>
      <c r="Q103">
        <f t="shared" si="41"/>
        <v>-0.008428089339358008</v>
      </c>
      <c r="R103">
        <f t="shared" si="49"/>
        <v>0.0038628857510249965</v>
      </c>
      <c r="S103">
        <f t="shared" si="37"/>
        <v>0.0006724019091059278</v>
      </c>
      <c r="T103">
        <f t="shared" si="35"/>
        <v>-0.005562948165610331</v>
      </c>
      <c r="U103">
        <f t="shared" si="50"/>
        <v>0.004736104093804812</v>
      </c>
      <c r="V103">
        <f t="shared" si="46"/>
        <v>-0.005631023583254391</v>
      </c>
    </row>
    <row r="104" spans="1:22" ht="12.75">
      <c r="A104" s="4">
        <f t="shared" si="47"/>
        <v>4.97418836818384</v>
      </c>
      <c r="B104">
        <f t="shared" si="42"/>
        <v>285.00000000000006</v>
      </c>
      <c r="C104" s="4">
        <f t="shared" si="27"/>
        <v>-1.220852970363279</v>
      </c>
      <c r="D104" s="4">
        <f t="shared" si="28"/>
        <v>-0.32712656748597785</v>
      </c>
      <c r="E104" s="4">
        <f t="shared" si="48"/>
        <v>2.174976567485978</v>
      </c>
      <c r="F104" s="4">
        <f t="shared" si="29"/>
        <v>2.494194267565766</v>
      </c>
      <c r="G104" s="4">
        <f t="shared" si="30"/>
        <v>0.5357066275731099</v>
      </c>
      <c r="H104" s="4">
        <f t="shared" si="31"/>
        <v>-0.29692797036327856</v>
      </c>
      <c r="I104" s="4">
        <f t="shared" si="32"/>
        <v>1.273158474897097</v>
      </c>
      <c r="J104" s="4">
        <f t="shared" si="33"/>
        <v>1.307325025304097</v>
      </c>
      <c r="K104" s="4">
        <f t="shared" si="34"/>
        <v>1.7999222290621986</v>
      </c>
      <c r="L104">
        <f t="shared" si="38"/>
        <v>-0.0015290249170040557</v>
      </c>
      <c r="M104">
        <f t="shared" si="39"/>
        <v>0.0005738256199380641</v>
      </c>
      <c r="N104">
        <f t="shared" si="40"/>
        <v>0</v>
      </c>
      <c r="O104">
        <f t="shared" si="43"/>
        <v>-0.0009551992970659916</v>
      </c>
      <c r="P104">
        <f t="shared" si="44"/>
        <v>-0.0009551992970659916</v>
      </c>
      <c r="Q104">
        <f t="shared" si="41"/>
        <v>-0.0087613682493372</v>
      </c>
      <c r="R104">
        <f t="shared" si="49"/>
        <v>0.003343494380170541</v>
      </c>
      <c r="S104">
        <f t="shared" si="37"/>
        <v>0.0006474284440577843</v>
      </c>
      <c r="T104">
        <f t="shared" si="35"/>
        <v>-0.005655637861607015</v>
      </c>
      <c r="U104">
        <f t="shared" si="50"/>
        <v>0.00455713958164193</v>
      </c>
      <c r="V104">
        <f t="shared" si="46"/>
        <v>-0.006824143002139952</v>
      </c>
    </row>
    <row r="105" spans="1:22" ht="12.75">
      <c r="A105" s="4">
        <f t="shared" si="47"/>
        <v>5.02654824574367</v>
      </c>
      <c r="B105">
        <f t="shared" si="42"/>
        <v>288.00000000000006</v>
      </c>
      <c r="C105" s="4">
        <f t="shared" si="27"/>
        <v>-1.2363003155194716</v>
      </c>
      <c r="D105" s="4">
        <f t="shared" si="28"/>
        <v>-0.26278374425838186</v>
      </c>
      <c r="E105" s="4">
        <f t="shared" si="48"/>
        <v>2.110633744258382</v>
      </c>
      <c r="F105" s="4">
        <f t="shared" si="29"/>
        <v>2.4460607663252567</v>
      </c>
      <c r="G105" s="4">
        <f t="shared" si="30"/>
        <v>0.5173230898953254</v>
      </c>
      <c r="H105" s="4">
        <f t="shared" si="31"/>
        <v>-0.2781343520757702</v>
      </c>
      <c r="I105" s="4">
        <f t="shared" si="32"/>
        <v>1.2097122828526914</v>
      </c>
      <c r="J105" s="4">
        <f t="shared" si="33"/>
        <v>1.2412745566913383</v>
      </c>
      <c r="K105" s="4">
        <f t="shared" si="34"/>
        <v>1.79678661610505</v>
      </c>
      <c r="L105">
        <f aca="true" t="shared" si="51" ref="L105:L129">10000*mu0*COS(K105-A105)/2/PI()/J105</f>
        <v>-0.0016049884012963914</v>
      </c>
      <c r="M105">
        <f aca="true" t="shared" si="52" ref="M105:M129">10000*mu0*COS(G105+A105)/2/PI()/F105</f>
        <v>0.0006041803832421005</v>
      </c>
      <c r="N105">
        <f aca="true" t="shared" si="53" ref="N105:N129">10000*IF(ABS(Rp*SIN(A105))&lt;=Rcp*SIN(thetac/2),2*mu0/2/PI()/dp*COS(PI()/2-delta)*COS(A105),0)</f>
        <v>0</v>
      </c>
      <c r="O105">
        <f t="shared" si="43"/>
        <v>-0.0010008080180542909</v>
      </c>
      <c r="P105">
        <f t="shared" si="44"/>
        <v>-0.0010008080180542909</v>
      </c>
      <c r="Q105">
        <f>-1*P125</f>
        <v>-0.008997133807839154</v>
      </c>
      <c r="R105">
        <f t="shared" si="49"/>
        <v>0.00292052936059899</v>
      </c>
      <c r="S105">
        <f t="shared" si="37"/>
        <v>0.0006243700580361231</v>
      </c>
      <c r="T105">
        <f t="shared" si="35"/>
        <v>-0.0057345478034289315</v>
      </c>
      <c r="U105">
        <f t="shared" si="50"/>
        <v>0.004367780451405128</v>
      </c>
      <c r="V105">
        <f t="shared" si="46"/>
        <v>-0.007819809759282138</v>
      </c>
    </row>
    <row r="106" spans="1:22" ht="12.75">
      <c r="A106" s="4">
        <f t="shared" si="47"/>
        <v>5.0789081233035</v>
      </c>
      <c r="B106">
        <f t="shared" si="42"/>
        <v>291.00000000000006</v>
      </c>
      <c r="C106" s="4">
        <f t="shared" si="27"/>
        <v>-1.2483590474450066</v>
      </c>
      <c r="D106" s="4">
        <f t="shared" si="28"/>
        <v>-0.19772064905364772</v>
      </c>
      <c r="E106" s="4">
        <f t="shared" si="48"/>
        <v>2.045570649053648</v>
      </c>
      <c r="F106" s="4">
        <f t="shared" si="29"/>
        <v>2.3964055565800138</v>
      </c>
      <c r="G106" s="4">
        <f t="shared" si="30"/>
        <v>0.4992577022143284</v>
      </c>
      <c r="H106" s="4">
        <f t="shared" si="31"/>
        <v>-0.25604597265834284</v>
      </c>
      <c r="I106" s="4">
        <f t="shared" si="32"/>
        <v>1.1473366235937785</v>
      </c>
      <c r="J106" s="4">
        <f t="shared" si="33"/>
        <v>1.1755598104537806</v>
      </c>
      <c r="K106" s="4">
        <f t="shared" si="34"/>
        <v>1.7903639988976605</v>
      </c>
      <c r="L106">
        <f t="shared" si="51"/>
        <v>-0.0016829803815311176</v>
      </c>
      <c r="M106">
        <f t="shared" si="52"/>
        <v>0.0006356177273504244</v>
      </c>
      <c r="N106">
        <f t="shared" si="53"/>
        <v>0</v>
      </c>
      <c r="O106">
        <f t="shared" si="43"/>
        <v>-0.0010473626541806932</v>
      </c>
      <c r="P106">
        <f t="shared" si="44"/>
        <v>-0.0010473626541806932</v>
      </c>
      <c r="Q106">
        <f>-1*P126</f>
        <v>-0.009156407991063912</v>
      </c>
      <c r="R106">
        <f t="shared" si="49"/>
        <v>-0.0011104077832528245</v>
      </c>
      <c r="S106">
        <f t="shared" si="37"/>
        <v>0.0006030917271812768</v>
      </c>
      <c r="T106">
        <f t="shared" si="35"/>
        <v>-0.005799438620673209</v>
      </c>
      <c r="U106">
        <f t="shared" si="50"/>
        <v>0.000483387658677525</v>
      </c>
      <c r="V106">
        <f t="shared" si="46"/>
        <v>-0.016027137663311836</v>
      </c>
    </row>
    <row r="107" spans="1:22" ht="12.75">
      <c r="A107" s="4">
        <f t="shared" si="47"/>
        <v>5.13126800086333</v>
      </c>
      <c r="B107">
        <f t="shared" si="42"/>
        <v>294.0000000000001</v>
      </c>
      <c r="C107" s="4">
        <f t="shared" si="27"/>
        <v>-1.2569961139938681</v>
      </c>
      <c r="D107" s="4">
        <f t="shared" si="28"/>
        <v>-0.1321156152932513</v>
      </c>
      <c r="E107" s="4">
        <f t="shared" si="48"/>
        <v>1.9799656152932512</v>
      </c>
      <c r="F107" s="4">
        <f t="shared" si="29"/>
        <v>2.345272493408659</v>
      </c>
      <c r="G107" s="4">
        <f t="shared" si="30"/>
        <v>0.4815410461703028</v>
      </c>
      <c r="H107" s="4">
        <f t="shared" si="31"/>
        <v>-0.23072337482363525</v>
      </c>
      <c r="I107" s="4">
        <f t="shared" si="32"/>
        <v>1.0862024644667085</v>
      </c>
      <c r="J107" s="4">
        <f t="shared" si="33"/>
        <v>1.1104364319957982</v>
      </c>
      <c r="K107" s="4">
        <f t="shared" si="34"/>
        <v>1.7800983456508042</v>
      </c>
      <c r="L107">
        <f t="shared" si="51"/>
        <v>-0.0017616839239766693</v>
      </c>
      <c r="M107">
        <f t="shared" si="52"/>
        <v>0.0006682276454672301</v>
      </c>
      <c r="N107">
        <f t="shared" si="53"/>
        <v>0</v>
      </c>
      <c r="O107">
        <f t="shared" si="43"/>
        <v>-0.001093456278509439</v>
      </c>
      <c r="P107">
        <f t="shared" si="44"/>
        <v>-0.001093456278509439</v>
      </c>
      <c r="Q107">
        <f>-1*P127</f>
        <v>-0.009257212270196487</v>
      </c>
      <c r="R107">
        <f t="shared" si="49"/>
        <v>-0.00118115208524001</v>
      </c>
      <c r="S107">
        <f t="shared" si="37"/>
        <v>0.0005834654563083154</v>
      </c>
      <c r="T107">
        <f t="shared" si="35"/>
        <v>-0.005850113803730305</v>
      </c>
      <c r="U107">
        <f t="shared" si="50"/>
        <v>0.0004943139916045699</v>
      </c>
      <c r="V107">
        <f t="shared" si="46"/>
        <v>-0.016304154989763356</v>
      </c>
    </row>
    <row r="108" spans="1:22" ht="12.75">
      <c r="A108" s="4">
        <f t="shared" si="47"/>
        <v>5.18362787842316</v>
      </c>
      <c r="B108">
        <f t="shared" si="42"/>
        <v>297.0000000000001</v>
      </c>
      <c r="C108" s="4">
        <f t="shared" si="27"/>
        <v>-1.262187841567001</v>
      </c>
      <c r="D108" s="4">
        <f t="shared" si="28"/>
        <v>-0.06614846181457992</v>
      </c>
      <c r="E108" s="4">
        <f t="shared" si="48"/>
        <v>1.91399846181458</v>
      </c>
      <c r="F108" s="4">
        <f t="shared" si="29"/>
        <v>2.292707626198365</v>
      </c>
      <c r="G108" s="4">
        <f t="shared" si="30"/>
        <v>0.46420718961260776</v>
      </c>
      <c r="H108" s="4">
        <f t="shared" si="31"/>
        <v>-0.2022359660521611</v>
      </c>
      <c r="I108" s="4">
        <f t="shared" si="32"/>
        <v>1.0264773699522658</v>
      </c>
      <c r="J108" s="4">
        <f t="shared" si="33"/>
        <v>1.0462099105768266</v>
      </c>
      <c r="K108" s="4">
        <f t="shared" si="34"/>
        <v>1.7653242991341407</v>
      </c>
      <c r="L108">
        <f t="shared" si="51"/>
        <v>-0.0018389410822045246</v>
      </c>
      <c r="M108">
        <f t="shared" si="52"/>
        <v>0.0007021077471177429</v>
      </c>
      <c r="N108">
        <f t="shared" si="53"/>
        <v>0</v>
      </c>
      <c r="O108">
        <f t="shared" si="43"/>
        <v>-0.0011368333350867817</v>
      </c>
      <c r="P108">
        <f t="shared" si="44"/>
        <v>-0.0011368333350867817</v>
      </c>
      <c r="Q108">
        <f>-1*P128</f>
        <v>-0.009312576737862465</v>
      </c>
      <c r="R108">
        <f t="shared" si="49"/>
        <v>-0.0012057295481910123</v>
      </c>
      <c r="S108">
        <f t="shared" si="37"/>
        <v>0.0005653715523775604</v>
      </c>
      <c r="T108">
        <f t="shared" si="35"/>
        <v>-0.00588642009800437</v>
      </c>
      <c r="U108">
        <f t="shared" si="50"/>
        <v>0.000506234793114095</v>
      </c>
      <c r="V108">
        <f t="shared" si="46"/>
        <v>-0.016469953373652972</v>
      </c>
    </row>
    <row r="109" spans="1:22" ht="12.75">
      <c r="A109" s="4">
        <f t="shared" si="47"/>
        <v>5.235987755982991</v>
      </c>
      <c r="B109">
        <f t="shared" si="42"/>
        <v>300.0000000000001</v>
      </c>
      <c r="C109" s="4">
        <f t="shared" si="27"/>
        <v>-1.26392</v>
      </c>
      <c r="D109" s="4">
        <f t="shared" si="28"/>
        <v>2.012994599098016E-15</v>
      </c>
      <c r="E109" s="4">
        <f t="shared" si="48"/>
        <v>1.847849999999998</v>
      </c>
      <c r="F109" s="4">
        <f t="shared" si="29"/>
        <v>2.2387593414433793</v>
      </c>
      <c r="G109" s="4">
        <f t="shared" si="30"/>
        <v>0.44729421369296607</v>
      </c>
      <c r="H109" s="4">
        <f t="shared" si="31"/>
        <v>-0.17066182835122645</v>
      </c>
      <c r="I109" s="4">
        <f t="shared" si="32"/>
        <v>0.9683250423830737</v>
      </c>
      <c r="J109" s="4">
        <f t="shared" si="33"/>
        <v>0.9832491278218176</v>
      </c>
      <c r="K109" s="4">
        <f t="shared" si="34"/>
        <v>1.7452491224590954</v>
      </c>
      <c r="L109">
        <f t="shared" si="51"/>
        <v>-0.0019113471555996819</v>
      </c>
      <c r="M109">
        <f t="shared" si="52"/>
        <v>0.0007373639278911164</v>
      </c>
      <c r="N109">
        <f t="shared" si="53"/>
        <v>0</v>
      </c>
      <c r="O109">
        <f t="shared" si="43"/>
        <v>-0.0011739832277085655</v>
      </c>
      <c r="P109">
        <f t="shared" si="44"/>
        <v>-0.0011739832277085655</v>
      </c>
      <c r="Q109">
        <f>-1*P129</f>
        <v>-0.009330190207100016</v>
      </c>
      <c r="R109">
        <f t="shared" si="49"/>
        <v>-0.001199576550150691</v>
      </c>
      <c r="S109">
        <f t="shared" si="37"/>
        <v>0.0005486991640037134</v>
      </c>
      <c r="T109">
        <f t="shared" si="35"/>
        <v>-0.005908247813235961</v>
      </c>
      <c r="U109">
        <f t="shared" si="50"/>
        <v>0.0005192198753853094</v>
      </c>
      <c r="V109">
        <f t="shared" si="46"/>
        <v>-0.016544078758806213</v>
      </c>
    </row>
    <row r="110" spans="1:22" ht="12.75">
      <c r="A110" s="4">
        <f t="shared" si="47"/>
        <v>5.288347633542821</v>
      </c>
      <c r="B110">
        <f t="shared" si="42"/>
        <v>303.0000000000001</v>
      </c>
      <c r="C110" s="4">
        <f aca="true" t="shared" si="54" ref="C110:C123">Rp*SIN(A110-thetac/2)</f>
        <v>-1.2621878415670007</v>
      </c>
      <c r="D110" s="4">
        <f aca="true" t="shared" si="55" ref="D110:D123">Rp*COS(A110-thetac/2)</f>
        <v>0.06614846181458395</v>
      </c>
      <c r="E110" s="4">
        <f t="shared" si="48"/>
        <v>1.781701538185416</v>
      </c>
      <c r="F110" s="4">
        <f aca="true" t="shared" si="56" ref="F110:F123">SQRT(C110^2+E110^2)</f>
        <v>2.183478536320392</v>
      </c>
      <c r="G110" s="4">
        <f aca="true" t="shared" si="57" ref="G110:G123">ASIN(C110/F110)+(PI()/2-thetac/2)</f>
        <v>0.4308448343186617</v>
      </c>
      <c r="H110" s="4">
        <f aca="true" t="shared" si="58" ref="H110:H123">2*Rcp*SIN(thetac/2)-F110*COS(G110)</f>
        <v>-0.13608750423757865</v>
      </c>
      <c r="I110" s="4">
        <f aca="true" t="shared" si="59" ref="I110:I123">F110*SIN(G110)</f>
        <v>0.9119048732468804</v>
      </c>
      <c r="J110" s="4">
        <f aca="true" t="shared" si="60" ref="J110:J123">SQRT(I110^2+H110^2)</f>
        <v>0.9220034200918248</v>
      </c>
      <c r="K110" s="4">
        <f aca="true" t="shared" si="61" ref="K110:K123">PI()/2-ASIN(H110/J110)</f>
        <v>1.7189373597424957</v>
      </c>
      <c r="L110">
        <f t="shared" si="51"/>
        <v>-0.001973687591471942</v>
      </c>
      <c r="M110">
        <f t="shared" si="52"/>
        <v>0.0007741110413212517</v>
      </c>
      <c r="N110">
        <f t="shared" si="53"/>
        <v>0</v>
      </c>
      <c r="O110">
        <f aca="true" t="shared" si="62" ref="O110:O123">SUM(L110:N110)</f>
        <v>-0.0011995765501506906</v>
      </c>
      <c r="P110">
        <f t="shared" si="44"/>
        <v>-0.0011995765501506906</v>
      </c>
      <c r="Q110">
        <f aca="true" t="shared" si="63" ref="Q110:Q129">-1*O9</f>
        <v>-0.009330190207100016</v>
      </c>
      <c r="R110">
        <f t="shared" si="49"/>
        <v>-0.0011739832277085664</v>
      </c>
      <c r="S110">
        <f t="shared" si="37"/>
        <v>0.0005333463528906905</v>
      </c>
      <c r="T110">
        <f t="shared" si="35"/>
        <v>-0.005915531045901503</v>
      </c>
      <c r="U110">
        <f t="shared" si="50"/>
        <v>0.0005333463528906892</v>
      </c>
      <c r="V110">
        <f t="shared" si="46"/>
        <v>-0.016552588325079397</v>
      </c>
    </row>
    <row r="111" spans="1:22" ht="12.75">
      <c r="A111" s="4">
        <f t="shared" si="47"/>
        <v>5.340707511102651</v>
      </c>
      <c r="B111">
        <f t="shared" si="42"/>
        <v>306.00000000000017</v>
      </c>
      <c r="C111" s="4">
        <f t="shared" si="54"/>
        <v>-1.2569961139938677</v>
      </c>
      <c r="D111" s="4">
        <f t="shared" si="55"/>
        <v>0.1321156152932553</v>
      </c>
      <c r="E111" s="4">
        <f t="shared" si="48"/>
        <v>1.7157343847067448</v>
      </c>
      <c r="F111" s="4">
        <f t="shared" si="56"/>
        <v>2.126918830012259</v>
      </c>
      <c r="G111" s="4">
        <f t="shared" si="57"/>
        <v>0.41490713777422017</v>
      </c>
      <c r="H111" s="4">
        <f t="shared" si="58"/>
        <v>-0.09860775953038181</v>
      </c>
      <c r="I111" s="4">
        <f t="shared" si="59"/>
        <v>0.8573715063055702</v>
      </c>
      <c r="J111" s="4">
        <f t="shared" si="60"/>
        <v>0.8630234006469837</v>
      </c>
      <c r="K111" s="4">
        <f t="shared" si="61"/>
        <v>1.6853049066572598</v>
      </c>
      <c r="L111">
        <f t="shared" si="51"/>
        <v>-0.0020182030890957066</v>
      </c>
      <c r="M111">
        <f t="shared" si="52"/>
        <v>0.0008124735409046958</v>
      </c>
      <c r="N111">
        <f t="shared" si="53"/>
        <v>0</v>
      </c>
      <c r="O111">
        <f t="shared" si="62"/>
        <v>-0.0012057295481910108</v>
      </c>
      <c r="P111">
        <f t="shared" si="44"/>
        <v>-0.0012057295481910108</v>
      </c>
      <c r="Q111">
        <f t="shared" si="63"/>
        <v>-0.009312576737862458</v>
      </c>
      <c r="R111">
        <f t="shared" si="49"/>
        <v>-0.0011368333350867817</v>
      </c>
      <c r="S111">
        <f t="shared" si="37"/>
        <v>0.0005192198753853103</v>
      </c>
      <c r="T111">
        <f t="shared" si="35"/>
        <v>-0.005908247813235964</v>
      </c>
      <c r="U111">
        <f t="shared" si="50"/>
        <v>0.0005486991640037122</v>
      </c>
      <c r="V111">
        <f t="shared" si="46"/>
        <v>-0.01649546839498719</v>
      </c>
    </row>
    <row r="112" spans="1:22" ht="12.75">
      <c r="A112" s="4">
        <f t="shared" si="47"/>
        <v>5.393067388662481</v>
      </c>
      <c r="B112">
        <f t="shared" si="42"/>
        <v>309.00000000000017</v>
      </c>
      <c r="C112" s="4">
        <f t="shared" si="54"/>
        <v>-1.248359047445006</v>
      </c>
      <c r="D112" s="4">
        <f t="shared" si="55"/>
        <v>0.19772064905365166</v>
      </c>
      <c r="E112" s="4">
        <f t="shared" si="48"/>
        <v>1.6501293509463484</v>
      </c>
      <c r="F112" s="4">
        <f t="shared" si="56"/>
        <v>2.0691368215254444</v>
      </c>
      <c r="G112" s="4">
        <f t="shared" si="57"/>
        <v>0.3995354550085073</v>
      </c>
      <c r="H112" s="4">
        <f t="shared" si="58"/>
        <v>-0.058325323604692336</v>
      </c>
      <c r="I112" s="4">
        <f t="shared" si="59"/>
        <v>0.8048744137273622</v>
      </c>
      <c r="J112" s="4">
        <f t="shared" si="60"/>
        <v>0.8069849225645774</v>
      </c>
      <c r="K112" s="4">
        <f t="shared" si="61"/>
        <v>1.6431350054050562</v>
      </c>
      <c r="L112">
        <f t="shared" si="51"/>
        <v>-0.002033738127276129</v>
      </c>
      <c r="M112">
        <f t="shared" si="52"/>
        <v>0.000852586042036124</v>
      </c>
      <c r="N112">
        <f t="shared" si="53"/>
        <v>0</v>
      </c>
      <c r="O112">
        <f t="shared" si="62"/>
        <v>-0.0011811520852400051</v>
      </c>
      <c r="P112">
        <f t="shared" si="44"/>
        <v>-0.0011811520852400051</v>
      </c>
      <c r="Q112">
        <f t="shared" si="63"/>
        <v>-0.009257212270196477</v>
      </c>
      <c r="R112">
        <f t="shared" si="49"/>
        <v>-0.0010934562785094393</v>
      </c>
      <c r="S112">
        <f t="shared" si="37"/>
        <v>0.0005062347931140964</v>
      </c>
      <c r="T112">
        <f t="shared" si="35"/>
        <v>-0.005886420098004372</v>
      </c>
      <c r="U112">
        <f t="shared" si="50"/>
        <v>0.0005653715523775596</v>
      </c>
      <c r="V112">
        <f t="shared" si="46"/>
        <v>-0.016346634386458638</v>
      </c>
    </row>
    <row r="113" spans="1:22" ht="12.75">
      <c r="A113" s="4">
        <f t="shared" si="47"/>
        <v>5.445427266222311</v>
      </c>
      <c r="B113">
        <f t="shared" si="42"/>
        <v>312.00000000000017</v>
      </c>
      <c r="C113" s="4">
        <f t="shared" si="54"/>
        <v>-1.2363003155194707</v>
      </c>
      <c r="D113" s="4">
        <f t="shared" si="55"/>
        <v>0.2627837442583858</v>
      </c>
      <c r="E113" s="4">
        <f t="shared" si="48"/>
        <v>1.5850662557416142</v>
      </c>
      <c r="F113" s="4">
        <f t="shared" si="56"/>
        <v>2.010192405030992</v>
      </c>
      <c r="G113" s="4">
        <f t="shared" si="57"/>
        <v>0.3847914049871317</v>
      </c>
      <c r="H113" s="4">
        <f t="shared" si="58"/>
        <v>-0.015350607817385509</v>
      </c>
      <c r="I113" s="4">
        <f t="shared" si="59"/>
        <v>0.7545574863939845</v>
      </c>
      <c r="J113" s="4">
        <f t="shared" si="60"/>
        <v>0.7547136155082743</v>
      </c>
      <c r="K113" s="4">
        <f t="shared" si="61"/>
        <v>1.5911373755404157</v>
      </c>
      <c r="L113">
        <f t="shared" si="51"/>
        <v>-0.002005001509916228</v>
      </c>
      <c r="M113">
        <f t="shared" si="52"/>
        <v>0.000894593726663411</v>
      </c>
      <c r="N113">
        <f t="shared" si="53"/>
        <v>0</v>
      </c>
      <c r="O113">
        <f t="shared" si="62"/>
        <v>-0.0011104077832528169</v>
      </c>
      <c r="P113">
        <f t="shared" si="44"/>
        <v>-0.0011104077832528169</v>
      </c>
      <c r="Q113">
        <f t="shared" si="63"/>
        <v>-0.009156407991063896</v>
      </c>
      <c r="R113">
        <f t="shared" si="49"/>
        <v>-0.0010473626541806932</v>
      </c>
      <c r="S113">
        <f t="shared" si="37"/>
        <v>0.000494313991604571</v>
      </c>
      <c r="T113">
        <f t="shared" si="35"/>
        <v>-0.005850113803730309</v>
      </c>
      <c r="U113">
        <f t="shared" si="50"/>
        <v>0.0005834654563083146</v>
      </c>
      <c r="V113">
        <f t="shared" si="46"/>
        <v>-0.01608651278431483</v>
      </c>
    </row>
    <row r="114" spans="1:22" ht="12.75">
      <c r="A114" s="4">
        <f t="shared" si="47"/>
        <v>5.4977871437821415</v>
      </c>
      <c r="B114">
        <f t="shared" si="42"/>
        <v>315.00000000000017</v>
      </c>
      <c r="C114" s="4">
        <f t="shared" si="54"/>
        <v>-1.2208529703632782</v>
      </c>
      <c r="D114" s="4">
        <f t="shared" si="55"/>
        <v>0.3271265674859818</v>
      </c>
      <c r="E114" s="4">
        <f t="shared" si="48"/>
        <v>1.5207234325140182</v>
      </c>
      <c r="F114" s="4">
        <f t="shared" si="56"/>
        <v>1.950149156716495</v>
      </c>
      <c r="G114" s="4">
        <f t="shared" si="57"/>
        <v>0.3707451449555551</v>
      </c>
      <c r="H114" s="4">
        <f t="shared" si="58"/>
        <v>0.030198597122701676</v>
      </c>
      <c r="I114" s="4">
        <f t="shared" si="59"/>
        <v>0.7065586395057711</v>
      </c>
      <c r="J114" s="4">
        <f t="shared" si="60"/>
        <v>0.7072036950754892</v>
      </c>
      <c r="K114" s="4">
        <f t="shared" si="61"/>
        <v>1.52808192600905</v>
      </c>
      <c r="L114">
        <f t="shared" si="51"/>
        <v>-0.0019125108083016139</v>
      </c>
      <c r="M114">
        <f t="shared" si="52"/>
        <v>0.0009386524735521823</v>
      </c>
      <c r="N114">
        <f t="shared" si="53"/>
        <v>0.0038943876953484446</v>
      </c>
      <c r="O114">
        <f t="shared" si="62"/>
        <v>0.002920529360599013</v>
      </c>
      <c r="P114">
        <f t="shared" si="44"/>
        <v>0.002920529360599013</v>
      </c>
      <c r="Q114">
        <f t="shared" si="63"/>
        <v>-0.00899713380783913</v>
      </c>
      <c r="R114">
        <f t="shared" si="49"/>
        <v>-0.0010008080180542913</v>
      </c>
      <c r="S114">
        <f t="shared" si="37"/>
        <v>0.00048338765867752593</v>
      </c>
      <c r="T114">
        <f t="shared" si="35"/>
        <v>-0.005799438620673216</v>
      </c>
      <c r="U114">
        <f t="shared" si="50"/>
        <v>0.0006030917271812762</v>
      </c>
      <c r="V114">
        <f t="shared" si="46"/>
        <v>-0.011790371700108822</v>
      </c>
    </row>
    <row r="115" spans="1:22" ht="12.75">
      <c r="A115" s="4">
        <f t="shared" si="47"/>
        <v>5.550147021341972</v>
      </c>
      <c r="B115">
        <f t="shared" si="42"/>
        <v>318.0000000000002</v>
      </c>
      <c r="C115" s="4">
        <f t="shared" si="54"/>
        <v>-1.2020593520757692</v>
      </c>
      <c r="D115" s="4">
        <f t="shared" si="55"/>
        <v>0.39057275953038756</v>
      </c>
      <c r="E115" s="4">
        <f t="shared" si="48"/>
        <v>1.4572772404696124</v>
      </c>
      <c r="F115" s="4">
        <f t="shared" si="56"/>
        <v>1.8890748109864643</v>
      </c>
      <c r="G115" s="4">
        <f t="shared" si="57"/>
        <v>0.35747687485815116</v>
      </c>
      <c r="H115" s="4">
        <f t="shared" si="58"/>
        <v>0.07819744401091544</v>
      </c>
      <c r="I115" s="4">
        <f t="shared" si="59"/>
        <v>0.6610094345656841</v>
      </c>
      <c r="J115" s="4">
        <f t="shared" si="60"/>
        <v>0.6656187443534667</v>
      </c>
      <c r="K115" s="4">
        <f t="shared" si="61"/>
        <v>1.453043562177906</v>
      </c>
      <c r="L115">
        <f t="shared" si="51"/>
        <v>-0.001734301234190424</v>
      </c>
      <c r="M115">
        <f t="shared" si="52"/>
        <v>0.0009849285379844286</v>
      </c>
      <c r="N115">
        <f t="shared" si="53"/>
        <v>0.00409286707637657</v>
      </c>
      <c r="O115">
        <f t="shared" si="62"/>
        <v>0.0033434943801705745</v>
      </c>
      <c r="P115">
        <f t="shared" si="44"/>
        <v>0.0033434943801705745</v>
      </c>
      <c r="Q115">
        <f t="shared" si="63"/>
        <v>-0.008761368249337168</v>
      </c>
      <c r="R115">
        <f t="shared" si="49"/>
        <v>-0.0009551992970659918</v>
      </c>
      <c r="S115">
        <f t="shared" si="37"/>
        <v>0.004367780451405109</v>
      </c>
      <c r="T115">
        <f aca="true" t="shared" si="64" ref="T115:T129">P74</f>
        <v>-0.0057345478034289375</v>
      </c>
      <c r="U115">
        <f t="shared" si="50"/>
        <v>0.0006243700580361218</v>
      </c>
      <c r="V115">
        <f t="shared" si="46"/>
        <v>-0.007115470460220291</v>
      </c>
    </row>
    <row r="116" spans="1:22" ht="12.75">
      <c r="A116" s="4">
        <f t="shared" si="47"/>
        <v>5.602506898901802</v>
      </c>
      <c r="B116">
        <f t="shared" si="42"/>
        <v>321.0000000000002</v>
      </c>
      <c r="C116" s="4">
        <f t="shared" si="54"/>
        <v>-1.1799709726583414</v>
      </c>
      <c r="D116" s="4">
        <f t="shared" si="55"/>
        <v>0.45294841878930026</v>
      </c>
      <c r="E116" s="4">
        <f t="shared" si="48"/>
        <v>1.3949015812106997</v>
      </c>
      <c r="F116" s="4">
        <f t="shared" si="56"/>
        <v>1.827041848885893</v>
      </c>
      <c r="G116" s="4">
        <f t="shared" si="57"/>
        <v>0.34507865502152246</v>
      </c>
      <c r="H116" s="4">
        <f t="shared" si="58"/>
        <v>0.12851437134429333</v>
      </c>
      <c r="I116" s="4">
        <f t="shared" si="59"/>
        <v>0.6180347187783777</v>
      </c>
      <c r="J116" s="4">
        <f t="shared" si="60"/>
        <v>0.6312549859268339</v>
      </c>
      <c r="K116" s="4">
        <f t="shared" si="61"/>
        <v>1.3657775792059648</v>
      </c>
      <c r="L116">
        <f t="shared" si="51"/>
        <v>-0.001450839959410335</v>
      </c>
      <c r="M116">
        <f t="shared" si="52"/>
        <v>0.0010335975171953283</v>
      </c>
      <c r="N116">
        <f t="shared" si="53"/>
        <v>0.004280128193240048</v>
      </c>
      <c r="O116">
        <f t="shared" si="62"/>
        <v>0.0038628857510250416</v>
      </c>
      <c r="P116">
        <f t="shared" si="44"/>
        <v>0.0038628857510250416</v>
      </c>
      <c r="Q116">
        <f t="shared" si="63"/>
        <v>-0.008428089339357965</v>
      </c>
      <c r="R116">
        <f t="shared" si="49"/>
        <v>-0.0009113778322217891</v>
      </c>
      <c r="S116">
        <f t="shared" si="37"/>
        <v>0.0045571395816419134</v>
      </c>
      <c r="T116">
        <f t="shared" si="64"/>
        <v>-0.0056556378616070225</v>
      </c>
      <c r="U116">
        <f t="shared" si="50"/>
        <v>0.0006474284440577836</v>
      </c>
      <c r="V116">
        <f t="shared" si="46"/>
        <v>-0.005927651256462038</v>
      </c>
    </row>
    <row r="117" spans="1:22" ht="12.75">
      <c r="A117" s="4">
        <f t="shared" si="47"/>
        <v>5.654866776461632</v>
      </c>
      <c r="B117">
        <f t="shared" si="42"/>
        <v>324.0000000000002</v>
      </c>
      <c r="C117" s="4">
        <f t="shared" si="54"/>
        <v>-1.154648374823634</v>
      </c>
      <c r="D117" s="4">
        <f t="shared" si="55"/>
        <v>0.5140825779163699</v>
      </c>
      <c r="E117" s="4">
        <f t="shared" si="48"/>
        <v>1.3337674220836302</v>
      </c>
      <c r="F117" s="4">
        <f t="shared" si="56"/>
        <v>1.7641282282460287</v>
      </c>
      <c r="G117" s="4">
        <f t="shared" si="57"/>
        <v>0.33365661114932665</v>
      </c>
      <c r="H117" s="4">
        <f t="shared" si="58"/>
        <v>0.18101146392250134</v>
      </c>
      <c r="I117" s="4">
        <f t="shared" si="59"/>
        <v>0.5777522828526889</v>
      </c>
      <c r="J117" s="4">
        <f t="shared" si="60"/>
        <v>0.6054443413005529</v>
      </c>
      <c r="K117" s="4">
        <f t="shared" si="61"/>
        <v>1.2671801608985254</v>
      </c>
      <c r="L117">
        <f t="shared" si="51"/>
        <v>-0.001053859771286577</v>
      </c>
      <c r="M117">
        <f t="shared" si="52"/>
        <v>0.001084842207920468</v>
      </c>
      <c r="N117">
        <f t="shared" si="53"/>
        <v>0.004455657776233918</v>
      </c>
      <c r="O117">
        <f t="shared" si="62"/>
        <v>0.004486640212867809</v>
      </c>
      <c r="P117">
        <f t="shared" si="44"/>
        <v>0.004486640212867809</v>
      </c>
      <c r="Q117">
        <f t="shared" si="63"/>
        <v>-0.007978380981618266</v>
      </c>
      <c r="R117">
        <f t="shared" si="49"/>
        <v>-0.0008698125641222063</v>
      </c>
      <c r="S117">
        <f t="shared" si="37"/>
        <v>0.004736104093804795</v>
      </c>
      <c r="T117">
        <f t="shared" si="64"/>
        <v>-0.00556294816561034</v>
      </c>
      <c r="U117">
        <f t="shared" si="50"/>
        <v>0.0006724019091059268</v>
      </c>
      <c r="V117">
        <f t="shared" si="46"/>
        <v>-0.004515995495572281</v>
      </c>
    </row>
    <row r="118" spans="1:22" ht="12.75">
      <c r="A118" s="4">
        <f t="shared" si="47"/>
        <v>5.707226654021462</v>
      </c>
      <c r="B118">
        <f t="shared" si="42"/>
        <v>327.0000000000003</v>
      </c>
      <c r="C118" s="4">
        <f t="shared" si="54"/>
        <v>-1.1261609660521594</v>
      </c>
      <c r="D118" s="4">
        <f t="shared" si="55"/>
        <v>0.5738076724308128</v>
      </c>
      <c r="E118" s="4">
        <f t="shared" si="48"/>
        <v>1.2740423275691872</v>
      </c>
      <c r="F118" s="4">
        <f t="shared" si="56"/>
        <v>1.7004182938022765</v>
      </c>
      <c r="G118" s="4">
        <f t="shared" si="57"/>
        <v>0.32333361939588945</v>
      </c>
      <c r="H118" s="4">
        <f t="shared" si="58"/>
        <v>0.2355448308638115</v>
      </c>
      <c r="I118" s="4">
        <f t="shared" si="59"/>
        <v>0.5402725381454918</v>
      </c>
      <c r="J118" s="4">
        <f t="shared" si="60"/>
        <v>0.5893859370742005</v>
      </c>
      <c r="K118" s="4">
        <f t="shared" si="61"/>
        <v>1.1596673621676525</v>
      </c>
      <c r="L118">
        <f t="shared" si="51"/>
        <v>-0.0005567975749961551</v>
      </c>
      <c r="M118">
        <f t="shared" si="52"/>
        <v>0.0011388487690936497</v>
      </c>
      <c r="N118">
        <f t="shared" si="53"/>
        <v>0.004618974710972106</v>
      </c>
      <c r="O118">
        <f t="shared" si="62"/>
        <v>0.005201025905069601</v>
      </c>
      <c r="P118">
        <f t="shared" si="44"/>
        <v>0.005201025905069601</v>
      </c>
      <c r="Q118">
        <f t="shared" si="63"/>
        <v>-0.007404395687107832</v>
      </c>
      <c r="R118">
        <f t="shared" si="49"/>
        <v>-0.0008307302952098174</v>
      </c>
      <c r="S118">
        <f t="shared" si="37"/>
        <v>0.004904115032377894</v>
      </c>
      <c r="T118">
        <f t="shared" si="64"/>
        <v>-0.005456760470102348</v>
      </c>
      <c r="U118">
        <f t="shared" si="50"/>
        <v>0.0006994301022855357</v>
      </c>
      <c r="V118">
        <f t="shared" si="46"/>
        <v>-0.0028873154126869667</v>
      </c>
    </row>
    <row r="119" spans="1:22" ht="12.75">
      <c r="A119" s="4">
        <f>A118+360/120*PI()/180</f>
        <v>5.759586531581292</v>
      </c>
      <c r="B119">
        <f t="shared" si="42"/>
        <v>330.0000000000002</v>
      </c>
      <c r="C119" s="4">
        <f t="shared" si="54"/>
        <v>-1.0945868283512248</v>
      </c>
      <c r="D119" s="4">
        <f t="shared" si="55"/>
        <v>0.6319600000000051</v>
      </c>
      <c r="E119" s="4">
        <f t="shared" si="48"/>
        <v>1.215889999999995</v>
      </c>
      <c r="F119" s="4">
        <f t="shared" si="56"/>
        <v>1.6360039171407816</v>
      </c>
      <c r="G119" s="4">
        <f t="shared" si="57"/>
        <v>0.3142525875322122</v>
      </c>
      <c r="H119" s="4">
        <f t="shared" si="58"/>
        <v>0.2919650000000049</v>
      </c>
      <c r="I119" s="4">
        <f t="shared" si="59"/>
        <v>0.5056982140318446</v>
      </c>
      <c r="J119" s="4">
        <f t="shared" si="60"/>
        <v>0.5839300000000002</v>
      </c>
      <c r="K119" s="4">
        <f t="shared" si="61"/>
        <v>1.047197551196588</v>
      </c>
      <c r="L119">
        <f t="shared" si="51"/>
        <v>4.804396998040826E-17</v>
      </c>
      <c r="M119">
        <f t="shared" si="52"/>
        <v>0.001195800314408508</v>
      </c>
      <c r="N119">
        <f t="shared" si="53"/>
        <v>0.004769631357088516</v>
      </c>
      <c r="O119">
        <f t="shared" si="62"/>
        <v>0.005965431671497072</v>
      </c>
      <c r="P119">
        <f t="shared" si="44"/>
        <v>0.005965431671497072</v>
      </c>
      <c r="Q119">
        <f t="shared" si="63"/>
        <v>-0.006719878978815895</v>
      </c>
      <c r="R119">
        <f t="shared" si="49"/>
        <v>-0.0007942028484540782</v>
      </c>
      <c r="S119">
        <f t="shared" si="37"/>
        <v>0.0050606505020913605</v>
      </c>
      <c r="T119">
        <f t="shared" si="64"/>
        <v>-0.0053373983582863166</v>
      </c>
      <c r="U119">
        <f t="shared" si="50"/>
        <v>0.0007286531750536841</v>
      </c>
      <c r="V119">
        <f t="shared" si="46"/>
        <v>-0.0010967448369141734</v>
      </c>
    </row>
    <row r="120" spans="1:22" ht="12.75">
      <c r="A120" s="4">
        <f>A119+360/120*PI()/180</f>
        <v>5.811946409141123</v>
      </c>
      <c r="B120">
        <f t="shared" si="42"/>
        <v>333.0000000000003</v>
      </c>
      <c r="C120" s="4">
        <f t="shared" si="54"/>
        <v>-1.060012504237577</v>
      </c>
      <c r="D120" s="4">
        <f t="shared" si="55"/>
        <v>0.6883801691361982</v>
      </c>
      <c r="E120" s="4">
        <f t="shared" si="48"/>
        <v>1.1594698308638018</v>
      </c>
      <c r="F120" s="4">
        <f t="shared" si="56"/>
        <v>1.5709859317713042</v>
      </c>
      <c r="G120" s="4">
        <f t="shared" si="57"/>
        <v>0.3065804766368643</v>
      </c>
      <c r="H120" s="4">
        <f t="shared" si="58"/>
        <v>0.35011732756919733</v>
      </c>
      <c r="I120" s="4">
        <f t="shared" si="59"/>
        <v>0.47412407633091075</v>
      </c>
      <c r="J120" s="4">
        <f t="shared" si="60"/>
        <v>0.5893859370742026</v>
      </c>
      <c r="K120" s="4">
        <f t="shared" si="61"/>
        <v>0.9347277402255244</v>
      </c>
      <c r="L120">
        <f t="shared" si="51"/>
        <v>0.00055679757499625</v>
      </c>
      <c r="M120">
        <f t="shared" si="52"/>
        <v>0.001255866628631558</v>
      </c>
      <c r="N120">
        <f t="shared" si="53"/>
        <v>0.004907214775188155</v>
      </c>
      <c r="O120">
        <f t="shared" si="62"/>
        <v>0.006719878978815963</v>
      </c>
      <c r="P120">
        <f t="shared" si="44"/>
        <v>0.006719878978815963</v>
      </c>
      <c r="Q120">
        <f t="shared" si="63"/>
        <v>-0.005965431671497003</v>
      </c>
      <c r="R120">
        <f t="shared" si="49"/>
        <v>-0.0007602050608708161</v>
      </c>
      <c r="S120">
        <f t="shared" si="37"/>
        <v>0.005205226610626186</v>
      </c>
      <c r="T120">
        <f t="shared" si="64"/>
        <v>-0.005205226610626199</v>
      </c>
      <c r="U120">
        <f t="shared" si="50"/>
        <v>0.0007602050608708157</v>
      </c>
      <c r="V120">
        <f t="shared" si="46"/>
        <v>0.000754447307318946</v>
      </c>
    </row>
    <row r="121" spans="1:22" ht="12.75">
      <c r="A121" s="4">
        <f>A120+360/120*PI()/180</f>
        <v>5.864306286700953</v>
      </c>
      <c r="B121">
        <f t="shared" si="42"/>
        <v>336.0000000000003</v>
      </c>
      <c r="C121" s="4">
        <f t="shared" si="54"/>
        <v>-1.0225327595303797</v>
      </c>
      <c r="D121" s="4">
        <f t="shared" si="55"/>
        <v>0.742913536077508</v>
      </c>
      <c r="E121" s="4">
        <f t="shared" si="48"/>
        <v>1.104936463922492</v>
      </c>
      <c r="F121" s="4">
        <f t="shared" si="56"/>
        <v>1.5054759491995726</v>
      </c>
      <c r="G121" s="4">
        <f t="shared" si="57"/>
        <v>0.300513241569741</v>
      </c>
      <c r="H121" s="4">
        <f t="shared" si="58"/>
        <v>0.40984242208364075</v>
      </c>
      <c r="I121" s="4">
        <f t="shared" si="59"/>
        <v>0.44563666755943654</v>
      </c>
      <c r="J121" s="4">
        <f t="shared" si="60"/>
        <v>0.6054443413005566</v>
      </c>
      <c r="K121" s="4">
        <f t="shared" si="61"/>
        <v>0.8272149414946525</v>
      </c>
      <c r="L121">
        <f t="shared" si="51"/>
        <v>0.0010538597712866555</v>
      </c>
      <c r="M121">
        <f t="shared" si="52"/>
        <v>0.00131918805713592</v>
      </c>
      <c r="N121">
        <f t="shared" si="53"/>
        <v>0.005031347858685321</v>
      </c>
      <c r="O121">
        <f t="shared" si="62"/>
        <v>0.007404395687107896</v>
      </c>
      <c r="P121">
        <f t="shared" si="44"/>
        <v>0.007404395687107896</v>
      </c>
      <c r="Q121">
        <f t="shared" si="63"/>
        <v>-0.0052010259050695356</v>
      </c>
      <c r="R121">
        <f t="shared" si="49"/>
        <v>-0.0007286531750536849</v>
      </c>
      <c r="S121">
        <f t="shared" si="37"/>
        <v>0.005337398358286305</v>
      </c>
      <c r="T121">
        <f t="shared" si="64"/>
        <v>-0.0050606505020913736</v>
      </c>
      <c r="U121">
        <f t="shared" si="50"/>
        <v>0.0007942028484540774</v>
      </c>
      <c r="V121">
        <f t="shared" si="46"/>
        <v>0.0025456673116336843</v>
      </c>
    </row>
    <row r="122" spans="1:22" ht="12.75">
      <c r="A122" s="4">
        <f>A121+360/120*PI()/180</f>
        <v>5.916666164260783</v>
      </c>
      <c r="B122">
        <f t="shared" si="42"/>
        <v>339.00000000000034</v>
      </c>
      <c r="C122" s="4">
        <f t="shared" si="54"/>
        <v>-0.9822503236046902</v>
      </c>
      <c r="D122" s="4">
        <f t="shared" si="55"/>
        <v>0.7954106286557159</v>
      </c>
      <c r="E122" s="4">
        <f t="shared" si="48"/>
        <v>1.0524393713442841</v>
      </c>
      <c r="F122" s="4">
        <f t="shared" si="56"/>
        <v>1.4395986692745555</v>
      </c>
      <c r="G122" s="4">
        <f t="shared" si="57"/>
        <v>0.2962819068863254</v>
      </c>
      <c r="H122" s="4">
        <f t="shared" si="58"/>
        <v>0.4709765812107105</v>
      </c>
      <c r="I122" s="4">
        <f t="shared" si="59"/>
        <v>0.42031406972472957</v>
      </c>
      <c r="J122" s="4">
        <f t="shared" si="60"/>
        <v>0.6312549859268392</v>
      </c>
      <c r="K122" s="4">
        <f t="shared" si="61"/>
        <v>0.7286175231872145</v>
      </c>
      <c r="L122">
        <f t="shared" si="51"/>
        <v>0.001450839959410397</v>
      </c>
      <c r="M122">
        <f t="shared" si="52"/>
        <v>0.0013858506547813915</v>
      </c>
      <c r="N122">
        <f t="shared" si="53"/>
        <v>0.005141690367426532</v>
      </c>
      <c r="O122">
        <f t="shared" si="62"/>
        <v>0.007978380981618322</v>
      </c>
      <c r="P122">
        <f t="shared" si="44"/>
        <v>0.007978380981618322</v>
      </c>
      <c r="Q122">
        <f t="shared" si="63"/>
        <v>-0.004486640212867758</v>
      </c>
      <c r="R122">
        <f t="shared" si="49"/>
        <v>-0.0006994301022855366</v>
      </c>
      <c r="S122">
        <f t="shared" si="37"/>
        <v>0.005456760470102338</v>
      </c>
      <c r="T122">
        <f t="shared" si="64"/>
        <v>-0.004904115032377908</v>
      </c>
      <c r="U122">
        <f t="shared" si="50"/>
        <v>0.0008307302952098166</v>
      </c>
      <c r="V122">
        <f t="shared" si="46"/>
        <v>0.004175686399399274</v>
      </c>
    </row>
    <row r="123" spans="1:22" ht="12.75">
      <c r="A123" s="4">
        <f>A122+360/120*PI()/180</f>
        <v>5.969026041820613</v>
      </c>
      <c r="B123">
        <f t="shared" si="42"/>
        <v>342.00000000000034</v>
      </c>
      <c r="C123" s="4">
        <f t="shared" si="54"/>
        <v>-0.9392756078173833</v>
      </c>
      <c r="D123" s="4">
        <f t="shared" si="55"/>
        <v>0.8457275559890934</v>
      </c>
      <c r="E123" s="4">
        <f t="shared" si="48"/>
        <v>1.0021224440109067</v>
      </c>
      <c r="F123" s="4">
        <f t="shared" si="56"/>
        <v>1.3734948344391789</v>
      </c>
      <c r="G123" s="4">
        <f t="shared" si="57"/>
        <v>0.2941600346159525</v>
      </c>
      <c r="H123" s="4">
        <f t="shared" si="58"/>
        <v>0.5333522404696234</v>
      </c>
      <c r="I123" s="4">
        <f t="shared" si="59"/>
        <v>0.39822569030730237</v>
      </c>
      <c r="J123" s="4">
        <f t="shared" si="60"/>
        <v>0.6656187443534733</v>
      </c>
      <c r="K123" s="4">
        <f t="shared" si="61"/>
        <v>0.6413515402152749</v>
      </c>
      <c r="L123">
        <f t="shared" si="51"/>
        <v>0.0017343012341904664</v>
      </c>
      <c r="M123">
        <f t="shared" si="52"/>
        <v>0.0014558482449024007</v>
      </c>
      <c r="N123">
        <f t="shared" si="53"/>
        <v>0.005237939860265141</v>
      </c>
      <c r="O123">
        <f t="shared" si="62"/>
        <v>0.008428089339358008</v>
      </c>
      <c r="P123">
        <f t="shared" si="44"/>
        <v>0.008428089339358008</v>
      </c>
      <c r="Q123">
        <f t="shared" si="63"/>
        <v>-0.0038628857510249965</v>
      </c>
      <c r="R123">
        <f t="shared" si="49"/>
        <v>-0.0006724019091059278</v>
      </c>
      <c r="S123">
        <f t="shared" si="37"/>
        <v>0.005562948165610331</v>
      </c>
      <c r="T123">
        <f t="shared" si="64"/>
        <v>-0.004736104093804812</v>
      </c>
      <c r="U123">
        <f t="shared" si="50"/>
        <v>0.0008698125641222053</v>
      </c>
      <c r="V123">
        <f t="shared" si="46"/>
        <v>0.005589458315154809</v>
      </c>
    </row>
    <row r="124" spans="1:22" ht="12.75">
      <c r="A124" s="4">
        <f aca="true" t="shared" si="65" ref="A124:A129">A123+360/120*PI()/180</f>
        <v>6.021385919380443</v>
      </c>
      <c r="B124">
        <f t="shared" si="42"/>
        <v>345.0000000000004</v>
      </c>
      <c r="C124" s="4">
        <f aca="true" t="shared" si="66" ref="C124:C129">Rp*SIN(A124-thetac/2)</f>
        <v>-0.8937264028772959</v>
      </c>
      <c r="D124" s="4">
        <f aca="true" t="shared" si="67" ref="D124:D129">Rp*COS(A124-thetac/2)</f>
        <v>0.8937264028773065</v>
      </c>
      <c r="E124" s="4">
        <f t="shared" si="48"/>
        <v>0.9541235971226935</v>
      </c>
      <c r="F124" s="4">
        <f aca="true" t="shared" si="68" ref="F124:F129">SQRT(C124^2+E124^2)</f>
        <v>1.3073250253040896</v>
      </c>
      <c r="G124" s="4">
        <f aca="true" t="shared" si="69" ref="G124:G129">ASIN(C124/F124)+(PI()/2-thetac/2)</f>
        <v>0.2944728733309968</v>
      </c>
      <c r="H124" s="4">
        <f aca="true" t="shared" si="70" ref="H124:H129">2*Rcp*SIN(thetac/2)-F124*COS(G124)</f>
        <v>0.5967984325140292</v>
      </c>
      <c r="I124" s="4">
        <f aca="true" t="shared" si="71" ref="I124:I129">F124*SIN(G124)</f>
        <v>0.379432072019794</v>
      </c>
      <c r="J124" s="4">
        <f aca="true" t="shared" si="72" ref="J124:J129">SQRT(I124^2+H124^2)</f>
        <v>0.7072036950754969</v>
      </c>
      <c r="K124" s="4">
        <f aca="true" t="shared" si="73" ref="K124:K129">PI()/2-ASIN(H124/J124)</f>
        <v>0.5663131763841336</v>
      </c>
      <c r="L124">
        <f t="shared" si="51"/>
        <v>0.0019125108083016369</v>
      </c>
      <c r="M124">
        <f t="shared" si="52"/>
        <v>0.0015290249170040642</v>
      </c>
      <c r="N124">
        <f t="shared" si="53"/>
        <v>0.0053198325240315</v>
      </c>
      <c r="O124">
        <f aca="true" t="shared" si="74" ref="O124:O129">SUM(L124:N124)</f>
        <v>0.0087613682493372</v>
      </c>
      <c r="P124">
        <f t="shared" si="44"/>
        <v>0.0087613682493372</v>
      </c>
      <c r="Q124">
        <f t="shared" si="63"/>
        <v>-0.003343494380170541</v>
      </c>
      <c r="R124">
        <f t="shared" si="49"/>
        <v>-0.0006474284440577843</v>
      </c>
      <c r="S124">
        <f t="shared" si="37"/>
        <v>0.005655637861607015</v>
      </c>
      <c r="T124">
        <f t="shared" si="64"/>
        <v>-0.00455713958164193</v>
      </c>
      <c r="U124">
        <f t="shared" si="50"/>
        <v>0.0009113778322217881</v>
      </c>
      <c r="V124">
        <f t="shared" si="46"/>
        <v>0.0067803215372957484</v>
      </c>
    </row>
    <row r="125" spans="1:22" ht="12.75">
      <c r="A125" s="4">
        <f t="shared" si="65"/>
        <v>6.0737457969402735</v>
      </c>
      <c r="B125">
        <f t="shared" si="42"/>
        <v>348.0000000000004</v>
      </c>
      <c r="C125" s="4">
        <f t="shared" si="66"/>
        <v>-0.8457275559890821</v>
      </c>
      <c r="D125" s="4">
        <f t="shared" si="67"/>
        <v>0.9392756078173934</v>
      </c>
      <c r="E125" s="4">
        <f t="shared" si="48"/>
        <v>0.9085743921826066</v>
      </c>
      <c r="F125" s="4">
        <f t="shared" si="68"/>
        <v>1.2412745566913306</v>
      </c>
      <c r="G125" s="4">
        <f t="shared" si="69"/>
        <v>0.29760848628814596</v>
      </c>
      <c r="H125" s="4">
        <f t="shared" si="70"/>
        <v>0.6611412557416254</v>
      </c>
      <c r="I125" s="4">
        <f t="shared" si="71"/>
        <v>0.3639847268636021</v>
      </c>
      <c r="J125" s="4">
        <f t="shared" si="72"/>
        <v>0.754713615508283</v>
      </c>
      <c r="K125" s="4">
        <f t="shared" si="73"/>
        <v>0.5032577268527698</v>
      </c>
      <c r="L125">
        <f t="shared" si="51"/>
        <v>0.0020050015099162396</v>
      </c>
      <c r="M125">
        <f t="shared" si="52"/>
        <v>0.0016049884012964003</v>
      </c>
      <c r="N125">
        <f t="shared" si="53"/>
        <v>0.005387143896626514</v>
      </c>
      <c r="O125">
        <f t="shared" si="74"/>
        <v>0.008997133807839154</v>
      </c>
      <c r="P125">
        <f t="shared" si="44"/>
        <v>0.008997133807839154</v>
      </c>
      <c r="Q125">
        <f t="shared" si="63"/>
        <v>-0.00292052936059899</v>
      </c>
      <c r="R125">
        <f t="shared" si="49"/>
        <v>-0.0006243700580361231</v>
      </c>
      <c r="S125">
        <f t="shared" si="37"/>
        <v>0.0057345478034289315</v>
      </c>
      <c r="T125">
        <f t="shared" si="64"/>
        <v>-0.004367780451405128</v>
      </c>
      <c r="U125">
        <f t="shared" si="50"/>
        <v>0.0009551992970659916</v>
      </c>
      <c r="V125">
        <f t="shared" si="46"/>
        <v>0.007774201038293837</v>
      </c>
    </row>
    <row r="126" spans="1:22" ht="12.75">
      <c r="A126" s="4">
        <f t="shared" si="65"/>
        <v>6.126105674500104</v>
      </c>
      <c r="B126">
        <f t="shared" si="42"/>
        <v>351.00000000000045</v>
      </c>
      <c r="C126" s="4">
        <f t="shared" si="66"/>
        <v>-0.7954106286557041</v>
      </c>
      <c r="D126" s="4">
        <f t="shared" si="67"/>
        <v>0.9822503236046998</v>
      </c>
      <c r="E126" s="4">
        <f t="shared" si="48"/>
        <v>0.8655996763953002</v>
      </c>
      <c r="F126" s="4">
        <f t="shared" si="68"/>
        <v>1.1755598104537732</v>
      </c>
      <c r="G126" s="4">
        <f t="shared" si="69"/>
        <v>0.3040311034955362</v>
      </c>
      <c r="H126" s="4">
        <f t="shared" si="70"/>
        <v>0.7262043509463596</v>
      </c>
      <c r="I126" s="4">
        <f t="shared" si="71"/>
        <v>0.35192599493806775</v>
      </c>
      <c r="J126" s="4">
        <f t="shared" si="72"/>
        <v>0.8069849225645869</v>
      </c>
      <c r="K126" s="4">
        <f t="shared" si="73"/>
        <v>0.4512600969881311</v>
      </c>
      <c r="L126">
        <f t="shared" si="51"/>
        <v>0.0020337381272761317</v>
      </c>
      <c r="M126">
        <f t="shared" si="52"/>
        <v>0.0016829803815311263</v>
      </c>
      <c r="N126">
        <f t="shared" si="53"/>
        <v>0.005439689482256654</v>
      </c>
      <c r="O126">
        <f t="shared" si="74"/>
        <v>0.009156407991063912</v>
      </c>
      <c r="P126">
        <f t="shared" si="44"/>
        <v>0.009156407991063912</v>
      </c>
      <c r="Q126">
        <f t="shared" si="63"/>
        <v>0.0011104077832528245</v>
      </c>
      <c r="R126">
        <f t="shared" si="49"/>
        <v>-0.0006030917271812768</v>
      </c>
      <c r="S126">
        <f t="shared" si="37"/>
        <v>0.005799438620673209</v>
      </c>
      <c r="T126">
        <f t="shared" si="64"/>
        <v>-0.000483387658677525</v>
      </c>
      <c r="U126">
        <f>-1*O105</f>
        <v>0.0010008080180542909</v>
      </c>
      <c r="V126">
        <f t="shared" si="46"/>
        <v>0.015980583027185434</v>
      </c>
    </row>
    <row r="127" spans="1:22" ht="12.75">
      <c r="A127" s="4">
        <f t="shared" si="65"/>
        <v>6.178465552059934</v>
      </c>
      <c r="B127">
        <f t="shared" si="42"/>
        <v>354.0000000000004</v>
      </c>
      <c r="C127" s="4">
        <f t="shared" si="66"/>
        <v>-0.7429135360774956</v>
      </c>
      <c r="D127" s="4">
        <f t="shared" si="67"/>
        <v>1.0225327595303886</v>
      </c>
      <c r="E127" s="4">
        <f t="shared" si="48"/>
        <v>0.8253172404696114</v>
      </c>
      <c r="F127" s="4">
        <f t="shared" si="68"/>
        <v>1.110436431995791</v>
      </c>
      <c r="G127" s="4">
        <f t="shared" si="69"/>
        <v>0.31429675674239266</v>
      </c>
      <c r="H127" s="4">
        <f t="shared" si="70"/>
        <v>0.791809384706756</v>
      </c>
      <c r="I127" s="4">
        <f t="shared" si="71"/>
        <v>0.3432889283892063</v>
      </c>
      <c r="J127" s="4">
        <f t="shared" si="72"/>
        <v>0.8630234006469936</v>
      </c>
      <c r="K127" s="4">
        <f t="shared" si="73"/>
        <v>0.4090901957359294</v>
      </c>
      <c r="L127">
        <f t="shared" si="51"/>
        <v>0.0020182030890957014</v>
      </c>
      <c r="M127">
        <f t="shared" si="52"/>
        <v>0.0017616839239766782</v>
      </c>
      <c r="N127">
        <f t="shared" si="53"/>
        <v>0.005477325257124108</v>
      </c>
      <c r="O127">
        <f t="shared" si="74"/>
        <v>0.009257212270196487</v>
      </c>
      <c r="P127">
        <f t="shared" si="44"/>
        <v>0.009257212270196487</v>
      </c>
      <c r="Q127">
        <f t="shared" si="63"/>
        <v>0.00118115208524001</v>
      </c>
      <c r="R127">
        <f t="shared" si="49"/>
        <v>-0.0005834654563083154</v>
      </c>
      <c r="S127">
        <f t="shared" si="37"/>
        <v>0.005850113803730305</v>
      </c>
      <c r="T127">
        <f t="shared" si="64"/>
        <v>-0.0004943139916045699</v>
      </c>
      <c r="U127">
        <f>-1*O106</f>
        <v>0.0010473626541806932</v>
      </c>
      <c r="V127">
        <f t="shared" si="46"/>
        <v>0.01625806136543461</v>
      </c>
    </row>
    <row r="128" spans="1:22" ht="12.75">
      <c r="A128" s="4">
        <f t="shared" si="65"/>
        <v>6.230825429619764</v>
      </c>
      <c r="B128">
        <f t="shared" si="42"/>
        <v>357.0000000000004</v>
      </c>
      <c r="C128" s="4">
        <f t="shared" si="66"/>
        <v>-0.6883801691361854</v>
      </c>
      <c r="D128" s="4">
        <f t="shared" si="67"/>
        <v>1.0600125042375852</v>
      </c>
      <c r="E128" s="4">
        <f t="shared" si="48"/>
        <v>0.7878374957624148</v>
      </c>
      <c r="F128" s="4">
        <f t="shared" si="68"/>
        <v>1.0462099105768192</v>
      </c>
      <c r="G128" s="4">
        <f t="shared" si="69"/>
        <v>0.3290708032590569</v>
      </c>
      <c r="H128" s="4">
        <f t="shared" si="70"/>
        <v>0.8577765381854277</v>
      </c>
      <c r="I128" s="4">
        <f t="shared" si="71"/>
        <v>0.3380972008160737</v>
      </c>
      <c r="J128" s="4">
        <f t="shared" si="72"/>
        <v>0.922003420091835</v>
      </c>
      <c r="K128" s="4">
        <f t="shared" si="73"/>
        <v>0.375457742650694</v>
      </c>
      <c r="L128">
        <f t="shared" si="51"/>
        <v>0.001973687591471934</v>
      </c>
      <c r="M128">
        <f t="shared" si="52"/>
        <v>0.0018389410822045333</v>
      </c>
      <c r="N128">
        <f t="shared" si="53"/>
        <v>0.005499948064185997</v>
      </c>
      <c r="O128">
        <f t="shared" si="74"/>
        <v>0.009312576737862465</v>
      </c>
      <c r="P128">
        <f t="shared" si="44"/>
        <v>0.009312576737862465</v>
      </c>
      <c r="Q128">
        <f t="shared" si="63"/>
        <v>0.0012057295481910123</v>
      </c>
      <c r="R128">
        <f t="shared" si="49"/>
        <v>-0.0005653715523775604</v>
      </c>
      <c r="S128">
        <f t="shared" si="37"/>
        <v>0.00588642009800437</v>
      </c>
      <c r="T128">
        <f t="shared" si="64"/>
        <v>-0.000506234793114095</v>
      </c>
      <c r="U128">
        <f>-1*O107</f>
        <v>0.001093456278509439</v>
      </c>
      <c r="V128">
        <f t="shared" si="46"/>
        <v>0.01642657631707563</v>
      </c>
    </row>
    <row r="129" spans="1:22" ht="12.75">
      <c r="A129" s="4">
        <f t="shared" si="65"/>
        <v>6.283185307179594</v>
      </c>
      <c r="B129">
        <f t="shared" si="42"/>
        <v>360.00000000000045</v>
      </c>
      <c r="C129" s="4">
        <f t="shared" si="66"/>
        <v>-0.6319599999999919</v>
      </c>
      <c r="D129" s="4">
        <f t="shared" si="67"/>
        <v>1.0945868283512323</v>
      </c>
      <c r="E129" s="4">
        <f t="shared" si="48"/>
        <v>0.7532631716487677</v>
      </c>
      <c r="F129" s="4">
        <f t="shared" si="68"/>
        <v>0.9832491278218102</v>
      </c>
      <c r="G129" s="4">
        <f t="shared" si="69"/>
        <v>0.34914597993410235</v>
      </c>
      <c r="H129" s="4">
        <f t="shared" si="70"/>
        <v>0.9239250000000094</v>
      </c>
      <c r="I129" s="4">
        <f t="shared" si="71"/>
        <v>0.336365042383075</v>
      </c>
      <c r="J129" s="4">
        <f t="shared" si="72"/>
        <v>0.9832491278218279</v>
      </c>
      <c r="K129" s="4">
        <f t="shared" si="73"/>
        <v>0.3491459799340959</v>
      </c>
      <c r="L129">
        <f t="shared" si="51"/>
        <v>0.0019113471555996715</v>
      </c>
      <c r="M129">
        <f t="shared" si="52"/>
        <v>0.0019113471555996906</v>
      </c>
      <c r="N129">
        <f t="shared" si="53"/>
        <v>0.005507495895900653</v>
      </c>
      <c r="O129">
        <f t="shared" si="74"/>
        <v>0.009330190207100016</v>
      </c>
      <c r="P129">
        <f t="shared" si="44"/>
        <v>0.009330190207100016</v>
      </c>
      <c r="Q129">
        <f t="shared" si="63"/>
        <v>0.001199576550150691</v>
      </c>
      <c r="R129">
        <f t="shared" si="49"/>
        <v>-0.0005486991640037134</v>
      </c>
      <c r="S129">
        <f t="shared" si="37"/>
        <v>0.005908247813235961</v>
      </c>
      <c r="T129">
        <f t="shared" si="64"/>
        <v>-0.0005192198753853094</v>
      </c>
      <c r="U129">
        <f>-1*O108</f>
        <v>0.0011368333350867817</v>
      </c>
      <c r="V129">
        <f t="shared" si="46"/>
        <v>0.01650692886618443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2003-01-27T22:01:57Z</dcterms:created>
  <cp:category/>
  <cp:version/>
  <cp:contentType/>
  <cp:contentStatus/>
</cp:coreProperties>
</file>