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BROOM97" sheetId="1" r:id="rId1"/>
  </sheets>
  <definedNames>
    <definedName name="_xlnm.Print_Area" localSheetId="0">'BROOM97'!$B$130:$N$185</definedName>
  </definedNames>
  <calcPr fullCalcOnLoad="1"/>
</workbook>
</file>

<file path=xl/sharedStrings.xml><?xml version="1.0" encoding="utf-8"?>
<sst xmlns="http://schemas.openxmlformats.org/spreadsheetml/2006/main" count="533" uniqueCount="183">
  <si>
    <t xml:space="preserve"> </t>
  </si>
  <si>
    <t>LOCAL LIMITS</t>
  </si>
  <si>
    <t>TABLE 1</t>
  </si>
  <si>
    <t>TABLE 2</t>
  </si>
  <si>
    <t>POTW NAME:</t>
  </si>
  <si>
    <t>CURRENT IU</t>
  </si>
  <si>
    <t>CURRENT</t>
  </si>
  <si>
    <t>EXCEEDING</t>
  </si>
  <si>
    <t>ACUTE</t>
  </si>
  <si>
    <t>AFTERMIX</t>
  </si>
  <si>
    <t>CHRONIC</t>
  </si>
  <si>
    <t xml:space="preserve">MAIL </t>
  </si>
  <si>
    <t>EFFLUENT</t>
  </si>
  <si>
    <t>MGD</t>
  </si>
  <si>
    <t>NPDES</t>
  </si>
  <si>
    <t>CRITERIA</t>
  </si>
  <si>
    <t>CONC</t>
  </si>
  <si>
    <t>SLUDGE</t>
  </si>
  <si>
    <t>POLLUTANT</t>
  </si>
  <si>
    <t>EXCEED?</t>
  </si>
  <si>
    <t>UG/L</t>
  </si>
  <si>
    <t>CALC MAIL</t>
  </si>
  <si>
    <t>MAHL</t>
  </si>
  <si>
    <t>SLUDGE FLOW TO DIGESTOR</t>
  </si>
  <si>
    <t>GPD</t>
  </si>
  <si>
    <t>SLUDGE FLOW TO DISPOSAL</t>
  </si>
  <si>
    <t>% SOLIDS TO DISP</t>
  </si>
  <si>
    <t>PERCENT</t>
  </si>
  <si>
    <t>SLUDGE TABLE:</t>
  </si>
  <si>
    <t>O</t>
  </si>
  <si>
    <t>1,3,(O)THER</t>
  </si>
  <si>
    <t>RW FLOW =</t>
  </si>
  <si>
    <t>MGD CHRONIC</t>
  </si>
  <si>
    <t>MGD ACUTE</t>
  </si>
  <si>
    <t xml:space="preserve">HARDNESS = </t>
  </si>
  <si>
    <t>MG/L AS CACO3</t>
  </si>
  <si>
    <t>APPLICABLE STDS:</t>
  </si>
  <si>
    <t>A,C,(B)OTH</t>
  </si>
  <si>
    <t>FOR CAR (TABLE 2) ON SLUDGE</t>
  </si>
  <si>
    <t>USE TABLE 2? (Y/N)</t>
  </si>
  <si>
    <t>N</t>
  </si>
  <si>
    <t>SITE AREA</t>
  </si>
  <si>
    <t>ACRES</t>
  </si>
  <si>
    <t>SITE LIFE</t>
  </si>
  <si>
    <t>YEARS (100 DEFAULT)</t>
  </si>
  <si>
    <t>COLUMN =  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</si>
  <si>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</si>
  <si>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</si>
  <si>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</si>
  <si>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</si>
  <si>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</si>
  <si>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</si>
  <si>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</si>
  <si>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</si>
  <si>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</si>
  <si>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</si>
  <si>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</si>
  <si>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</t>
  </si>
  <si>
    <t>R</t>
  </si>
  <si>
    <t>TABLE 3</t>
  </si>
  <si>
    <t>MAXIMUM</t>
  </si>
  <si>
    <t>"CLEAN"</t>
  </si>
  <si>
    <t>(CAR)</t>
  </si>
  <si>
    <t>CALC.</t>
  </si>
  <si>
    <t>DEFAULT</t>
  </si>
  <si>
    <t>HUMAN HEALTH</t>
  </si>
  <si>
    <t>DAILY MAX</t>
  </si>
  <si>
    <t>EPA ACUTE</t>
  </si>
  <si>
    <t>FINAL</t>
  </si>
  <si>
    <t>EPA CHRONIC</t>
  </si>
  <si>
    <t>LAND APP</t>
  </si>
  <si>
    <t>CUMULATIVE</t>
  </si>
  <si>
    <t xml:space="preserve">SLUDGE </t>
  </si>
  <si>
    <t>CRITERIA FOR</t>
  </si>
  <si>
    <t>NPDES PERMIT</t>
  </si>
  <si>
    <t>H2O QUAL</t>
  </si>
  <si>
    <t>STATE</t>
  </si>
  <si>
    <t>APPLICATION</t>
  </si>
  <si>
    <t xml:space="preserve">DISPOSAL </t>
  </si>
  <si>
    <t>DISPOSAL</t>
  </si>
  <si>
    <t>BCFs &gt;300</t>
  </si>
  <si>
    <t>LIMITS</t>
  </si>
  <si>
    <t>WQ STDS</t>
  </si>
  <si>
    <t>RATE</t>
  </si>
  <si>
    <t>MCLs</t>
  </si>
  <si>
    <t>MG/L</t>
  </si>
  <si>
    <t>MG/KG</t>
  </si>
  <si>
    <t>LBS/ACRE</t>
  </si>
  <si>
    <t>AS</t>
  </si>
  <si>
    <t>CD</t>
  </si>
  <si>
    <t>CR(TOT)</t>
  </si>
  <si>
    <t>CR(III)</t>
  </si>
  <si>
    <t>CR(VI)</t>
  </si>
  <si>
    <t>CU</t>
  </si>
  <si>
    <t>PB</t>
  </si>
  <si>
    <t>HG</t>
  </si>
  <si>
    <t>MO</t>
  </si>
  <si>
    <t>NI</t>
  </si>
  <si>
    <t>SE</t>
  </si>
  <si>
    <t>AG</t>
  </si>
  <si>
    <t>ZN</t>
  </si>
  <si>
    <t>S</t>
  </si>
  <si>
    <t>T</t>
  </si>
  <si>
    <t>TABLE 4</t>
  </si>
  <si>
    <t>POTW</t>
  </si>
  <si>
    <t>TOTAL</t>
  </si>
  <si>
    <t>USER ENTERED</t>
  </si>
  <si>
    <t>USE</t>
  </si>
  <si>
    <t>CALC</t>
  </si>
  <si>
    <t>AVERAGE</t>
  </si>
  <si>
    <t>SLUDGE TO</t>
  </si>
  <si>
    <t>UPSTREAM</t>
  </si>
  <si>
    <t>SOURCE OF</t>
  </si>
  <si>
    <t>COMMENT</t>
  </si>
  <si>
    <t>RECEIVING</t>
  </si>
  <si>
    <t>DOM/COM</t>
  </si>
  <si>
    <t>LOADING</t>
  </si>
  <si>
    <t>PLANT</t>
  </si>
  <si>
    <t>REMOVAL</t>
  </si>
  <si>
    <t>INFLUENT</t>
  </si>
  <si>
    <t>AND</t>
  </si>
  <si>
    <t>WATER</t>
  </si>
  <si>
    <t>BACKGROUND</t>
  </si>
  <si>
    <t>TO POTW</t>
  </si>
  <si>
    <t>DATA</t>
  </si>
  <si>
    <t>EFFICIENCY</t>
  </si>
  <si>
    <t>EFFICIENCY?</t>
  </si>
  <si>
    <t>NOTES</t>
  </si>
  <si>
    <t>LBS/DAY</t>
  </si>
  <si>
    <t>DRY WT.</t>
  </si>
  <si>
    <t>LBS/D</t>
  </si>
  <si>
    <t>%</t>
  </si>
  <si>
    <t>Y/N</t>
  </si>
  <si>
    <t xml:space="preserve">  </t>
  </si>
  <si>
    <t>TABLE 5</t>
  </si>
  <si>
    <t>TABLE 1,3 OR</t>
  </si>
  <si>
    <t>OTHER</t>
  </si>
  <si>
    <t>MOST</t>
  </si>
  <si>
    <t>FOR HUMAN</t>
  </si>
  <si>
    <t>STRINGENT</t>
  </si>
  <si>
    <t>FOR MCL</t>
  </si>
  <si>
    <t>HEALTH</t>
  </si>
  <si>
    <t>TABLE 6</t>
  </si>
  <si>
    <t>SAFETY/</t>
  </si>
  <si>
    <t>ALLOWABLE</t>
  </si>
  <si>
    <t>MASS</t>
  </si>
  <si>
    <t>PROPOSED</t>
  </si>
  <si>
    <t>NAME OF MOST</t>
  </si>
  <si>
    <t>EXPANSION</t>
  </si>
  <si>
    <t>DOMESTIC</t>
  </si>
  <si>
    <t>INDUSTRIAL</t>
  </si>
  <si>
    <t>RESERVED FOR</t>
  </si>
  <si>
    <t>LOCAL</t>
  </si>
  <si>
    <t>FACTOR</t>
  </si>
  <si>
    <t>HAULED</t>
  </si>
  <si>
    <t>LIMIT</t>
  </si>
  <si>
    <t>WASTE LBS/D</t>
  </si>
  <si>
    <t>Domestic Flow =</t>
  </si>
  <si>
    <t>POTW Highest Monthly Average Flow =</t>
  </si>
  <si>
    <t>SIU Flow</t>
  </si>
  <si>
    <t>Commercial Flow =</t>
  </si>
  <si>
    <t>Trucked and Hauled Waste =</t>
  </si>
  <si>
    <t>B</t>
  </si>
  <si>
    <t>FOR  DAILY MAX</t>
  </si>
  <si>
    <t>FOR BIOSOLIDS</t>
  </si>
  <si>
    <t>FOR DAILY LIMITS</t>
  </si>
  <si>
    <t>BIOSOLIDS</t>
  </si>
  <si>
    <t>(LBS/DAY)</t>
  </si>
  <si>
    <t>MAHL FOR</t>
  </si>
  <si>
    <t>FACTOR %</t>
  </si>
  <si>
    <t>TABLE 7</t>
  </si>
  <si>
    <t>FOR DAILY MAXIMUM LOCAL LIMITS</t>
  </si>
  <si>
    <t>FOR BIOSOLIDS BASED LIMITS</t>
  </si>
  <si>
    <t>MAHL WITH</t>
  </si>
  <si>
    <t>SAFETY -</t>
  </si>
  <si>
    <t>MINUS</t>
  </si>
  <si>
    <t>BOD</t>
  </si>
  <si>
    <t>TSS</t>
  </si>
  <si>
    <t xml:space="preserve">P </t>
  </si>
  <si>
    <t xml:space="preserve">L </t>
  </si>
  <si>
    <t xml:space="preserve">M </t>
  </si>
  <si>
    <t>U</t>
  </si>
  <si>
    <t>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</si>
</sst>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000"/>
    <numFmt numFmtId="171" formatCode="0.00000"/>
    <numFmt numFmtId="172" formatCode="0.000000"/>
    <numFmt numFmtId="173" formatCode="0.0"/>
    <numFmt numFmtId="174" formatCode="0.000000000"/>
    <numFmt numFmtId="175" formatCode="0.0000000"/>
  </numFmts>
  <fonts count="5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8"/>
        <bgColor indexed="8"/>
      </patternFill>
    </fill>
    <fill>
      <patternFill patternType="lightGray">
        <bgColor indexed="8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5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Alignment="1">
      <alignment/>
    </xf>
    <xf numFmtId="14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Alignment="1">
      <alignment/>
    </xf>
    <xf numFmtId="0" fontId="0" fillId="4" borderId="6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3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69" fontId="0" fillId="0" borderId="6" xfId="0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70" fontId="0" fillId="0" borderId="6" xfId="0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6" xfId="0" applyBorder="1" applyAlignment="1">
      <alignment horizontal="center"/>
    </xf>
    <xf numFmtId="172" fontId="0" fillId="0" borderId="6" xfId="0" applyBorder="1" applyAlignment="1">
      <alignment horizontal="center"/>
    </xf>
    <xf numFmtId="171" fontId="0" fillId="0" borderId="6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17"/>
  <sheetViews>
    <sheetView showGridLines="0" tabSelected="1" zoomScale="50" zoomScaleNormal="50" workbookViewId="0" topLeftCell="A164">
      <selection activeCell="A182" sqref="A182"/>
    </sheetView>
  </sheetViews>
  <sheetFormatPr defaultColWidth="8.88671875" defaultRowHeight="15"/>
  <cols>
    <col min="1" max="1" width="4.6640625" style="0" customWidth="1"/>
    <col min="2" max="2" width="33.21484375" style="0" bestFit="1" customWidth="1"/>
    <col min="3" max="3" width="17.6640625" style="0" customWidth="1"/>
    <col min="4" max="4" width="16.6640625" style="0" customWidth="1"/>
    <col min="5" max="5" width="14.6640625" style="0" customWidth="1"/>
    <col min="6" max="6" width="16.77734375" style="0" customWidth="1"/>
    <col min="7" max="7" width="19.6640625" style="0" customWidth="1"/>
    <col min="8" max="8" width="14.6640625" style="0" customWidth="1"/>
    <col min="9" max="9" width="17.6640625" style="0" customWidth="1"/>
    <col min="10" max="10" width="12.99609375" style="0" customWidth="1"/>
    <col min="11" max="11" width="16.5546875" style="0" bestFit="1" customWidth="1"/>
    <col min="12" max="12" width="20.99609375" style="0" bestFit="1" customWidth="1"/>
    <col min="13" max="14" width="22.77734375" style="0" bestFit="1" customWidth="1"/>
    <col min="15" max="15" width="13.6640625" style="0" customWidth="1"/>
    <col min="16" max="16" width="22.77734375" style="0" bestFit="1" customWidth="1"/>
    <col min="17" max="19" width="18.21484375" style="0" customWidth="1"/>
    <col min="20" max="20" width="13.6640625" style="0" customWidth="1"/>
    <col min="21" max="21" width="17.6640625" style="0" customWidth="1"/>
    <col min="22" max="22" width="22.77734375" style="0" bestFit="1" customWidth="1"/>
    <col min="23" max="23" width="16.4453125" style="0" customWidth="1"/>
    <col min="24" max="25" width="13.6640625" style="0" customWidth="1"/>
    <col min="26" max="26" width="12.6640625" style="0" customWidth="1"/>
    <col min="27" max="27" width="14.6640625" style="0" customWidth="1"/>
    <col min="28" max="28" width="1.66796875" style="0" customWidth="1"/>
    <col min="29" max="29" width="9.77734375" style="0" customWidth="1"/>
    <col min="30" max="30" width="10.6640625" style="0" customWidth="1"/>
    <col min="31" max="32" width="12.6640625" style="0" customWidth="1"/>
    <col min="33" max="33" width="3.6640625" style="0" customWidth="1"/>
    <col min="34" max="16384" width="9.77734375" style="0" customWidth="1"/>
  </cols>
  <sheetData>
    <row r="1" ht="15.75" thickBot="1"/>
    <row r="2" spans="2:6" ht="15.75" thickTop="1">
      <c r="B2" s="1" t="s">
        <v>0</v>
      </c>
      <c r="C2" s="4" t="s">
        <v>0</v>
      </c>
      <c r="D2" s="4"/>
      <c r="E2" s="12">
        <f ca="1">NOW()</f>
        <v>37461.349925462964</v>
      </c>
      <c r="F2" s="2"/>
    </row>
    <row r="3" spans="2:6" ht="15.75">
      <c r="B3" s="2" t="s">
        <v>1</v>
      </c>
      <c r="C3" s="31" t="s">
        <v>2</v>
      </c>
      <c r="D3" t="s">
        <v>0</v>
      </c>
      <c r="F3" s="2"/>
    </row>
    <row r="4" spans="2:6" ht="15">
      <c r="B4" s="2" t="s">
        <v>4</v>
      </c>
      <c r="C4" s="21"/>
      <c r="D4" t="s">
        <v>0</v>
      </c>
      <c r="F4" s="2"/>
    </row>
    <row r="5" spans="2:6" ht="15">
      <c r="B5" s="2"/>
      <c r="F5" s="2"/>
    </row>
    <row r="6" spans="2:6" ht="15">
      <c r="B6" s="2"/>
      <c r="C6" s="17"/>
      <c r="F6" s="2"/>
    </row>
    <row r="7" spans="2:6" ht="15">
      <c r="B7" s="2" t="s">
        <v>158</v>
      </c>
      <c r="C7">
        <v>1</v>
      </c>
      <c r="D7" t="s">
        <v>13</v>
      </c>
      <c r="F7" s="2"/>
    </row>
    <row r="8" spans="2:6" ht="15">
      <c r="B8" s="2" t="s">
        <v>157</v>
      </c>
      <c r="D8" t="s">
        <v>13</v>
      </c>
      <c r="E8" t="s">
        <v>0</v>
      </c>
      <c r="F8" s="2"/>
    </row>
    <row r="9" spans="2:6" ht="15">
      <c r="B9" s="2" t="s">
        <v>159</v>
      </c>
      <c r="D9" t="s">
        <v>13</v>
      </c>
      <c r="E9" t="s">
        <v>0</v>
      </c>
      <c r="F9" s="2"/>
    </row>
    <row r="10" spans="2:6" ht="15">
      <c r="B10" s="2" t="s">
        <v>160</v>
      </c>
      <c r="D10" t="s">
        <v>13</v>
      </c>
      <c r="F10" s="2"/>
    </row>
    <row r="11" spans="2:6" ht="15">
      <c r="B11" s="2" t="s">
        <v>161</v>
      </c>
      <c r="D11" t="s">
        <v>13</v>
      </c>
      <c r="F11" s="2"/>
    </row>
    <row r="12" spans="2:6" ht="15">
      <c r="B12" s="2"/>
      <c r="F12" s="2"/>
    </row>
    <row r="13" spans="2:6" ht="15">
      <c r="B13" s="2" t="s">
        <v>23</v>
      </c>
      <c r="C13">
        <v>1</v>
      </c>
      <c r="D13" t="s">
        <v>24</v>
      </c>
      <c r="F13" s="2"/>
    </row>
    <row r="14" spans="2:6" ht="15">
      <c r="B14" s="2" t="s">
        <v>25</v>
      </c>
      <c r="C14">
        <v>1</v>
      </c>
      <c r="D14" t="s">
        <v>24</v>
      </c>
      <c r="F14" s="2"/>
    </row>
    <row r="15" spans="2:6" ht="15">
      <c r="B15" s="2" t="s">
        <v>26</v>
      </c>
      <c r="C15">
        <v>1</v>
      </c>
      <c r="D15" t="s">
        <v>27</v>
      </c>
      <c r="F15" s="2"/>
    </row>
    <row r="16" spans="2:6" ht="15">
      <c r="B16" s="2" t="s">
        <v>28</v>
      </c>
      <c r="C16">
        <v>1</v>
      </c>
      <c r="D16" t="s">
        <v>30</v>
      </c>
      <c r="F16" s="2"/>
    </row>
    <row r="17" spans="2:6" ht="15">
      <c r="B17" s="2"/>
      <c r="F17" s="2"/>
    </row>
    <row r="18" spans="2:6" ht="15">
      <c r="B18" s="2" t="s">
        <v>31</v>
      </c>
      <c r="C18" s="39">
        <v>1</v>
      </c>
      <c r="D18" t="s">
        <v>32</v>
      </c>
      <c r="F18" s="2"/>
    </row>
    <row r="19" spans="2:6" ht="15">
      <c r="B19" s="2" t="s">
        <v>31</v>
      </c>
      <c r="C19" s="39">
        <v>1</v>
      </c>
      <c r="D19" t="s">
        <v>33</v>
      </c>
      <c r="F19" s="2"/>
    </row>
    <row r="20" spans="2:6" ht="15">
      <c r="B20" s="2" t="s">
        <v>34</v>
      </c>
      <c r="C20">
        <v>50</v>
      </c>
      <c r="D20" t="s">
        <v>35</v>
      </c>
      <c r="F20" s="2"/>
    </row>
    <row r="21" spans="2:6" ht="15">
      <c r="B21" s="2" t="s">
        <v>36</v>
      </c>
      <c r="C21" s="6" t="s">
        <v>162</v>
      </c>
      <c r="D21" t="s">
        <v>37</v>
      </c>
      <c r="F21" s="2"/>
    </row>
    <row r="22" spans="2:6" ht="15">
      <c r="B22" s="2"/>
      <c r="C22" t="s">
        <v>0</v>
      </c>
      <c r="F22" s="2"/>
    </row>
    <row r="23" spans="2:6" ht="15">
      <c r="B23" s="3" t="s">
        <v>38</v>
      </c>
      <c r="C23" s="5"/>
      <c r="D23" s="5"/>
      <c r="E23" s="5"/>
      <c r="F23" s="2"/>
    </row>
    <row r="24" spans="2:6" ht="15">
      <c r="B24" s="2" t="s">
        <v>0</v>
      </c>
      <c r="C24" s="6" t="s">
        <v>0</v>
      </c>
      <c r="F24" s="2"/>
    </row>
    <row r="25" spans="2:6" ht="15">
      <c r="B25" s="2" t="s">
        <v>39</v>
      </c>
      <c r="C25" s="6" t="s">
        <v>40</v>
      </c>
      <c r="F25" s="2"/>
    </row>
    <row r="26" spans="2:6" ht="15">
      <c r="B26" s="2" t="s">
        <v>41</v>
      </c>
      <c r="D26" t="s">
        <v>42</v>
      </c>
      <c r="F26" s="2"/>
    </row>
    <row r="27" spans="2:6" ht="15.75" thickBot="1">
      <c r="B27" s="2" t="s">
        <v>43</v>
      </c>
      <c r="D27" t="s">
        <v>44</v>
      </c>
      <c r="F27" s="2"/>
    </row>
    <row r="28" spans="2:5" ht="15.75" thickTop="1">
      <c r="B28" s="4"/>
      <c r="C28" s="4"/>
      <c r="D28" s="4"/>
      <c r="E28" s="4"/>
    </row>
    <row r="32" ht="15.75" thickBot="1">
      <c r="A32" s="11" t="s">
        <v>0</v>
      </c>
    </row>
    <row r="33" spans="2:21" ht="15.75" thickTop="1">
      <c r="B33" s="1"/>
      <c r="C33" s="4"/>
      <c r="D33" s="4"/>
      <c r="E33" s="4"/>
      <c r="F33" s="4"/>
      <c r="G33" s="4"/>
      <c r="H33" s="4"/>
      <c r="I33" s="4"/>
      <c r="J33" s="4"/>
      <c r="K33" s="4"/>
      <c r="L33" s="28"/>
      <c r="N33" s="22"/>
      <c r="O33" s="22"/>
      <c r="P33" s="22"/>
      <c r="Q33" s="22"/>
      <c r="R33" s="22"/>
      <c r="S33" s="22"/>
      <c r="T33" s="22"/>
      <c r="U33" s="22"/>
    </row>
    <row r="34" spans="2:21" ht="15.75">
      <c r="B34" s="32" t="s">
        <v>3</v>
      </c>
      <c r="K34" s="22"/>
      <c r="L34" s="29"/>
      <c r="N34" s="22"/>
      <c r="O34" s="22"/>
      <c r="P34" s="22"/>
      <c r="Q34" s="22"/>
      <c r="R34" s="22"/>
      <c r="S34" s="22"/>
      <c r="T34" s="22"/>
      <c r="U34" s="22"/>
    </row>
    <row r="35" spans="2:21" ht="15">
      <c r="B35" s="2"/>
      <c r="K35" s="22"/>
      <c r="L35" s="29"/>
      <c r="N35" s="22"/>
      <c r="O35" s="22"/>
      <c r="P35" s="22"/>
      <c r="Q35" s="22"/>
      <c r="R35" s="22"/>
      <c r="S35" s="22"/>
      <c r="T35" s="22"/>
      <c r="U35" s="22"/>
    </row>
    <row r="36" spans="2:21" ht="15">
      <c r="B36" s="2"/>
      <c r="C36" s="14"/>
      <c r="D36" s="14"/>
      <c r="E36" s="14"/>
      <c r="F36" s="14"/>
      <c r="G36" s="14"/>
      <c r="H36" s="14"/>
      <c r="I36" s="14"/>
      <c r="J36" s="14"/>
      <c r="K36" s="33" t="s">
        <v>5</v>
      </c>
      <c r="L36" s="24" t="s">
        <v>6</v>
      </c>
      <c r="N36" s="22"/>
      <c r="O36" s="22"/>
      <c r="P36" s="22"/>
      <c r="Q36" s="22"/>
      <c r="R36" s="22"/>
      <c r="S36" s="22"/>
      <c r="T36" s="22"/>
      <c r="U36" s="22"/>
    </row>
    <row r="37" spans="2:21" ht="15">
      <c r="B37" s="2"/>
      <c r="C37" s="7" t="s">
        <v>6</v>
      </c>
      <c r="D37" s="13" t="s">
        <v>7</v>
      </c>
      <c r="E37" s="7" t="s">
        <v>8</v>
      </c>
      <c r="F37" s="7" t="s">
        <v>9</v>
      </c>
      <c r="G37" s="13" t="s">
        <v>7</v>
      </c>
      <c r="H37" s="7" t="s">
        <v>10</v>
      </c>
      <c r="I37" s="7" t="s">
        <v>9</v>
      </c>
      <c r="J37" s="13" t="s">
        <v>7</v>
      </c>
      <c r="K37" s="27" t="s">
        <v>11</v>
      </c>
      <c r="L37" s="24" t="s">
        <v>12</v>
      </c>
      <c r="N37" s="22"/>
      <c r="O37" s="22"/>
      <c r="P37" s="22"/>
      <c r="Q37" s="22"/>
      <c r="R37" s="22"/>
      <c r="S37" s="22"/>
      <c r="T37" s="22"/>
      <c r="U37" s="22"/>
    </row>
    <row r="38" spans="2:21" ht="15">
      <c r="B38" s="2"/>
      <c r="C38" s="7" t="s">
        <v>14</v>
      </c>
      <c r="D38" s="13" t="s">
        <v>8</v>
      </c>
      <c r="E38" s="7" t="s">
        <v>15</v>
      </c>
      <c r="F38" s="7" t="s">
        <v>16</v>
      </c>
      <c r="G38" s="13" t="s">
        <v>10</v>
      </c>
      <c r="H38" s="7" t="s">
        <v>15</v>
      </c>
      <c r="I38" s="7" t="s">
        <v>16</v>
      </c>
      <c r="J38" s="13" t="s">
        <v>17</v>
      </c>
      <c r="K38" s="27" t="s">
        <v>7</v>
      </c>
      <c r="L38" s="24" t="s">
        <v>7</v>
      </c>
      <c r="N38" s="22"/>
      <c r="O38" s="22"/>
      <c r="P38" s="22"/>
      <c r="Q38" s="22"/>
      <c r="R38" s="22"/>
      <c r="S38" s="22"/>
      <c r="T38" s="22"/>
      <c r="U38" s="22"/>
    </row>
    <row r="39" spans="2:21" ht="15">
      <c r="B39" s="2" t="s">
        <v>18</v>
      </c>
      <c r="C39" s="7" t="s">
        <v>19</v>
      </c>
      <c r="D39" s="13" t="s">
        <v>15</v>
      </c>
      <c r="E39" s="7" t="s">
        <v>20</v>
      </c>
      <c r="F39" s="7" t="s">
        <v>20</v>
      </c>
      <c r="G39" s="13" t="s">
        <v>15</v>
      </c>
      <c r="H39" s="7" t="s">
        <v>20</v>
      </c>
      <c r="I39" s="7" t="s">
        <v>20</v>
      </c>
      <c r="J39" s="13" t="s">
        <v>15</v>
      </c>
      <c r="K39" s="34" t="s">
        <v>21</v>
      </c>
      <c r="L39" s="35" t="s">
        <v>22</v>
      </c>
      <c r="N39" s="22"/>
      <c r="O39" s="22"/>
      <c r="P39" s="22"/>
      <c r="Q39" s="22"/>
      <c r="R39" s="22"/>
      <c r="S39" s="22"/>
      <c r="T39" s="22"/>
      <c r="U39" s="22"/>
    </row>
    <row r="40" spans="2:21" ht="15">
      <c r="B40" s="3"/>
      <c r="C40" s="8"/>
      <c r="D40" s="3"/>
      <c r="E40" s="8"/>
      <c r="F40" s="8"/>
      <c r="G40" s="3"/>
      <c r="H40" s="8"/>
      <c r="I40" s="8"/>
      <c r="J40" s="3"/>
      <c r="K40" s="26"/>
      <c r="L40" s="23"/>
      <c r="N40" s="22"/>
      <c r="O40" s="22"/>
      <c r="P40" s="22"/>
      <c r="Q40" s="22"/>
      <c r="R40" s="22"/>
      <c r="S40" s="22"/>
      <c r="T40" s="22"/>
      <c r="U40" s="22"/>
    </row>
    <row r="41" spans="2:21" ht="15">
      <c r="B41" s="2" t="str">
        <f aca="true" t="shared" si="0" ref="B41:B53">IF(B76=""," ",B76)</f>
        <v>AS</v>
      </c>
      <c r="C41" s="7">
        <f aca="true" t="shared" si="1" ref="C41:C59">IF($C76="","",IF($F108&gt;$C76,"EXCEED","OK"))</f>
      </c>
      <c r="D41" s="13">
        <f aca="true" t="shared" si="2" ref="D41:D59">IF(OR($F76="",$F108=""),"",IF(AND(AND($F108&gt;0,$F76&gt;0),($F108*($C$7/($C$19+$C$7)))&gt;$F76),"EXCEED","OK"))</f>
      </c>
      <c r="E41" s="7">
        <f aca="true" t="shared" si="3" ref="E41:E59">IF($D41="EXCEED",$F76,"")</f>
      </c>
      <c r="F41" s="7">
        <f aca="true" t="shared" si="4" ref="F41:F59">IF($E41="","",(($C$19*$Q76)+($C$7*$F108))/($C$7+$C$19))</f>
      </c>
      <c r="G41" s="13">
        <f aca="true" t="shared" si="5" ref="G41:G59">IF(OR($I76="",$F108=""),"",IF(AND(AND($F108&gt;0,$I76&gt;0),($F108*($C$7/($C$18+$C$7)))&gt;$I76),"EXCEED","OK"))</f>
      </c>
      <c r="H41" s="7">
        <f aca="true" t="shared" si="6" ref="H41:H59">IF($G41="EXCEED",I76,"")</f>
      </c>
      <c r="I41" s="7">
        <f aca="true" t="shared" si="7" ref="I41:I59">IF($H41="","",((($C$18*$Q76)+($C$7*$F108))/($C$7+$C$18)))</f>
      </c>
      <c r="J41" s="13" t="str">
        <f aca="true" t="shared" si="8" ref="J41:J59">IF($O76="","",IF(AND(AND($P76&gt;0,$P76&gt;$O76),$O76&gt;0),"EXCEED","OK"))</f>
        <v>OK</v>
      </c>
      <c r="K41" s="27">
        <f aca="true" t="shared" si="9" ref="K41:K59">IF(OR($U76="",$J168=""),"",IF($U76&gt;$H168,"EXCEED","OK"))</f>
      </c>
      <c r="L41" s="24">
        <f aca="true" t="shared" si="10" ref="L41:L59">IF(OR($H108="",$C168=""),"",IF($H108&gt;$C168,"EXCEED","OK"))</f>
      </c>
      <c r="N41" s="22"/>
      <c r="O41" s="22"/>
      <c r="P41" s="22"/>
      <c r="Q41" s="22"/>
      <c r="R41" s="22"/>
      <c r="S41" s="22"/>
      <c r="T41" s="22"/>
      <c r="U41" s="22"/>
    </row>
    <row r="42" spans="2:21" ht="15">
      <c r="B42" s="2" t="str">
        <f t="shared" si="0"/>
        <v>CD</v>
      </c>
      <c r="C42" s="7">
        <f t="shared" si="1"/>
      </c>
      <c r="D42" s="13">
        <f t="shared" si="2"/>
      </c>
      <c r="E42" s="7">
        <f t="shared" si="3"/>
      </c>
      <c r="F42" s="7">
        <f t="shared" si="4"/>
      </c>
      <c r="G42" s="13">
        <f t="shared" si="5"/>
      </c>
      <c r="H42" s="7">
        <f t="shared" si="6"/>
      </c>
      <c r="I42" s="7">
        <f t="shared" si="7"/>
      </c>
      <c r="J42" s="13" t="str">
        <f t="shared" si="8"/>
        <v>OK</v>
      </c>
      <c r="K42" s="27">
        <f t="shared" si="9"/>
      </c>
      <c r="L42" s="24">
        <f t="shared" si="10"/>
      </c>
      <c r="N42" s="22"/>
      <c r="O42" s="22"/>
      <c r="P42" s="22"/>
      <c r="Q42" s="22"/>
      <c r="R42" s="22"/>
      <c r="S42" s="22"/>
      <c r="T42" s="22"/>
      <c r="U42" s="22"/>
    </row>
    <row r="43" spans="2:21" ht="15">
      <c r="B43" s="2" t="str">
        <f t="shared" si="0"/>
        <v>CR(TOT)</v>
      </c>
      <c r="C43" s="7">
        <f t="shared" si="1"/>
      </c>
      <c r="D43" s="13">
        <f t="shared" si="2"/>
      </c>
      <c r="E43" s="7">
        <f t="shared" si="3"/>
      </c>
      <c r="F43" s="7">
        <f t="shared" si="4"/>
      </c>
      <c r="G43" s="13">
        <f t="shared" si="5"/>
      </c>
      <c r="H43" s="7">
        <f t="shared" si="6"/>
      </c>
      <c r="I43" s="7">
        <f t="shared" si="7"/>
      </c>
      <c r="J43" s="13">
        <f t="shared" si="8"/>
      </c>
      <c r="K43" s="27">
        <f t="shared" si="9"/>
      </c>
      <c r="L43" s="24">
        <f t="shared" si="10"/>
      </c>
      <c r="N43" s="22"/>
      <c r="O43" s="22"/>
      <c r="P43" s="22"/>
      <c r="Q43" s="22"/>
      <c r="R43" s="22"/>
      <c r="S43" s="22"/>
      <c r="T43" s="22"/>
      <c r="U43" s="22"/>
    </row>
    <row r="44" spans="2:21" ht="15">
      <c r="B44" s="2" t="str">
        <f t="shared" si="0"/>
        <v>CR(III)</v>
      </c>
      <c r="C44" s="7">
        <f t="shared" si="1"/>
      </c>
      <c r="D44" s="13">
        <f t="shared" si="2"/>
      </c>
      <c r="E44" s="7">
        <f t="shared" si="3"/>
      </c>
      <c r="F44" s="7">
        <f t="shared" si="4"/>
      </c>
      <c r="G44" s="13">
        <f t="shared" si="5"/>
      </c>
      <c r="H44" s="7">
        <f t="shared" si="6"/>
      </c>
      <c r="I44" s="7">
        <f t="shared" si="7"/>
      </c>
      <c r="J44" s="13">
        <f t="shared" si="8"/>
      </c>
      <c r="K44" s="27">
        <f t="shared" si="9"/>
      </c>
      <c r="L44" s="24">
        <f t="shared" si="10"/>
      </c>
      <c r="N44" s="22"/>
      <c r="O44" s="22"/>
      <c r="P44" s="22"/>
      <c r="Q44" s="22"/>
      <c r="R44" s="22"/>
      <c r="S44" s="22"/>
      <c r="T44" s="22"/>
      <c r="U44" s="22"/>
    </row>
    <row r="45" spans="2:21" ht="15">
      <c r="B45" s="2" t="str">
        <f t="shared" si="0"/>
        <v>CR(VI)</v>
      </c>
      <c r="C45" s="7" t="e">
        <f>IF(#REF!="","",IF($F112&gt;#REF!,"EXCEED","OK"))</f>
        <v>#REF!</v>
      </c>
      <c r="D45" s="13">
        <f t="shared" si="2"/>
      </c>
      <c r="E45" s="7">
        <f t="shared" si="3"/>
      </c>
      <c r="F45" s="7">
        <f t="shared" si="4"/>
      </c>
      <c r="G45" s="13">
        <f t="shared" si="5"/>
      </c>
      <c r="H45" s="7">
        <f t="shared" si="6"/>
      </c>
      <c r="I45" s="7">
        <f t="shared" si="7"/>
      </c>
      <c r="J45" s="13">
        <f t="shared" si="8"/>
      </c>
      <c r="K45" s="27">
        <f t="shared" si="9"/>
      </c>
      <c r="L45" s="24">
        <f t="shared" si="10"/>
      </c>
      <c r="N45" s="22"/>
      <c r="O45" s="22"/>
      <c r="P45" s="22"/>
      <c r="Q45" s="22"/>
      <c r="R45" s="22"/>
      <c r="S45" s="22"/>
      <c r="T45" s="22"/>
      <c r="U45" s="22"/>
    </row>
    <row r="46" spans="2:21" ht="15">
      <c r="B46" s="2" t="str">
        <f t="shared" si="0"/>
        <v>CU</v>
      </c>
      <c r="C46" s="7">
        <f>IF($C80="","",IF($F113&gt;$C80,"EXCEED","OK"))</f>
      </c>
      <c r="D46" s="13">
        <f t="shared" si="2"/>
      </c>
      <c r="E46" s="7">
        <f t="shared" si="3"/>
      </c>
      <c r="F46" s="7">
        <f t="shared" si="4"/>
      </c>
      <c r="G46" s="13">
        <f t="shared" si="5"/>
      </c>
      <c r="H46" s="7">
        <f t="shared" si="6"/>
      </c>
      <c r="I46" s="7">
        <f t="shared" si="7"/>
      </c>
      <c r="J46" s="13" t="str">
        <f t="shared" si="8"/>
        <v>OK</v>
      </c>
      <c r="K46" s="27">
        <f t="shared" si="9"/>
      </c>
      <c r="L46" s="24">
        <f t="shared" si="10"/>
      </c>
      <c r="N46" s="22"/>
      <c r="O46" s="22"/>
      <c r="P46" s="22"/>
      <c r="Q46" s="22"/>
      <c r="R46" s="22"/>
      <c r="S46" s="22"/>
      <c r="T46" s="22"/>
      <c r="U46" s="22"/>
    </row>
    <row r="47" spans="2:21" ht="15">
      <c r="B47" s="2" t="str">
        <f t="shared" si="0"/>
        <v>PB</v>
      </c>
      <c r="C47" s="7">
        <f>IF($C81="","",IF($F114&gt;$C81,"EXCEED","OK"))</f>
      </c>
      <c r="D47" s="13">
        <f t="shared" si="2"/>
      </c>
      <c r="E47" s="7">
        <f t="shared" si="3"/>
      </c>
      <c r="F47" s="7">
        <f t="shared" si="4"/>
      </c>
      <c r="G47" s="13">
        <f t="shared" si="5"/>
      </c>
      <c r="H47" s="7">
        <f t="shared" si="6"/>
      </c>
      <c r="I47" s="7">
        <f t="shared" si="7"/>
      </c>
      <c r="J47" s="13" t="str">
        <f t="shared" si="8"/>
        <v>OK</v>
      </c>
      <c r="K47" s="27">
        <f t="shared" si="9"/>
      </c>
      <c r="L47" s="24">
        <f t="shared" si="10"/>
      </c>
      <c r="N47" s="22"/>
      <c r="O47" s="22"/>
      <c r="P47" s="22"/>
      <c r="Q47" s="22"/>
      <c r="R47" s="22"/>
      <c r="S47" s="22"/>
      <c r="T47" s="22"/>
      <c r="U47" s="22"/>
    </row>
    <row r="48" spans="2:21" ht="15">
      <c r="B48" s="2" t="str">
        <f t="shared" si="0"/>
        <v>HG</v>
      </c>
      <c r="C48" s="7">
        <f t="shared" si="1"/>
      </c>
      <c r="D48" s="13">
        <f t="shared" si="2"/>
      </c>
      <c r="E48" s="7">
        <f t="shared" si="3"/>
      </c>
      <c r="F48" s="7">
        <f t="shared" si="4"/>
      </c>
      <c r="G48" s="13">
        <f t="shared" si="5"/>
      </c>
      <c r="H48" s="7">
        <f t="shared" si="6"/>
      </c>
      <c r="I48" s="7">
        <f t="shared" si="7"/>
      </c>
      <c r="J48" s="13" t="str">
        <f t="shared" si="8"/>
        <v>OK</v>
      </c>
      <c r="K48" s="27">
        <f t="shared" si="9"/>
      </c>
      <c r="L48" s="24">
        <f t="shared" si="10"/>
      </c>
      <c r="N48" s="22"/>
      <c r="O48" s="22"/>
      <c r="P48" s="22"/>
      <c r="Q48" s="22"/>
      <c r="R48" s="22"/>
      <c r="S48" s="22"/>
      <c r="T48" s="22"/>
      <c r="U48" s="22"/>
    </row>
    <row r="49" spans="2:21" ht="15">
      <c r="B49" s="2" t="str">
        <f t="shared" si="0"/>
        <v>MO</v>
      </c>
      <c r="C49" s="7">
        <f t="shared" si="1"/>
      </c>
      <c r="D49" s="13">
        <f t="shared" si="2"/>
      </c>
      <c r="E49" s="7">
        <f t="shared" si="3"/>
      </c>
      <c r="F49" s="7">
        <f t="shared" si="4"/>
      </c>
      <c r="G49" s="13">
        <f t="shared" si="5"/>
      </c>
      <c r="H49" s="7">
        <f t="shared" si="6"/>
      </c>
      <c r="I49" s="7">
        <f t="shared" si="7"/>
      </c>
      <c r="J49" s="13" t="str">
        <f t="shared" si="8"/>
        <v>OK</v>
      </c>
      <c r="K49" s="27">
        <f t="shared" si="9"/>
      </c>
      <c r="L49" s="24">
        <f t="shared" si="10"/>
      </c>
      <c r="N49" s="22"/>
      <c r="O49" s="22"/>
      <c r="P49" s="22"/>
      <c r="Q49" s="22"/>
      <c r="R49" s="22"/>
      <c r="S49" s="22"/>
      <c r="T49" s="22"/>
      <c r="U49" s="22"/>
    </row>
    <row r="50" spans="2:21" ht="15">
      <c r="B50" s="2" t="str">
        <f t="shared" si="0"/>
        <v>NI</v>
      </c>
      <c r="C50" s="7">
        <f t="shared" si="1"/>
      </c>
      <c r="D50" s="13">
        <f t="shared" si="2"/>
      </c>
      <c r="E50" s="7">
        <f t="shared" si="3"/>
      </c>
      <c r="F50" s="7">
        <f t="shared" si="4"/>
      </c>
      <c r="G50" s="13">
        <f t="shared" si="5"/>
      </c>
      <c r="H50" s="7">
        <f t="shared" si="6"/>
      </c>
      <c r="I50" s="7">
        <f t="shared" si="7"/>
      </c>
      <c r="J50" s="13" t="str">
        <f t="shared" si="8"/>
        <v>OK</v>
      </c>
      <c r="K50" s="27">
        <f t="shared" si="9"/>
      </c>
      <c r="L50" s="24">
        <f t="shared" si="10"/>
      </c>
      <c r="N50" s="22"/>
      <c r="O50" s="22"/>
      <c r="P50" s="22"/>
      <c r="Q50" s="22"/>
      <c r="R50" s="22"/>
      <c r="S50" s="22"/>
      <c r="T50" s="22"/>
      <c r="U50" s="22"/>
    </row>
    <row r="51" spans="2:21" ht="15">
      <c r="B51" s="2" t="str">
        <f t="shared" si="0"/>
        <v>SE</v>
      </c>
      <c r="C51" s="7">
        <f t="shared" si="1"/>
      </c>
      <c r="D51" s="13">
        <f t="shared" si="2"/>
      </c>
      <c r="E51" s="7">
        <f t="shared" si="3"/>
      </c>
      <c r="F51" s="7">
        <f t="shared" si="4"/>
      </c>
      <c r="G51" s="13">
        <f t="shared" si="5"/>
      </c>
      <c r="H51" s="7">
        <f t="shared" si="6"/>
      </c>
      <c r="I51" s="7">
        <f t="shared" si="7"/>
      </c>
      <c r="J51" s="13" t="str">
        <f t="shared" si="8"/>
        <v>OK</v>
      </c>
      <c r="K51" s="27">
        <f t="shared" si="9"/>
      </c>
      <c r="L51" s="24">
        <f t="shared" si="10"/>
      </c>
      <c r="N51" s="22"/>
      <c r="O51" s="22"/>
      <c r="P51" s="22"/>
      <c r="Q51" s="22"/>
      <c r="R51" s="22"/>
      <c r="S51" s="22"/>
      <c r="T51" s="22"/>
      <c r="U51" s="22"/>
    </row>
    <row r="52" spans="2:21" ht="15">
      <c r="B52" s="2" t="str">
        <f t="shared" si="0"/>
        <v>AG</v>
      </c>
      <c r="C52" s="7">
        <f t="shared" si="1"/>
      </c>
      <c r="D52" s="13">
        <f t="shared" si="2"/>
      </c>
      <c r="E52" s="7">
        <f t="shared" si="3"/>
      </c>
      <c r="F52" s="7">
        <f t="shared" si="4"/>
      </c>
      <c r="G52" s="13">
        <f t="shared" si="5"/>
      </c>
      <c r="H52" s="7">
        <f t="shared" si="6"/>
      </c>
      <c r="I52" s="7">
        <f t="shared" si="7"/>
      </c>
      <c r="J52" s="13">
        <f t="shared" si="8"/>
      </c>
      <c r="K52" s="27">
        <f t="shared" si="9"/>
      </c>
      <c r="L52" s="24">
        <f t="shared" si="10"/>
      </c>
      <c r="N52" s="22"/>
      <c r="O52" s="22"/>
      <c r="P52" s="22"/>
      <c r="Q52" s="22"/>
      <c r="R52" s="22"/>
      <c r="S52" s="22"/>
      <c r="T52" s="22"/>
      <c r="U52" s="22"/>
    </row>
    <row r="53" spans="2:21" ht="15">
      <c r="B53" s="2" t="str">
        <f t="shared" si="0"/>
        <v>ZN</v>
      </c>
      <c r="C53" s="7">
        <f t="shared" si="1"/>
      </c>
      <c r="D53" s="13">
        <f t="shared" si="2"/>
      </c>
      <c r="E53" s="7">
        <f t="shared" si="3"/>
      </c>
      <c r="F53" s="7">
        <f t="shared" si="4"/>
      </c>
      <c r="G53" s="13">
        <f t="shared" si="5"/>
      </c>
      <c r="H53" s="7">
        <f t="shared" si="6"/>
      </c>
      <c r="I53" s="7">
        <f t="shared" si="7"/>
      </c>
      <c r="J53" s="13" t="str">
        <f t="shared" si="8"/>
        <v>OK</v>
      </c>
      <c r="K53" s="27">
        <f t="shared" si="9"/>
      </c>
      <c r="L53" s="24">
        <f t="shared" si="10"/>
      </c>
      <c r="N53" s="22"/>
      <c r="O53" s="22"/>
      <c r="P53" s="22"/>
      <c r="Q53" s="22"/>
      <c r="R53" s="22"/>
      <c r="S53" s="22"/>
      <c r="T53" s="22"/>
      <c r="U53" s="22"/>
    </row>
    <row r="54" spans="2:21" ht="15">
      <c r="B54" s="2">
        <f aca="true" t="shared" si="11" ref="B54:B59">IF(B89="","",B89)</f>
      </c>
      <c r="C54" s="7">
        <f t="shared" si="1"/>
      </c>
      <c r="D54" s="13">
        <f t="shared" si="2"/>
      </c>
      <c r="E54" s="7">
        <f t="shared" si="3"/>
      </c>
      <c r="F54" s="7">
        <f t="shared" si="4"/>
      </c>
      <c r="G54" s="13">
        <f t="shared" si="5"/>
      </c>
      <c r="H54" s="7">
        <f t="shared" si="6"/>
      </c>
      <c r="I54" s="7">
        <f t="shared" si="7"/>
      </c>
      <c r="J54" s="13">
        <f t="shared" si="8"/>
      </c>
      <c r="K54" s="27">
        <f t="shared" si="9"/>
      </c>
      <c r="L54" s="24">
        <f t="shared" si="10"/>
      </c>
      <c r="N54" s="22"/>
      <c r="O54" s="22"/>
      <c r="P54" s="22"/>
      <c r="Q54" s="22"/>
      <c r="R54" s="22"/>
      <c r="S54" s="22"/>
      <c r="T54" s="22"/>
      <c r="U54" s="22"/>
    </row>
    <row r="55" spans="2:21" ht="15">
      <c r="B55" s="2" t="str">
        <f t="shared" si="11"/>
        <v>BOD</v>
      </c>
      <c r="C55" s="7">
        <f t="shared" si="1"/>
      </c>
      <c r="D55" s="13">
        <f t="shared" si="2"/>
      </c>
      <c r="E55" s="7">
        <f t="shared" si="3"/>
      </c>
      <c r="F55" s="7">
        <f t="shared" si="4"/>
      </c>
      <c r="G55" s="13">
        <f t="shared" si="5"/>
      </c>
      <c r="H55" s="7">
        <f t="shared" si="6"/>
      </c>
      <c r="I55" s="7">
        <f t="shared" si="7"/>
      </c>
      <c r="J55" s="13">
        <f t="shared" si="8"/>
      </c>
      <c r="K55" s="27" t="e">
        <f t="shared" si="9"/>
        <v>#VALUE!</v>
      </c>
      <c r="L55" s="24">
        <f t="shared" si="10"/>
      </c>
      <c r="N55" s="22"/>
      <c r="O55" s="22"/>
      <c r="P55" s="22"/>
      <c r="Q55" s="22"/>
      <c r="R55" s="22"/>
      <c r="S55" s="22"/>
      <c r="T55" s="22"/>
      <c r="U55" s="22"/>
    </row>
    <row r="56" spans="2:21" ht="15">
      <c r="B56" s="2" t="str">
        <f t="shared" si="11"/>
        <v>TSS</v>
      </c>
      <c r="C56" s="7">
        <f t="shared" si="1"/>
      </c>
      <c r="D56" s="13">
        <f t="shared" si="2"/>
      </c>
      <c r="E56" s="7">
        <f t="shared" si="3"/>
      </c>
      <c r="F56" s="7">
        <f t="shared" si="4"/>
      </c>
      <c r="G56" s="13">
        <f t="shared" si="5"/>
      </c>
      <c r="H56" s="7">
        <f t="shared" si="6"/>
      </c>
      <c r="I56" s="7">
        <f t="shared" si="7"/>
      </c>
      <c r="J56" s="13">
        <f t="shared" si="8"/>
      </c>
      <c r="K56" s="27" t="e">
        <f t="shared" si="9"/>
        <v>#VALUE!</v>
      </c>
      <c r="L56" s="24">
        <f t="shared" si="10"/>
      </c>
      <c r="N56" s="22"/>
      <c r="O56" s="22"/>
      <c r="P56" s="22"/>
      <c r="Q56" s="22"/>
      <c r="R56" s="22"/>
      <c r="S56" s="22"/>
      <c r="T56" s="22"/>
      <c r="U56" s="22"/>
    </row>
    <row r="57" spans="2:21" ht="15">
      <c r="B57" s="2">
        <f t="shared" si="11"/>
      </c>
      <c r="C57" s="7">
        <f t="shared" si="1"/>
      </c>
      <c r="D57" s="13">
        <f t="shared" si="2"/>
      </c>
      <c r="E57" s="7">
        <f t="shared" si="3"/>
      </c>
      <c r="F57" s="7">
        <f t="shared" si="4"/>
      </c>
      <c r="G57" s="13">
        <f t="shared" si="5"/>
      </c>
      <c r="H57" s="7">
        <f t="shared" si="6"/>
      </c>
      <c r="I57" s="7">
        <f t="shared" si="7"/>
      </c>
      <c r="J57" s="13">
        <f t="shared" si="8"/>
      </c>
      <c r="K57" s="27">
        <f t="shared" si="9"/>
      </c>
      <c r="L57" s="24">
        <f t="shared" si="10"/>
      </c>
      <c r="N57" s="22"/>
      <c r="O57" s="22"/>
      <c r="P57" s="22"/>
      <c r="Q57" s="22"/>
      <c r="R57" s="22"/>
      <c r="S57" s="22"/>
      <c r="T57" s="22"/>
      <c r="U57" s="22"/>
    </row>
    <row r="58" spans="2:21" ht="15">
      <c r="B58" s="2">
        <f t="shared" si="11"/>
      </c>
      <c r="C58" s="7">
        <f t="shared" si="1"/>
      </c>
      <c r="D58" s="13">
        <f t="shared" si="2"/>
      </c>
      <c r="E58" s="7">
        <f t="shared" si="3"/>
      </c>
      <c r="F58" s="7">
        <f t="shared" si="4"/>
      </c>
      <c r="G58" s="13">
        <f t="shared" si="5"/>
      </c>
      <c r="H58" s="7">
        <f t="shared" si="6"/>
      </c>
      <c r="I58" s="7">
        <f t="shared" si="7"/>
      </c>
      <c r="J58" s="13">
        <f t="shared" si="8"/>
      </c>
      <c r="K58" s="27">
        <f t="shared" si="9"/>
      </c>
      <c r="L58" s="24">
        <f t="shared" si="10"/>
      </c>
      <c r="N58" s="22"/>
      <c r="O58" s="22"/>
      <c r="P58" s="22"/>
      <c r="Q58" s="22"/>
      <c r="R58" s="22"/>
      <c r="S58" s="22"/>
      <c r="T58" s="22"/>
      <c r="U58" s="22"/>
    </row>
    <row r="59" spans="2:21" ht="15.75" thickBot="1">
      <c r="B59" s="2">
        <f t="shared" si="11"/>
      </c>
      <c r="C59" s="7">
        <f t="shared" si="1"/>
      </c>
      <c r="D59" s="13">
        <f t="shared" si="2"/>
      </c>
      <c r="E59" s="7">
        <f t="shared" si="3"/>
      </c>
      <c r="F59" s="7">
        <f t="shared" si="4"/>
      </c>
      <c r="G59" s="13">
        <f t="shared" si="5"/>
      </c>
      <c r="H59" s="7">
        <f t="shared" si="6"/>
      </c>
      <c r="I59" s="7">
        <f t="shared" si="7"/>
      </c>
      <c r="J59" s="13">
        <f t="shared" si="8"/>
      </c>
      <c r="K59" s="27">
        <f t="shared" si="9"/>
      </c>
      <c r="L59" s="25">
        <f t="shared" si="10"/>
      </c>
      <c r="N59" s="22"/>
      <c r="O59" s="22"/>
      <c r="P59" s="22"/>
      <c r="Q59" s="22"/>
      <c r="R59" s="22"/>
      <c r="S59" s="22"/>
      <c r="T59" s="22"/>
      <c r="U59" s="22"/>
    </row>
    <row r="60" spans="2:22" ht="15.75" thickTop="1">
      <c r="B60" s="4"/>
      <c r="C60" s="4"/>
      <c r="D60" s="4"/>
      <c r="E60" s="4"/>
      <c r="F60" s="4"/>
      <c r="G60" s="4"/>
      <c r="H60" s="4"/>
      <c r="I60" s="4"/>
      <c r="J60" s="4"/>
      <c r="K60" s="4"/>
      <c r="L60" s="22"/>
      <c r="O60" s="22"/>
      <c r="P60" s="22"/>
      <c r="Q60" s="22"/>
      <c r="R60" s="22"/>
      <c r="S60" s="22"/>
      <c r="T60" s="22"/>
      <c r="U60" s="22"/>
      <c r="V60" s="22"/>
    </row>
    <row r="61" spans="2:22" ht="1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O61" s="22"/>
      <c r="P61" s="22"/>
      <c r="Q61" s="22"/>
      <c r="R61" s="22"/>
      <c r="S61" s="22"/>
      <c r="T61" s="22"/>
      <c r="U61" s="22"/>
      <c r="V61" s="22"/>
    </row>
    <row r="62" spans="2:22" ht="1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O62" s="22"/>
      <c r="P62" s="22"/>
      <c r="Q62" s="22"/>
      <c r="R62" s="22"/>
      <c r="S62" s="22"/>
      <c r="T62" s="22"/>
      <c r="U62" s="22"/>
      <c r="V62" s="22"/>
    </row>
    <row r="63" spans="2:22" ht="1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O63" s="22"/>
      <c r="P63" s="22"/>
      <c r="Q63" s="22"/>
      <c r="R63" s="22"/>
      <c r="S63" s="22"/>
      <c r="T63" s="22"/>
      <c r="U63" s="22"/>
      <c r="V63" s="22"/>
    </row>
    <row r="64" spans="2:22" ht="1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O64" s="22"/>
      <c r="P64" s="22"/>
      <c r="Q64" s="22"/>
      <c r="R64" s="22"/>
      <c r="S64" s="22"/>
      <c r="T64" s="22"/>
      <c r="U64" s="22"/>
      <c r="V64" s="22"/>
    </row>
    <row r="65" spans="2:22" ht="1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O65" s="22"/>
      <c r="P65" s="22"/>
      <c r="Q65" s="22"/>
      <c r="R65" s="22"/>
      <c r="S65" s="22"/>
      <c r="T65" s="22"/>
      <c r="U65" s="22"/>
      <c r="V65" s="22"/>
    </row>
    <row r="66" spans="2:22" ht="1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O66" s="22"/>
      <c r="P66" s="22"/>
      <c r="Q66" s="22"/>
      <c r="R66" s="22"/>
      <c r="S66" s="22"/>
      <c r="T66" s="22"/>
      <c r="U66" s="22"/>
      <c r="V66" s="22"/>
    </row>
    <row r="67" spans="8:22" ht="15"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7" ht="15.75" thickBot="1">
      <c r="A68" s="14" t="s">
        <v>0</v>
      </c>
      <c r="B68" s="14" t="s">
        <v>45</v>
      </c>
      <c r="C68" s="14" t="s">
        <v>46</v>
      </c>
      <c r="D68" s="14" t="s">
        <v>47</v>
      </c>
      <c r="E68" s="14" t="s">
        <v>48</v>
      </c>
      <c r="F68" s="14" t="s">
        <v>49</v>
      </c>
      <c r="G68" s="14" t="s">
        <v>50</v>
      </c>
      <c r="H68" s="14" t="s">
        <v>51</v>
      </c>
      <c r="I68" s="14" t="s">
        <v>52</v>
      </c>
      <c r="J68" s="14" t="s">
        <v>53</v>
      </c>
      <c r="K68" s="14" t="s">
        <v>54</v>
      </c>
      <c r="L68" s="14" t="s">
        <v>179</v>
      </c>
      <c r="M68" s="14" t="s">
        <v>180</v>
      </c>
      <c r="N68" s="14" t="s">
        <v>40</v>
      </c>
      <c r="O68" s="14" t="s">
        <v>29</v>
      </c>
      <c r="P68" s="14" t="s">
        <v>178</v>
      </c>
      <c r="Q68" s="14" t="s">
        <v>57</v>
      </c>
      <c r="R68" s="14" t="s">
        <v>58</v>
      </c>
      <c r="S68" s="14" t="s">
        <v>101</v>
      </c>
      <c r="T68" s="14" t="s">
        <v>102</v>
      </c>
      <c r="U68" s="14" t="s">
        <v>181</v>
      </c>
      <c r="V68" s="14" t="s">
        <v>182</v>
      </c>
      <c r="W68" s="14"/>
      <c r="X68" s="14" t="s">
        <v>0</v>
      </c>
      <c r="Y68" s="14" t="s">
        <v>0</v>
      </c>
      <c r="Z68" t="s">
        <v>0</v>
      </c>
      <c r="AA68" t="s">
        <v>0</v>
      </c>
    </row>
    <row r="69" spans="2:23" ht="15.75" thickTop="1">
      <c r="B69" s="1"/>
      <c r="C69" s="18"/>
      <c r="D69" s="10"/>
      <c r="E69" s="18"/>
      <c r="F69" s="10"/>
      <c r="G69" s="10"/>
      <c r="H69" s="18"/>
      <c r="I69" s="10"/>
      <c r="J69" s="10" t="s">
        <v>2</v>
      </c>
      <c r="K69" s="10" t="s">
        <v>59</v>
      </c>
      <c r="L69" s="15" t="s">
        <v>3</v>
      </c>
      <c r="M69" s="16" t="s">
        <v>3</v>
      </c>
      <c r="N69" s="18"/>
      <c r="O69" s="10"/>
      <c r="P69" s="18"/>
      <c r="Q69" s="18"/>
      <c r="R69" s="18"/>
      <c r="S69" s="18"/>
      <c r="T69" s="18"/>
      <c r="U69" s="18"/>
      <c r="V69" s="10"/>
      <c r="W69" s="2"/>
    </row>
    <row r="70" spans="2:23" ht="15.75">
      <c r="B70" s="32" t="s">
        <v>59</v>
      </c>
      <c r="C70" s="7"/>
      <c r="D70" s="7"/>
      <c r="E70" s="7"/>
      <c r="F70" s="7"/>
      <c r="G70" s="7"/>
      <c r="H70" s="7"/>
      <c r="I70" s="7"/>
      <c r="J70" s="7" t="s">
        <v>60</v>
      </c>
      <c r="K70" s="7" t="s">
        <v>61</v>
      </c>
      <c r="L70" s="7" t="s">
        <v>62</v>
      </c>
      <c r="M70" s="14" t="s">
        <v>63</v>
      </c>
      <c r="N70" s="7" t="s">
        <v>64</v>
      </c>
      <c r="O70" s="7" t="s">
        <v>0</v>
      </c>
      <c r="P70" s="9" t="s">
        <v>104</v>
      </c>
      <c r="Q70" s="9" t="s">
        <v>0</v>
      </c>
      <c r="R70" s="20" t="s">
        <v>0</v>
      </c>
      <c r="S70" s="7"/>
      <c r="T70" s="9" t="s">
        <v>65</v>
      </c>
      <c r="U70" s="9" t="s">
        <v>105</v>
      </c>
      <c r="V70" s="7"/>
      <c r="W70" s="2"/>
    </row>
    <row r="71" spans="2:23" ht="15">
      <c r="B71" s="2"/>
      <c r="C71" s="7" t="s">
        <v>66</v>
      </c>
      <c r="D71" s="7" t="s">
        <v>67</v>
      </c>
      <c r="E71" s="7" t="s">
        <v>8</v>
      </c>
      <c r="F71" s="7" t="s">
        <v>68</v>
      </c>
      <c r="G71" s="7" t="s">
        <v>69</v>
      </c>
      <c r="H71" s="7" t="s">
        <v>10</v>
      </c>
      <c r="I71" s="7" t="s">
        <v>68</v>
      </c>
      <c r="J71" s="7" t="s">
        <v>70</v>
      </c>
      <c r="K71" s="7" t="s">
        <v>70</v>
      </c>
      <c r="L71" s="7" t="s">
        <v>71</v>
      </c>
      <c r="M71" s="14" t="s">
        <v>17</v>
      </c>
      <c r="N71" s="7" t="s">
        <v>72</v>
      </c>
      <c r="O71" s="7" t="s">
        <v>68</v>
      </c>
      <c r="P71" s="9" t="s">
        <v>110</v>
      </c>
      <c r="Q71" s="9" t="s">
        <v>111</v>
      </c>
      <c r="R71" s="9" t="s">
        <v>0</v>
      </c>
      <c r="S71" s="7"/>
      <c r="T71" s="9" t="s">
        <v>73</v>
      </c>
      <c r="U71" s="9" t="s">
        <v>5</v>
      </c>
      <c r="V71" s="7"/>
      <c r="W71" s="2"/>
    </row>
    <row r="72" spans="2:23" ht="15">
      <c r="B72" s="2"/>
      <c r="C72" s="7" t="s">
        <v>74</v>
      </c>
      <c r="D72" s="7" t="s">
        <v>75</v>
      </c>
      <c r="E72" s="7" t="s">
        <v>76</v>
      </c>
      <c r="F72" s="7" t="s">
        <v>8</v>
      </c>
      <c r="G72" s="7" t="s">
        <v>75</v>
      </c>
      <c r="H72" s="7" t="s">
        <v>76</v>
      </c>
      <c r="I72" s="7" t="s">
        <v>10</v>
      </c>
      <c r="J72" s="7" t="s">
        <v>17</v>
      </c>
      <c r="K72" s="7" t="s">
        <v>17</v>
      </c>
      <c r="L72" s="7" t="s">
        <v>77</v>
      </c>
      <c r="M72" s="7" t="s">
        <v>78</v>
      </c>
      <c r="N72" s="7" t="s">
        <v>79</v>
      </c>
      <c r="O72" s="7" t="s">
        <v>17</v>
      </c>
      <c r="P72" s="9" t="s">
        <v>79</v>
      </c>
      <c r="Q72" s="9" t="s">
        <v>114</v>
      </c>
      <c r="R72" s="9" t="s">
        <v>115</v>
      </c>
      <c r="S72" s="7"/>
      <c r="T72" s="9" t="s">
        <v>80</v>
      </c>
      <c r="U72" s="9" t="s">
        <v>116</v>
      </c>
      <c r="V72" s="7"/>
      <c r="W72" s="2"/>
    </row>
    <row r="73" spans="2:23" ht="15">
      <c r="B73" s="2"/>
      <c r="C73" s="7" t="s">
        <v>81</v>
      </c>
      <c r="D73" s="7" t="s">
        <v>15</v>
      </c>
      <c r="E73" s="7" t="s">
        <v>82</v>
      </c>
      <c r="F73" s="7" t="s">
        <v>15</v>
      </c>
      <c r="G73" s="7" t="s">
        <v>15</v>
      </c>
      <c r="H73" s="7" t="s">
        <v>82</v>
      </c>
      <c r="I73" s="7" t="s">
        <v>15</v>
      </c>
      <c r="J73" s="7" t="s">
        <v>15</v>
      </c>
      <c r="K73" s="7" t="s">
        <v>15</v>
      </c>
      <c r="L73" s="7" t="s">
        <v>83</v>
      </c>
      <c r="M73" s="7" t="s">
        <v>15</v>
      </c>
      <c r="N73" s="7" t="s">
        <v>15</v>
      </c>
      <c r="O73" s="7" t="s">
        <v>15</v>
      </c>
      <c r="P73" s="9" t="s">
        <v>86</v>
      </c>
      <c r="Q73" s="9" t="s">
        <v>121</v>
      </c>
      <c r="R73" s="9" t="s">
        <v>122</v>
      </c>
      <c r="S73" s="7" t="s">
        <v>84</v>
      </c>
      <c r="T73" s="9" t="s">
        <v>0</v>
      </c>
      <c r="U73" s="9" t="s">
        <v>123</v>
      </c>
      <c r="V73" s="7"/>
      <c r="W73" s="2"/>
    </row>
    <row r="74" spans="2:23" ht="15">
      <c r="B74" s="2" t="s">
        <v>18</v>
      </c>
      <c r="C74" s="7" t="s">
        <v>85</v>
      </c>
      <c r="D74" s="7" t="s">
        <v>85</v>
      </c>
      <c r="E74" s="7" t="s">
        <v>85</v>
      </c>
      <c r="F74" s="7" t="s">
        <v>85</v>
      </c>
      <c r="G74" s="7" t="s">
        <v>85</v>
      </c>
      <c r="H74" s="7" t="s">
        <v>85</v>
      </c>
      <c r="I74" s="7" t="s">
        <v>85</v>
      </c>
      <c r="J74" s="7" t="s">
        <v>86</v>
      </c>
      <c r="K74" s="7" t="s">
        <v>86</v>
      </c>
      <c r="L74" s="7" t="s">
        <v>87</v>
      </c>
      <c r="M74" s="7" t="s">
        <v>86</v>
      </c>
      <c r="N74" s="7" t="s">
        <v>86</v>
      </c>
      <c r="O74" s="7" t="s">
        <v>86</v>
      </c>
      <c r="P74" s="9" t="s">
        <v>129</v>
      </c>
      <c r="Q74" s="9" t="s">
        <v>85</v>
      </c>
      <c r="R74" s="9" t="s">
        <v>85</v>
      </c>
      <c r="S74" s="7" t="s">
        <v>85</v>
      </c>
      <c r="T74" s="9" t="s">
        <v>85</v>
      </c>
      <c r="U74" s="9" t="s">
        <v>130</v>
      </c>
      <c r="V74" s="7" t="s">
        <v>18</v>
      </c>
      <c r="W74" s="2"/>
    </row>
    <row r="75" spans="2:23" ht="15">
      <c r="B75" s="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2"/>
    </row>
    <row r="76" spans="2:23" ht="15">
      <c r="B76" s="2" t="s">
        <v>88</v>
      </c>
      <c r="C76" s="7"/>
      <c r="D76" s="7">
        <v>0.34</v>
      </c>
      <c r="E76" s="7"/>
      <c r="F76" s="7">
        <f>IF(OR($C$21="B",$C$21="A"),IF(AND(D76="",E76=""),"",IF(E76&gt;0,E76,IF(D76&gt;0,D76,""))))</f>
        <v>0.34</v>
      </c>
      <c r="G76" s="7">
        <v>0.15</v>
      </c>
      <c r="H76" s="7"/>
      <c r="I76" s="7">
        <f>IF(OR($C$21="C",$C$21="B"),IF(AND(H76="",G76=""),"",IF(H76&gt;0,H76,IF(G76&gt;0,G76,""))))</f>
        <v>0.15</v>
      </c>
      <c r="J76" s="7">
        <f>IF($C$16=1,75,"")</f>
        <v>75</v>
      </c>
      <c r="K76" s="7">
        <f>IF($C$16=3,41,"")</f>
      </c>
      <c r="L76" s="7">
        <f>IF($C$25="Y",36.57,"")</f>
      </c>
      <c r="M76" s="7">
        <f aca="true" t="shared" si="12" ref="M76:M94">IF(AND($C$25="Y",$L76&gt;0),(($L76*$C$26)/($C$27*($C$14/1000000)*($C$15/100)*3046)),"")</f>
      </c>
      <c r="N76" s="7"/>
      <c r="O76" s="7">
        <f aca="true" t="shared" si="13" ref="O76:O88">IF(AND($C$16="O",$C$25="Y"),M76,IF(AND($C$16="O",N76&gt;0),N76,IF($C$16="O","NO STDS ENTERED",IF(AND($C$16=1,J76=""),"",IF(AND($C$16=3,K76=""),"",IF($C$16=1,J76,K76))))))</f>
        <v>75</v>
      </c>
      <c r="P76" s="7"/>
      <c r="Q76" s="7"/>
      <c r="R76" s="7"/>
      <c r="S76" s="7"/>
      <c r="T76" s="7"/>
      <c r="U76" s="7"/>
      <c r="V76" s="9" t="str">
        <f aca="true" t="shared" si="14" ref="V76:V94">IF(B76=""," ",B76)</f>
        <v>AS</v>
      </c>
      <c r="W76" s="2"/>
    </row>
    <row r="77" spans="2:23" ht="15">
      <c r="B77" s="2" t="s">
        <v>89</v>
      </c>
      <c r="C77" s="7"/>
      <c r="D77" s="45">
        <f>(EXP((1.128*(LN($C$20)))-3.828))/1000</f>
        <v>0.0017945637391114687</v>
      </c>
      <c r="E77" s="7"/>
      <c r="F77" s="7">
        <f aca="true" t="shared" si="15" ref="F77:F92">IF(OR($C$21="B",$C$21="A"),IF(AND(D77="",E77=""),"",IF(E77&gt;0,E77,IF(D77&gt;0,D77,""))))</f>
        <v>0.0017945637391114687</v>
      </c>
      <c r="G77" s="48">
        <f>(EXP((0.7852*(LN($C$20)))-3.49))/1000</f>
        <v>0.0006581782181101713</v>
      </c>
      <c r="H77" s="48"/>
      <c r="I77" s="7">
        <f aca="true" t="shared" si="16" ref="I77:I92">IF(OR($C$21="C",$C$21="B"),IF(AND(H77="",G77=""),"",IF(H77&gt;0,H77,IF(G77&gt;0,G77,""))))</f>
        <v>0.0006581782181101713</v>
      </c>
      <c r="J77" s="7">
        <f>IF($C$16=1,85,"")</f>
        <v>85</v>
      </c>
      <c r="K77" s="7">
        <f>IF($C$16=3,39,"")</f>
      </c>
      <c r="L77" s="7">
        <f>IF($C$25="Y",34.78,"")</f>
      </c>
      <c r="M77" s="7">
        <f t="shared" si="12"/>
      </c>
      <c r="N77" s="7"/>
      <c r="O77" s="7">
        <f t="shared" si="13"/>
        <v>85</v>
      </c>
      <c r="P77" s="7"/>
      <c r="Q77" s="7"/>
      <c r="R77" s="7"/>
      <c r="S77" s="7"/>
      <c r="T77" s="7"/>
      <c r="U77" s="7"/>
      <c r="V77" s="9" t="str">
        <f t="shared" si="14"/>
        <v>CD</v>
      </c>
      <c r="W77" s="2"/>
    </row>
    <row r="78" spans="2:23" ht="15">
      <c r="B78" s="2" t="s">
        <v>90</v>
      </c>
      <c r="C78" s="7"/>
      <c r="D78" s="7"/>
      <c r="E78" s="7"/>
      <c r="F78" s="7">
        <f t="shared" si="15"/>
      </c>
      <c r="G78" s="7"/>
      <c r="H78" s="7"/>
      <c r="I78" s="7">
        <f t="shared" si="16"/>
      </c>
      <c r="J78" s="7"/>
      <c r="K78" s="7"/>
      <c r="L78" s="7"/>
      <c r="M78" s="7">
        <f t="shared" si="12"/>
      </c>
      <c r="N78" s="7"/>
      <c r="O78" s="7">
        <f t="shared" si="13"/>
      </c>
      <c r="P78" s="7"/>
      <c r="Q78" s="7"/>
      <c r="R78" s="7"/>
      <c r="S78" s="7"/>
      <c r="T78" s="7"/>
      <c r="U78" s="7"/>
      <c r="V78" s="9" t="str">
        <f t="shared" si="14"/>
        <v>CR(TOT)</v>
      </c>
      <c r="W78" s="2"/>
    </row>
    <row r="79" spans="2:23" ht="15">
      <c r="B79" s="2" t="s">
        <v>91</v>
      </c>
      <c r="C79" s="7"/>
      <c r="D79" s="45">
        <f>(EXP((0.819*(LN($C$20)))+3.688))/1000</f>
        <v>0.9843158599671354</v>
      </c>
      <c r="E79" s="7"/>
      <c r="F79" s="7">
        <f t="shared" si="15"/>
        <v>0.9843158599671354</v>
      </c>
      <c r="G79" s="45">
        <f>(EXP((0.819*(LN($C$20)))+1.561))/1000</f>
        <v>0.1173248803010096</v>
      </c>
      <c r="H79" s="7"/>
      <c r="I79" s="7">
        <f t="shared" si="16"/>
        <v>0.1173248803010096</v>
      </c>
      <c r="J79" s="7"/>
      <c r="K79" s="7"/>
      <c r="L79" s="7"/>
      <c r="M79" s="7">
        <f t="shared" si="12"/>
      </c>
      <c r="N79" s="7"/>
      <c r="O79" s="7">
        <f t="shared" si="13"/>
      </c>
      <c r="P79" s="7"/>
      <c r="Q79" s="7"/>
      <c r="R79" s="7"/>
      <c r="S79" s="7"/>
      <c r="T79" s="7"/>
      <c r="U79" s="7"/>
      <c r="V79" s="9" t="str">
        <f t="shared" si="14"/>
        <v>CR(III)</v>
      </c>
      <c r="W79" s="2"/>
    </row>
    <row r="80" spans="2:23" ht="15">
      <c r="B80" s="2" t="s">
        <v>92</v>
      </c>
      <c r="C80" s="7"/>
      <c r="D80" s="45">
        <v>0.016</v>
      </c>
      <c r="E80" s="7"/>
      <c r="F80" s="7">
        <f t="shared" si="15"/>
        <v>0.016</v>
      </c>
      <c r="G80" s="7">
        <v>0.011</v>
      </c>
      <c r="H80" s="7"/>
      <c r="I80" s="7">
        <f t="shared" si="16"/>
        <v>0.011</v>
      </c>
      <c r="J80" s="7"/>
      <c r="K80" s="7"/>
      <c r="L80" s="7"/>
      <c r="M80" s="7">
        <f t="shared" si="12"/>
      </c>
      <c r="N80" s="7"/>
      <c r="O80" s="7">
        <f t="shared" si="13"/>
      </c>
      <c r="P80" s="7"/>
      <c r="Q80" s="7"/>
      <c r="R80" s="7"/>
      <c r="S80" s="7"/>
      <c r="T80" s="7"/>
      <c r="U80" s="7"/>
      <c r="V80" s="9" t="str">
        <f t="shared" si="14"/>
        <v>CR(VI)</v>
      </c>
      <c r="W80" s="2"/>
    </row>
    <row r="81" spans="2:23" ht="15">
      <c r="B81" s="2" t="s">
        <v>93</v>
      </c>
      <c r="C81" s="7"/>
      <c r="D81" s="45">
        <f>(EXP((0.9422*(LN($C$20)))-1.464))/1000</f>
        <v>0.009224915921775685</v>
      </c>
      <c r="E81" s="7"/>
      <c r="F81" s="7">
        <f t="shared" si="15"/>
        <v>0.009224915921775685</v>
      </c>
      <c r="G81" s="45">
        <f>(EXP((0.8545*(LN($C$20)))-1.465))/1000</f>
        <v>0.006539257704185658</v>
      </c>
      <c r="H81" s="7"/>
      <c r="I81" s="7">
        <f t="shared" si="16"/>
        <v>0.006539257704185658</v>
      </c>
      <c r="J81" s="7">
        <f>IF($C$16=1,4300,"")</f>
        <v>4300</v>
      </c>
      <c r="K81" s="7">
        <f>IF($C$16=3,1500,"")</f>
      </c>
      <c r="L81" s="7">
        <f>IF($C$25="Y",1338,"")</f>
      </c>
      <c r="M81" s="7">
        <f t="shared" si="12"/>
      </c>
      <c r="N81" s="7"/>
      <c r="O81" s="7">
        <f t="shared" si="13"/>
        <v>4300</v>
      </c>
      <c r="P81" s="7"/>
      <c r="Q81" s="7"/>
      <c r="R81" s="7"/>
      <c r="S81" s="7"/>
      <c r="T81" s="7"/>
      <c r="U81" s="7"/>
      <c r="V81" s="9" t="str">
        <f t="shared" si="14"/>
        <v>CU</v>
      </c>
      <c r="W81" s="2"/>
    </row>
    <row r="82" spans="2:23" ht="15">
      <c r="B82" s="2" t="s">
        <v>94</v>
      </c>
      <c r="C82" s="40"/>
      <c r="D82" s="45">
        <f>(EXP((1.273*(LN($C$20)))-1.46))/1000</f>
        <v>0.033784607045770784</v>
      </c>
      <c r="E82" s="7"/>
      <c r="F82" s="7">
        <f t="shared" si="15"/>
        <v>0.033784607045770784</v>
      </c>
      <c r="G82" s="45">
        <f>(EXP((1.273*(LN($C$20)))-4.705))/1000</f>
        <v>0.001316537633948712</v>
      </c>
      <c r="H82" s="7"/>
      <c r="I82" s="7">
        <f t="shared" si="16"/>
        <v>0.001316537633948712</v>
      </c>
      <c r="J82" s="7">
        <f>IF($C$16=1,840,"")</f>
        <v>840</v>
      </c>
      <c r="K82" s="7">
        <f>IF($C$16=3,300,"")</f>
      </c>
      <c r="L82" s="7">
        <f>IF($C$25="Y",267.6,"")</f>
      </c>
      <c r="M82" s="7">
        <f t="shared" si="12"/>
      </c>
      <c r="N82" s="7"/>
      <c r="O82" s="7">
        <f t="shared" si="13"/>
        <v>840</v>
      </c>
      <c r="P82" s="7"/>
      <c r="Q82" s="7"/>
      <c r="R82" s="7"/>
      <c r="S82" s="7"/>
      <c r="T82" s="7"/>
      <c r="U82" s="7"/>
      <c r="V82" s="9" t="str">
        <f t="shared" si="14"/>
        <v>PB</v>
      </c>
      <c r="W82" s="2"/>
    </row>
    <row r="83" spans="2:23" ht="15">
      <c r="B83" s="2" t="s">
        <v>95</v>
      </c>
      <c r="C83" s="7"/>
      <c r="D83" s="7">
        <v>0.0024</v>
      </c>
      <c r="E83" s="7"/>
      <c r="F83" s="7">
        <f t="shared" si="15"/>
        <v>0.0024</v>
      </c>
      <c r="G83" s="48">
        <v>1.2E-05</v>
      </c>
      <c r="H83" s="7"/>
      <c r="I83" s="7">
        <f t="shared" si="16"/>
        <v>1.2E-05</v>
      </c>
      <c r="J83" s="7">
        <f>IF($C$16=1,57,"")</f>
        <v>57</v>
      </c>
      <c r="K83" s="7">
        <f>IF($C$16=3,17,"")</f>
      </c>
      <c r="L83" s="7">
        <f>IF($C$25="Y",15.16,"")</f>
      </c>
      <c r="M83" s="7">
        <f t="shared" si="12"/>
      </c>
      <c r="N83" s="7"/>
      <c r="O83" s="7">
        <f t="shared" si="13"/>
        <v>57</v>
      </c>
      <c r="P83" s="7"/>
      <c r="Q83" s="7"/>
      <c r="R83" s="7"/>
      <c r="S83" s="7"/>
      <c r="T83" s="7"/>
      <c r="U83" s="7"/>
      <c r="V83" s="9" t="str">
        <f t="shared" si="14"/>
        <v>HG</v>
      </c>
      <c r="W83" s="2"/>
    </row>
    <row r="84" spans="2:23" ht="15">
      <c r="B84" s="2" t="s">
        <v>96</v>
      </c>
      <c r="C84" s="7"/>
      <c r="D84" s="7"/>
      <c r="E84" s="7"/>
      <c r="F84" s="7">
        <f t="shared" si="15"/>
      </c>
      <c r="G84" s="7"/>
      <c r="H84" s="7"/>
      <c r="I84" s="7">
        <f t="shared" si="16"/>
      </c>
      <c r="J84" s="7">
        <f>IF($C$16=1,75,"")</f>
        <v>75</v>
      </c>
      <c r="K84" s="7">
        <f>IF($C$16=3,75,"")</f>
      </c>
      <c r="L84" s="7">
        <f>IF($C$25="Y",16.05,"")</f>
      </c>
      <c r="M84" s="7">
        <f t="shared" si="12"/>
      </c>
      <c r="N84" s="7"/>
      <c r="O84" s="7">
        <f t="shared" si="13"/>
        <v>75</v>
      </c>
      <c r="P84" s="7"/>
      <c r="Q84" s="7"/>
      <c r="R84" s="7"/>
      <c r="S84" s="7"/>
      <c r="T84" s="7"/>
      <c r="U84" s="7"/>
      <c r="V84" s="9" t="str">
        <f t="shared" si="14"/>
        <v>MO</v>
      </c>
      <c r="W84" s="2"/>
    </row>
    <row r="85" spans="2:23" ht="15">
      <c r="B85" s="2" t="s">
        <v>97</v>
      </c>
      <c r="C85" s="7"/>
      <c r="D85" s="45">
        <f>(EXP((0.846*(LN($C$20)))+3.3612))/1000</f>
        <v>0.78900405684829</v>
      </c>
      <c r="E85" s="7"/>
      <c r="F85" s="7">
        <f t="shared" si="15"/>
        <v>0.78900405684829</v>
      </c>
      <c r="G85" s="45">
        <f>(EXP((0.846*(LN($C$20)))+1.1645))/1000</f>
        <v>0.08771311767481062</v>
      </c>
      <c r="H85" s="7"/>
      <c r="I85" s="7">
        <f t="shared" si="16"/>
        <v>0.08771311767481062</v>
      </c>
      <c r="J85" s="7">
        <f>IF($C$16=1,420,"")</f>
        <v>420</v>
      </c>
      <c r="K85" s="7">
        <f>IF($C$16=3,420,"")</f>
      </c>
      <c r="L85" s="7">
        <f>IF($C$25="Y",374.64,"")</f>
      </c>
      <c r="M85" s="7">
        <f t="shared" si="12"/>
      </c>
      <c r="N85" s="7"/>
      <c r="O85" s="7">
        <f t="shared" si="13"/>
        <v>420</v>
      </c>
      <c r="P85" s="7"/>
      <c r="Q85" s="7"/>
      <c r="R85" s="7"/>
      <c r="S85" s="7"/>
      <c r="T85" s="7"/>
      <c r="U85" s="7"/>
      <c r="V85" s="9" t="str">
        <f t="shared" si="14"/>
        <v>NI</v>
      </c>
      <c r="W85" s="2"/>
    </row>
    <row r="86" spans="2:23" ht="15">
      <c r="B86" s="2" t="s">
        <v>98</v>
      </c>
      <c r="C86" s="7"/>
      <c r="D86" s="7">
        <v>0.02</v>
      </c>
      <c r="E86" s="7"/>
      <c r="F86" s="7">
        <f t="shared" si="15"/>
        <v>0.02</v>
      </c>
      <c r="G86" s="7">
        <v>0.005</v>
      </c>
      <c r="H86" s="7"/>
      <c r="I86" s="7">
        <f t="shared" si="16"/>
        <v>0.005</v>
      </c>
      <c r="J86" s="7">
        <f>IF($C$16=1,100,"")</f>
        <v>100</v>
      </c>
      <c r="K86" s="7">
        <f>IF($C$16=3,100,"")</f>
      </c>
      <c r="L86" s="7">
        <f>IF($C$25="Y",89.2,"")</f>
      </c>
      <c r="M86" s="7">
        <f t="shared" si="12"/>
      </c>
      <c r="N86" s="7"/>
      <c r="O86" s="7">
        <f t="shared" si="13"/>
        <v>100</v>
      </c>
      <c r="P86" s="7"/>
      <c r="Q86" s="7"/>
      <c r="R86" s="7"/>
      <c r="S86" s="7"/>
      <c r="T86" s="7"/>
      <c r="U86" s="7"/>
      <c r="V86" s="9" t="str">
        <f t="shared" si="14"/>
        <v>SE</v>
      </c>
      <c r="W86" s="2"/>
    </row>
    <row r="87" spans="2:23" ht="15">
      <c r="B87" s="2" t="s">
        <v>99</v>
      </c>
      <c r="C87" s="7"/>
      <c r="D87" s="45">
        <f>(EXP((1.72*(LN($C$20)))-6.52))/1000</f>
        <v>0.0012320501486259257</v>
      </c>
      <c r="E87" s="7"/>
      <c r="F87" s="7">
        <f t="shared" si="15"/>
        <v>0.0012320501486259257</v>
      </c>
      <c r="G87" s="7"/>
      <c r="H87" s="49"/>
      <c r="I87" s="7">
        <f t="shared" si="16"/>
      </c>
      <c r="J87" s="7"/>
      <c r="K87" s="7"/>
      <c r="L87" s="7"/>
      <c r="M87" s="7">
        <f t="shared" si="12"/>
      </c>
      <c r="N87" s="7"/>
      <c r="O87" s="7">
        <f t="shared" si="13"/>
      </c>
      <c r="P87" s="7"/>
      <c r="Q87" s="7"/>
      <c r="R87" s="7"/>
      <c r="S87" s="7"/>
      <c r="T87" s="7"/>
      <c r="U87" s="7"/>
      <c r="V87" s="9" t="str">
        <f t="shared" si="14"/>
        <v>AG</v>
      </c>
      <c r="W87" s="2"/>
    </row>
    <row r="88" spans="2:23" ht="15">
      <c r="B88" s="2" t="s">
        <v>100</v>
      </c>
      <c r="C88" s="7"/>
      <c r="D88" s="45">
        <f>(EXP((0.8473*(LN($C$20)))+0.8604))/1000</f>
        <v>0.06504355305401768</v>
      </c>
      <c r="E88" s="7"/>
      <c r="F88" s="7">
        <f t="shared" si="15"/>
        <v>0.06504355305401768</v>
      </c>
      <c r="G88" s="45">
        <f>(EXP((0.8473*(LN($C$20)))+0.7614))/1000</f>
        <v>0.058912723882619304</v>
      </c>
      <c r="H88" s="7"/>
      <c r="I88" s="7">
        <f t="shared" si="16"/>
        <v>0.058912723882619304</v>
      </c>
      <c r="J88" s="7">
        <f>IF($C$16=1,7500,"")</f>
        <v>7500</v>
      </c>
      <c r="K88" s="7">
        <f>IF($C$16=3,2800,"")</f>
      </c>
      <c r="L88" s="7">
        <f>IF($C$25="Y",2497.6,"")</f>
      </c>
      <c r="M88" s="7">
        <f t="shared" si="12"/>
      </c>
      <c r="N88" s="7"/>
      <c r="O88" s="7">
        <f t="shared" si="13"/>
        <v>7500</v>
      </c>
      <c r="P88" s="7"/>
      <c r="Q88" s="7"/>
      <c r="R88" s="7"/>
      <c r="S88" s="7"/>
      <c r="T88" s="7"/>
      <c r="U88" s="7"/>
      <c r="V88" s="9" t="str">
        <f t="shared" si="14"/>
        <v>ZN</v>
      </c>
      <c r="W88" s="2"/>
    </row>
    <row r="89" spans="1:23" ht="15">
      <c r="A89" s="19"/>
      <c r="B89" s="36"/>
      <c r="C89" s="7"/>
      <c r="D89" s="45"/>
      <c r="E89" s="7"/>
      <c r="F89" s="7">
        <f t="shared" si="15"/>
      </c>
      <c r="G89" s="7"/>
      <c r="H89" s="7"/>
      <c r="I89" s="7">
        <f t="shared" si="16"/>
      </c>
      <c r="J89" s="7"/>
      <c r="K89" s="7"/>
      <c r="L89" s="7"/>
      <c r="M89" s="7">
        <f t="shared" si="12"/>
      </c>
      <c r="N89" s="7"/>
      <c r="O89" s="7">
        <f aca="true" t="shared" si="17" ref="O89:O94">IF(B89="","",IF(AND($C$16="O",$C$25="Y"),M89,IF(AND($C$16="O",N89&gt;0),N89,IF($C$16="O","NO STDS ENTERED",IF(AND($C$16=1,J89=""),"",IF(AND($C$16=3,K89=""),"",IF($C$16=1,J89,K89)))))))</f>
      </c>
      <c r="P89" s="7"/>
      <c r="Q89" s="7"/>
      <c r="R89" s="7"/>
      <c r="S89" s="7"/>
      <c r="T89" s="7"/>
      <c r="U89" s="7"/>
      <c r="V89" s="9" t="str">
        <f t="shared" si="14"/>
        <v> </v>
      </c>
      <c r="W89" s="2"/>
    </row>
    <row r="90" spans="1:23" ht="15">
      <c r="A90" s="19"/>
      <c r="B90" s="36" t="s">
        <v>176</v>
      </c>
      <c r="C90" s="7"/>
      <c r="D90" s="45"/>
      <c r="E90" s="7"/>
      <c r="F90" s="7">
        <f t="shared" si="15"/>
      </c>
      <c r="G90" s="7"/>
      <c r="H90" s="7"/>
      <c r="I90" s="7">
        <f t="shared" si="16"/>
      </c>
      <c r="J90" s="7"/>
      <c r="K90" s="7"/>
      <c r="L90" s="7"/>
      <c r="M90" s="7">
        <f t="shared" si="12"/>
      </c>
      <c r="N90" s="7"/>
      <c r="O90" s="7">
        <f t="shared" si="17"/>
      </c>
      <c r="P90" s="7"/>
      <c r="Q90" s="7"/>
      <c r="R90" s="7"/>
      <c r="S90" s="7"/>
      <c r="T90" s="7"/>
      <c r="U90" s="7"/>
      <c r="V90" s="9" t="str">
        <f t="shared" si="14"/>
        <v>BOD</v>
      </c>
      <c r="W90" s="2"/>
    </row>
    <row r="91" spans="1:23" ht="15">
      <c r="A91" s="19"/>
      <c r="B91" s="36" t="s">
        <v>177</v>
      </c>
      <c r="C91" s="7"/>
      <c r="D91" s="45"/>
      <c r="E91" s="7"/>
      <c r="F91" s="7">
        <f t="shared" si="15"/>
      </c>
      <c r="G91" s="7"/>
      <c r="H91" s="7"/>
      <c r="I91" s="7">
        <f t="shared" si="16"/>
      </c>
      <c r="J91" s="7"/>
      <c r="K91" s="7"/>
      <c r="L91" s="7"/>
      <c r="M91" s="7">
        <f t="shared" si="12"/>
      </c>
      <c r="N91" s="7"/>
      <c r="O91" s="7">
        <f t="shared" si="17"/>
      </c>
      <c r="P91" s="7"/>
      <c r="Q91" s="7"/>
      <c r="R91" s="7"/>
      <c r="S91" s="7"/>
      <c r="T91" s="7"/>
      <c r="U91" s="7"/>
      <c r="V91" s="9" t="str">
        <f t="shared" si="14"/>
        <v>TSS</v>
      </c>
      <c r="W91" s="2"/>
    </row>
    <row r="92" spans="1:23" ht="15">
      <c r="A92" s="19"/>
      <c r="B92" s="36"/>
      <c r="C92" s="7"/>
      <c r="D92" s="45"/>
      <c r="E92" s="7"/>
      <c r="F92" s="7">
        <f t="shared" si="15"/>
      </c>
      <c r="G92" s="7"/>
      <c r="H92" s="7"/>
      <c r="I92" s="7">
        <f t="shared" si="16"/>
      </c>
      <c r="J92" s="7"/>
      <c r="K92" s="7"/>
      <c r="L92" s="7"/>
      <c r="M92" s="7">
        <f t="shared" si="12"/>
      </c>
      <c r="N92" s="7"/>
      <c r="O92" s="7">
        <f t="shared" si="17"/>
      </c>
      <c r="P92" s="7"/>
      <c r="Q92" s="7"/>
      <c r="R92" s="7"/>
      <c r="S92" s="7"/>
      <c r="T92" s="7"/>
      <c r="U92" s="7"/>
      <c r="V92" s="9" t="str">
        <f t="shared" si="14"/>
        <v> </v>
      </c>
      <c r="W92" s="2"/>
    </row>
    <row r="93" spans="1:23" ht="15">
      <c r="A93" s="19"/>
      <c r="B93" s="36"/>
      <c r="C93" s="7"/>
      <c r="D93" s="45"/>
      <c r="E93" s="7"/>
      <c r="F93" s="7">
        <f>IF(OR($C$21="B",$C$21="A"),IF(AND(D93="",E93=""),"",IF(E93&gt;0,E93,IF(D93&gt;0,D93,""))))</f>
      </c>
      <c r="G93" s="7"/>
      <c r="H93" s="7"/>
      <c r="I93" s="7">
        <f>IF(OR($C$21="C",$C$21="B"),IF(AND(H93="",G93=""),"",IF(H93&gt;0,H93,IF(G93&gt;0,G93,""))))</f>
      </c>
      <c r="J93" s="7"/>
      <c r="K93" s="7"/>
      <c r="L93" s="7"/>
      <c r="M93" s="7">
        <f t="shared" si="12"/>
      </c>
      <c r="N93" s="7"/>
      <c r="O93" s="7">
        <f t="shared" si="17"/>
      </c>
      <c r="P93" s="7"/>
      <c r="Q93" s="7"/>
      <c r="R93" s="7"/>
      <c r="S93" s="7"/>
      <c r="T93" s="7"/>
      <c r="U93" s="7"/>
      <c r="V93" s="9" t="str">
        <f t="shared" si="14"/>
        <v> </v>
      </c>
      <c r="W93" s="2"/>
    </row>
    <row r="94" spans="1:23" ht="15.75" thickBot="1">
      <c r="A94" s="19"/>
      <c r="B94" s="36"/>
      <c r="C94" s="7"/>
      <c r="D94" s="45"/>
      <c r="E94" s="7"/>
      <c r="F94" s="7">
        <f>IF(OR($C$21="B",$C$21="A"),IF(AND(D94="",E94=""),"",IF(E94&gt;0,E94,IF(D94&gt;0,D94,""))))</f>
      </c>
      <c r="G94" s="7"/>
      <c r="H94" s="7"/>
      <c r="I94" s="7">
        <f>IF(OR($C$21="C",$C$21="B"),IF(AND(H94="",G94=""),"",IF(H94&gt;0,H94,IF(G94&gt;0,G94,""))))</f>
      </c>
      <c r="J94" s="7"/>
      <c r="K94" s="7"/>
      <c r="L94" s="7"/>
      <c r="M94" s="7">
        <f t="shared" si="12"/>
      </c>
      <c r="N94" s="7"/>
      <c r="O94" s="7">
        <f t="shared" si="17"/>
      </c>
      <c r="P94" s="7"/>
      <c r="Q94" s="7"/>
      <c r="R94" s="7"/>
      <c r="S94" s="7"/>
      <c r="T94" s="7"/>
      <c r="U94" s="7"/>
      <c r="V94" s="9" t="str">
        <f t="shared" si="14"/>
        <v> </v>
      </c>
      <c r="W94" s="2"/>
    </row>
    <row r="95" spans="2:23" ht="15.75" thickTop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22"/>
    </row>
    <row r="96" spans="2:23" ht="1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2:23" ht="1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2:23" ht="1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2:23" ht="1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7" s="14" customFormat="1" ht="15.75" thickBot="1">
      <c r="A100" s="14" t="s">
        <v>0</v>
      </c>
      <c r="B100" s="14" t="s">
        <v>45</v>
      </c>
      <c r="C100" s="14" t="s">
        <v>46</v>
      </c>
      <c r="D100" s="14" t="s">
        <v>47</v>
      </c>
      <c r="E100" s="14" t="s">
        <v>48</v>
      </c>
      <c r="F100" s="14" t="s">
        <v>49</v>
      </c>
      <c r="G100" s="14" t="s">
        <v>50</v>
      </c>
      <c r="H100" s="14" t="s">
        <v>51</v>
      </c>
      <c r="I100" s="14" t="s">
        <v>52</v>
      </c>
      <c r="J100" s="14" t="s">
        <v>53</v>
      </c>
      <c r="K100" s="14" t="s">
        <v>54</v>
      </c>
      <c r="L100" s="14" t="s">
        <v>55</v>
      </c>
      <c r="M100" s="14" t="s">
        <v>56</v>
      </c>
      <c r="N100" s="14" t="s">
        <v>40</v>
      </c>
      <c r="O100" s="14" t="s">
        <v>29</v>
      </c>
      <c r="P100" s="14" t="s">
        <v>178</v>
      </c>
      <c r="Z100" s="14" t="s">
        <v>0</v>
      </c>
      <c r="AA100" s="14" t="s">
        <v>0</v>
      </c>
    </row>
    <row r="101" spans="2:17" s="14" customFormat="1" ht="15.75" thickTop="1">
      <c r="B101" s="37"/>
      <c r="C101" s="50"/>
      <c r="D101" s="50"/>
      <c r="E101" s="15"/>
      <c r="F101" s="50"/>
      <c r="G101" s="50"/>
      <c r="H101" s="15"/>
      <c r="I101" s="15"/>
      <c r="J101" s="50"/>
      <c r="K101" s="51"/>
      <c r="L101" s="50" t="s">
        <v>0</v>
      </c>
      <c r="M101" s="50"/>
      <c r="N101" s="15"/>
      <c r="O101" s="15"/>
      <c r="P101" s="15"/>
      <c r="Q101" s="13"/>
    </row>
    <row r="102" spans="2:17" s="14" customFormat="1" ht="15.75">
      <c r="B102" s="32" t="s">
        <v>103</v>
      </c>
      <c r="C102" s="7"/>
      <c r="D102" s="7"/>
      <c r="E102" s="7"/>
      <c r="F102" s="7"/>
      <c r="G102" s="7"/>
      <c r="H102" s="7"/>
      <c r="I102" s="7"/>
      <c r="J102" s="7"/>
      <c r="K102" s="7"/>
      <c r="L102" s="7" t="s">
        <v>106</v>
      </c>
      <c r="M102" s="7" t="s">
        <v>107</v>
      </c>
      <c r="N102" s="7" t="s">
        <v>108</v>
      </c>
      <c r="O102" s="7"/>
      <c r="P102" s="7"/>
      <c r="Q102" s="13"/>
    </row>
    <row r="103" spans="2:17" s="14" customFormat="1" ht="15">
      <c r="B103" s="13"/>
      <c r="C103" s="7" t="s">
        <v>109</v>
      </c>
      <c r="D103" s="7"/>
      <c r="E103" s="7" t="s">
        <v>0</v>
      </c>
      <c r="F103" s="7" t="s">
        <v>109</v>
      </c>
      <c r="G103" s="7"/>
      <c r="H103" s="7" t="s">
        <v>0</v>
      </c>
      <c r="I103" s="7" t="s">
        <v>105</v>
      </c>
      <c r="J103" s="7" t="s">
        <v>64</v>
      </c>
      <c r="K103" s="7" t="s">
        <v>112</v>
      </c>
      <c r="L103" s="7" t="s">
        <v>17</v>
      </c>
      <c r="M103" s="7" t="s">
        <v>72</v>
      </c>
      <c r="N103" s="7" t="s">
        <v>17</v>
      </c>
      <c r="O103" s="7" t="s">
        <v>68</v>
      </c>
      <c r="P103" s="7"/>
      <c r="Q103" s="13"/>
    </row>
    <row r="104" spans="2:17" s="14" customFormat="1" ht="15">
      <c r="B104" s="13"/>
      <c r="C104" s="7" t="s">
        <v>104</v>
      </c>
      <c r="D104" s="7" t="s">
        <v>113</v>
      </c>
      <c r="E104" s="7" t="s">
        <v>104</v>
      </c>
      <c r="F104" s="7" t="s">
        <v>104</v>
      </c>
      <c r="G104" s="7" t="s">
        <v>113</v>
      </c>
      <c r="H104" s="7" t="s">
        <v>104</v>
      </c>
      <c r="I104" s="7" t="s">
        <v>117</v>
      </c>
      <c r="J104" s="7" t="s">
        <v>104</v>
      </c>
      <c r="K104" s="7" t="s">
        <v>64</v>
      </c>
      <c r="L104" s="7" t="s">
        <v>118</v>
      </c>
      <c r="M104" s="7" t="s">
        <v>118</v>
      </c>
      <c r="N104" s="7" t="s">
        <v>118</v>
      </c>
      <c r="O104" s="7" t="s">
        <v>104</v>
      </c>
      <c r="P104" s="7"/>
      <c r="Q104" s="13"/>
    </row>
    <row r="105" spans="2:17" s="14" customFormat="1" ht="15">
      <c r="B105" s="13"/>
      <c r="C105" s="7" t="s">
        <v>119</v>
      </c>
      <c r="D105" s="7" t="s">
        <v>120</v>
      </c>
      <c r="E105" s="7" t="s">
        <v>119</v>
      </c>
      <c r="F105" s="7" t="s">
        <v>12</v>
      </c>
      <c r="G105" s="7" t="s">
        <v>120</v>
      </c>
      <c r="H105" s="7" t="s">
        <v>12</v>
      </c>
      <c r="I105" s="7" t="s">
        <v>118</v>
      </c>
      <c r="J105" s="7" t="s">
        <v>118</v>
      </c>
      <c r="K105" s="7" t="s">
        <v>124</v>
      </c>
      <c r="L105" s="7" t="s">
        <v>125</v>
      </c>
      <c r="M105" s="7" t="s">
        <v>126</v>
      </c>
      <c r="N105" s="7" t="s">
        <v>125</v>
      </c>
      <c r="O105" s="7" t="s">
        <v>118</v>
      </c>
      <c r="P105" s="7"/>
      <c r="Q105" s="13"/>
    </row>
    <row r="106" spans="2:17" s="14" customFormat="1" ht="15">
      <c r="B106" s="13" t="s">
        <v>18</v>
      </c>
      <c r="C106" s="7" t="s">
        <v>85</v>
      </c>
      <c r="D106" s="7" t="s">
        <v>127</v>
      </c>
      <c r="E106" s="7" t="s">
        <v>128</v>
      </c>
      <c r="F106" s="7" t="s">
        <v>85</v>
      </c>
      <c r="G106" s="7" t="s">
        <v>127</v>
      </c>
      <c r="H106" s="7" t="s">
        <v>128</v>
      </c>
      <c r="I106" s="7" t="s">
        <v>131</v>
      </c>
      <c r="J106" s="7" t="s">
        <v>131</v>
      </c>
      <c r="K106" s="7"/>
      <c r="L106" s="7" t="s">
        <v>131</v>
      </c>
      <c r="M106" s="7" t="s">
        <v>132</v>
      </c>
      <c r="N106" s="7" t="s">
        <v>131</v>
      </c>
      <c r="O106" s="7" t="s">
        <v>131</v>
      </c>
      <c r="P106" s="7" t="s">
        <v>18</v>
      </c>
      <c r="Q106" s="13"/>
    </row>
    <row r="107" spans="2:17" ht="15">
      <c r="B107" s="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"/>
    </row>
    <row r="108" spans="2:17" ht="15">
      <c r="B108" s="2" t="str">
        <f aca="true" t="shared" si="18" ref="B108:B120">IF(B76=""," ",B76)</f>
        <v>AS</v>
      </c>
      <c r="C108" s="7"/>
      <c r="D108" s="7" t="s">
        <v>0</v>
      </c>
      <c r="E108" s="7">
        <f>IF(C108&gt;0,(8.34*$C$7*C108),"")</f>
      </c>
      <c r="F108" s="7"/>
      <c r="G108" s="7" t="s">
        <v>0</v>
      </c>
      <c r="H108" s="7">
        <f aca="true" t="shared" si="19" ref="H108:H124">IF(F108&gt;0,(8.34*$C$7*F108),"")</f>
      </c>
      <c r="I108" s="46">
        <f aca="true" t="shared" si="20" ref="I108:I126">IF(OR($E108="",$H108=""),"",IF($E108-$H108&lt;0,"NEGATIVE",(($E108-$H108)/$E108)*100))</f>
      </c>
      <c r="J108" s="47"/>
      <c r="K108" s="7"/>
      <c r="L108" s="47"/>
      <c r="M108" s="7" t="s">
        <v>40</v>
      </c>
      <c r="N108" s="42">
        <f aca="true" t="shared" si="21" ref="N108:N126">IF(AND($P76&gt;0,$C108&gt;0),(P76*($C$15/100)*($C$14/1000000)*100)/((P76*($C$15/100)*($C$14/1000000))+(F108*$C$7)),"")</f>
      </c>
      <c r="O108" s="42">
        <f aca="true" t="shared" si="22" ref="O108:O126">IF(M108="Y",N108,IF($J108&gt;0,$J108,$I108))</f>
      </c>
      <c r="P108" s="9" t="str">
        <f aca="true" t="shared" si="23" ref="P108:P126">IF(B76=""," ",B76)</f>
        <v>AS</v>
      </c>
      <c r="Q108" s="2"/>
    </row>
    <row r="109" spans="2:17" ht="15">
      <c r="B109" s="2" t="str">
        <f t="shared" si="18"/>
        <v>CD</v>
      </c>
      <c r="C109" s="7"/>
      <c r="D109" s="7"/>
      <c r="E109" s="7">
        <f aca="true" t="shared" si="24" ref="E109:E124">IF(C109&gt;0,(8.34*$C$7*C109),"")</f>
      </c>
      <c r="F109" s="7"/>
      <c r="G109" s="7"/>
      <c r="H109" s="7">
        <f t="shared" si="19"/>
      </c>
      <c r="I109" s="46">
        <f t="shared" si="20"/>
      </c>
      <c r="J109" s="47"/>
      <c r="K109" s="7"/>
      <c r="L109" s="47"/>
      <c r="M109" s="7" t="s">
        <v>40</v>
      </c>
      <c r="N109" s="42">
        <f t="shared" si="21"/>
      </c>
      <c r="O109" s="42">
        <f t="shared" si="22"/>
      </c>
      <c r="P109" s="9" t="str">
        <f t="shared" si="23"/>
        <v>CD</v>
      </c>
      <c r="Q109" s="2"/>
    </row>
    <row r="110" spans="2:17" ht="15">
      <c r="B110" s="2" t="str">
        <f t="shared" si="18"/>
        <v>CR(TOT)</v>
      </c>
      <c r="C110" s="7"/>
      <c r="D110" s="7" t="s">
        <v>0</v>
      </c>
      <c r="E110" s="7">
        <f t="shared" si="24"/>
      </c>
      <c r="F110" s="7"/>
      <c r="G110" s="7" t="s">
        <v>0</v>
      </c>
      <c r="H110" s="7">
        <f t="shared" si="19"/>
      </c>
      <c r="I110" s="46">
        <f t="shared" si="20"/>
      </c>
      <c r="J110" s="47"/>
      <c r="K110" s="7" t="s">
        <v>0</v>
      </c>
      <c r="L110" s="47"/>
      <c r="M110" s="7" t="s">
        <v>40</v>
      </c>
      <c r="N110" s="42">
        <f t="shared" si="21"/>
      </c>
      <c r="O110" s="42">
        <f t="shared" si="22"/>
      </c>
      <c r="P110" s="9" t="str">
        <f t="shared" si="23"/>
        <v>CR(TOT)</v>
      </c>
      <c r="Q110" s="2"/>
    </row>
    <row r="111" spans="2:17" ht="15">
      <c r="B111" s="2" t="str">
        <f t="shared" si="18"/>
        <v>CR(III)</v>
      </c>
      <c r="C111" s="7"/>
      <c r="D111" s="7" t="s">
        <v>0</v>
      </c>
      <c r="E111" s="7">
        <f t="shared" si="24"/>
      </c>
      <c r="F111" s="7"/>
      <c r="G111" s="7"/>
      <c r="H111" s="7">
        <f t="shared" si="19"/>
      </c>
      <c r="I111" s="46">
        <f t="shared" si="20"/>
      </c>
      <c r="J111" s="47"/>
      <c r="K111" s="7"/>
      <c r="L111" s="47"/>
      <c r="M111" s="7" t="s">
        <v>40</v>
      </c>
      <c r="N111" s="42">
        <f t="shared" si="21"/>
      </c>
      <c r="O111" s="42">
        <f t="shared" si="22"/>
      </c>
      <c r="P111" s="9" t="str">
        <f t="shared" si="23"/>
        <v>CR(III)</v>
      </c>
      <c r="Q111" s="2"/>
    </row>
    <row r="112" spans="2:17" ht="15">
      <c r="B112" s="2" t="str">
        <f t="shared" si="18"/>
        <v>CR(VI)</v>
      </c>
      <c r="C112" s="7"/>
      <c r="D112" s="7"/>
      <c r="E112" s="7">
        <f t="shared" si="24"/>
      </c>
      <c r="F112" s="7"/>
      <c r="G112" s="7"/>
      <c r="H112" s="7">
        <f t="shared" si="19"/>
      </c>
      <c r="I112" s="46">
        <f t="shared" si="20"/>
      </c>
      <c r="J112" s="47"/>
      <c r="K112" s="7" t="s">
        <v>0</v>
      </c>
      <c r="L112" s="47"/>
      <c r="M112" s="7" t="s">
        <v>40</v>
      </c>
      <c r="N112" s="42">
        <f t="shared" si="21"/>
      </c>
      <c r="O112" s="42">
        <f t="shared" si="22"/>
      </c>
      <c r="P112" s="9" t="str">
        <f t="shared" si="23"/>
        <v>CR(VI)</v>
      </c>
      <c r="Q112" s="2"/>
    </row>
    <row r="113" spans="2:17" ht="15">
      <c r="B113" s="2" t="str">
        <f t="shared" si="18"/>
        <v>CU</v>
      </c>
      <c r="C113" s="7"/>
      <c r="D113" s="7"/>
      <c r="E113" s="7">
        <f t="shared" si="24"/>
      </c>
      <c r="F113" s="7"/>
      <c r="G113" s="7"/>
      <c r="H113" s="7">
        <f t="shared" si="19"/>
      </c>
      <c r="I113" s="46">
        <f t="shared" si="20"/>
      </c>
      <c r="J113" s="47"/>
      <c r="K113" s="7"/>
      <c r="L113" s="47"/>
      <c r="M113" s="7" t="s">
        <v>40</v>
      </c>
      <c r="N113" s="42">
        <f t="shared" si="21"/>
      </c>
      <c r="O113" s="42">
        <f t="shared" si="22"/>
      </c>
      <c r="P113" s="9" t="str">
        <f t="shared" si="23"/>
        <v>CU</v>
      </c>
      <c r="Q113" s="2"/>
    </row>
    <row r="114" spans="2:17" ht="15">
      <c r="B114" s="2" t="str">
        <f t="shared" si="18"/>
        <v>PB</v>
      </c>
      <c r="C114" s="7"/>
      <c r="D114" s="7"/>
      <c r="E114" s="7">
        <f t="shared" si="24"/>
      </c>
      <c r="F114" s="7"/>
      <c r="G114" s="7"/>
      <c r="H114" s="7">
        <f t="shared" si="19"/>
      </c>
      <c r="I114" s="46">
        <f t="shared" si="20"/>
      </c>
      <c r="J114" s="47"/>
      <c r="K114" s="7" t="s">
        <v>0</v>
      </c>
      <c r="L114" s="47"/>
      <c r="M114" s="7" t="s">
        <v>40</v>
      </c>
      <c r="N114" s="42">
        <f t="shared" si="21"/>
      </c>
      <c r="O114" s="42">
        <f t="shared" si="22"/>
      </c>
      <c r="P114" s="9" t="str">
        <f t="shared" si="23"/>
        <v>PB</v>
      </c>
      <c r="Q114" s="2"/>
    </row>
    <row r="115" spans="2:17" ht="15">
      <c r="B115" s="2" t="str">
        <f t="shared" si="18"/>
        <v>HG</v>
      </c>
      <c r="C115" s="7"/>
      <c r="D115" s="7" t="s">
        <v>0</v>
      </c>
      <c r="E115" s="7">
        <f t="shared" si="24"/>
      </c>
      <c r="F115" s="7"/>
      <c r="G115" s="7" t="s">
        <v>0</v>
      </c>
      <c r="H115" s="7">
        <f t="shared" si="19"/>
      </c>
      <c r="I115" s="46">
        <f t="shared" si="20"/>
      </c>
      <c r="J115" s="47"/>
      <c r="K115" s="7"/>
      <c r="L115" s="47"/>
      <c r="M115" s="7" t="s">
        <v>40</v>
      </c>
      <c r="N115" s="42">
        <f t="shared" si="21"/>
      </c>
      <c r="O115" s="42">
        <f t="shared" si="22"/>
      </c>
      <c r="P115" s="9" t="str">
        <f t="shared" si="23"/>
        <v>HG</v>
      </c>
      <c r="Q115" s="2"/>
    </row>
    <row r="116" spans="2:17" ht="15">
      <c r="B116" s="2" t="str">
        <f t="shared" si="18"/>
        <v>MO</v>
      </c>
      <c r="C116" s="7"/>
      <c r="D116" s="7" t="s">
        <v>0</v>
      </c>
      <c r="E116" s="7">
        <f t="shared" si="24"/>
      </c>
      <c r="F116" s="7"/>
      <c r="G116" s="7" t="s">
        <v>0</v>
      </c>
      <c r="H116" s="7">
        <f t="shared" si="19"/>
      </c>
      <c r="I116" s="46">
        <f t="shared" si="20"/>
      </c>
      <c r="J116" s="47"/>
      <c r="K116" s="7" t="s">
        <v>0</v>
      </c>
      <c r="L116" s="47"/>
      <c r="M116" s="7" t="s">
        <v>40</v>
      </c>
      <c r="N116" s="42">
        <f t="shared" si="21"/>
      </c>
      <c r="O116" s="42">
        <f t="shared" si="22"/>
      </c>
      <c r="P116" s="9" t="str">
        <f t="shared" si="23"/>
        <v>MO</v>
      </c>
      <c r="Q116" s="2"/>
    </row>
    <row r="117" spans="2:17" ht="15">
      <c r="B117" s="2" t="str">
        <f t="shared" si="18"/>
        <v>NI</v>
      </c>
      <c r="C117" s="7"/>
      <c r="D117" s="7" t="s">
        <v>0</v>
      </c>
      <c r="E117" s="7">
        <f t="shared" si="24"/>
      </c>
      <c r="F117" s="7"/>
      <c r="G117" s="7" t="s">
        <v>0</v>
      </c>
      <c r="H117" s="7">
        <f t="shared" si="19"/>
      </c>
      <c r="I117" s="46">
        <f t="shared" si="20"/>
      </c>
      <c r="J117" s="47"/>
      <c r="K117" s="7" t="s">
        <v>0</v>
      </c>
      <c r="L117" s="47"/>
      <c r="M117" s="7" t="s">
        <v>40</v>
      </c>
      <c r="N117" s="42">
        <f t="shared" si="21"/>
      </c>
      <c r="O117" s="42">
        <f t="shared" si="22"/>
      </c>
      <c r="P117" s="9" t="str">
        <f t="shared" si="23"/>
        <v>NI</v>
      </c>
      <c r="Q117" s="2"/>
    </row>
    <row r="118" spans="2:17" ht="15">
      <c r="B118" s="2" t="str">
        <f t="shared" si="18"/>
        <v>SE</v>
      </c>
      <c r="C118" s="7"/>
      <c r="D118" s="7" t="s">
        <v>0</v>
      </c>
      <c r="E118" s="7">
        <f t="shared" si="24"/>
      </c>
      <c r="F118" s="7"/>
      <c r="G118" s="7" t="s">
        <v>0</v>
      </c>
      <c r="H118" s="7">
        <f t="shared" si="19"/>
      </c>
      <c r="I118" s="46">
        <f t="shared" si="20"/>
      </c>
      <c r="J118" s="47"/>
      <c r="K118" s="7" t="s">
        <v>0</v>
      </c>
      <c r="L118" s="47"/>
      <c r="M118" s="7" t="s">
        <v>40</v>
      </c>
      <c r="N118" s="42">
        <f t="shared" si="21"/>
      </c>
      <c r="O118" s="42">
        <f t="shared" si="22"/>
      </c>
      <c r="P118" s="9" t="str">
        <f t="shared" si="23"/>
        <v>SE</v>
      </c>
      <c r="Q118" s="2"/>
    </row>
    <row r="119" spans="2:17" ht="15">
      <c r="B119" s="2" t="str">
        <f t="shared" si="18"/>
        <v>AG</v>
      </c>
      <c r="C119" s="7"/>
      <c r="D119" s="7"/>
      <c r="E119" s="7">
        <f t="shared" si="24"/>
      </c>
      <c r="F119" s="7"/>
      <c r="G119" s="7" t="s">
        <v>0</v>
      </c>
      <c r="H119" s="7">
        <f t="shared" si="19"/>
      </c>
      <c r="I119" s="46">
        <f t="shared" si="20"/>
      </c>
      <c r="J119" s="47"/>
      <c r="K119" s="7"/>
      <c r="L119" s="47"/>
      <c r="M119" s="7" t="s">
        <v>40</v>
      </c>
      <c r="N119" s="42">
        <f t="shared" si="21"/>
      </c>
      <c r="O119" s="42">
        <f t="shared" si="22"/>
      </c>
      <c r="P119" s="9" t="str">
        <f t="shared" si="23"/>
        <v>AG</v>
      </c>
      <c r="Q119" s="2"/>
    </row>
    <row r="120" spans="2:17" ht="15">
      <c r="B120" s="2" t="str">
        <f t="shared" si="18"/>
        <v>ZN</v>
      </c>
      <c r="C120" s="7"/>
      <c r="D120" s="7"/>
      <c r="E120" s="7">
        <f t="shared" si="24"/>
      </c>
      <c r="F120" s="7"/>
      <c r="G120" s="7"/>
      <c r="H120" s="7">
        <f t="shared" si="19"/>
      </c>
      <c r="I120" s="46">
        <f t="shared" si="20"/>
      </c>
      <c r="J120" s="47"/>
      <c r="K120" s="7"/>
      <c r="L120" s="47"/>
      <c r="M120" s="7" t="s">
        <v>40</v>
      </c>
      <c r="N120" s="42">
        <f t="shared" si="21"/>
      </c>
      <c r="O120" s="42">
        <f t="shared" si="22"/>
      </c>
      <c r="P120" s="9" t="str">
        <f t="shared" si="23"/>
        <v>ZN</v>
      </c>
      <c r="Q120" s="2"/>
    </row>
    <row r="121" spans="2:17" ht="15">
      <c r="B121" s="2">
        <f aca="true" t="shared" si="25" ref="B121:B126">IF(B89="","",B89)</f>
      </c>
      <c r="C121" s="7"/>
      <c r="D121" s="7"/>
      <c r="E121" s="7">
        <f t="shared" si="24"/>
      </c>
      <c r="F121" s="7"/>
      <c r="G121" s="7"/>
      <c r="H121" s="7">
        <f t="shared" si="19"/>
      </c>
      <c r="I121" s="46">
        <f t="shared" si="20"/>
      </c>
      <c r="J121" s="7"/>
      <c r="K121" s="7"/>
      <c r="L121" s="7"/>
      <c r="M121" s="7" t="s">
        <v>0</v>
      </c>
      <c r="N121" s="42">
        <f t="shared" si="21"/>
      </c>
      <c r="O121" s="42">
        <f t="shared" si="22"/>
      </c>
      <c r="P121" s="9" t="str">
        <f t="shared" si="23"/>
        <v> </v>
      </c>
      <c r="Q121" s="2"/>
    </row>
    <row r="122" spans="2:17" ht="15">
      <c r="B122" s="2" t="s">
        <v>176</v>
      </c>
      <c r="C122" s="7"/>
      <c r="D122" s="7"/>
      <c r="E122" s="7">
        <f t="shared" si="24"/>
      </c>
      <c r="F122" s="7"/>
      <c r="G122" s="7"/>
      <c r="H122" s="7">
        <f t="shared" si="19"/>
      </c>
      <c r="I122" s="46">
        <f t="shared" si="20"/>
      </c>
      <c r="J122" s="7"/>
      <c r="K122" s="7"/>
      <c r="L122" s="7"/>
      <c r="M122" s="7"/>
      <c r="N122" s="42">
        <f t="shared" si="21"/>
      </c>
      <c r="O122" s="42">
        <f t="shared" si="22"/>
      </c>
      <c r="P122" s="9" t="str">
        <f t="shared" si="23"/>
        <v>BOD</v>
      </c>
      <c r="Q122" s="2"/>
    </row>
    <row r="123" spans="2:17" ht="15">
      <c r="B123" s="2" t="s">
        <v>177</v>
      </c>
      <c r="C123" s="7"/>
      <c r="D123" s="7"/>
      <c r="E123" s="7">
        <f t="shared" si="24"/>
      </c>
      <c r="F123" s="7"/>
      <c r="G123" s="7"/>
      <c r="H123" s="7">
        <f t="shared" si="19"/>
      </c>
      <c r="I123" s="46">
        <f t="shared" si="20"/>
      </c>
      <c r="J123" s="7"/>
      <c r="K123" s="7"/>
      <c r="L123" s="7"/>
      <c r="M123" s="7" t="s">
        <v>0</v>
      </c>
      <c r="N123" s="42">
        <f t="shared" si="21"/>
      </c>
      <c r="O123" s="42">
        <f t="shared" si="22"/>
      </c>
      <c r="P123" s="9" t="str">
        <f t="shared" si="23"/>
        <v>TSS</v>
      </c>
      <c r="Q123" s="2"/>
    </row>
    <row r="124" spans="2:17" ht="15">
      <c r="B124" s="2">
        <f t="shared" si="25"/>
      </c>
      <c r="C124" s="7"/>
      <c r="D124" s="7"/>
      <c r="E124" s="7">
        <f t="shared" si="24"/>
      </c>
      <c r="F124" s="7"/>
      <c r="G124" s="7"/>
      <c r="H124" s="7">
        <f t="shared" si="19"/>
      </c>
      <c r="I124" s="46">
        <f t="shared" si="20"/>
      </c>
      <c r="J124" s="7"/>
      <c r="K124" s="7"/>
      <c r="L124" s="7"/>
      <c r="M124" s="7" t="s">
        <v>133</v>
      </c>
      <c r="N124" s="42">
        <f t="shared" si="21"/>
      </c>
      <c r="O124" s="42">
        <f t="shared" si="22"/>
      </c>
      <c r="P124" s="9" t="str">
        <f t="shared" si="23"/>
        <v> </v>
      </c>
      <c r="Q124" s="2"/>
    </row>
    <row r="125" spans="2:26" ht="15">
      <c r="B125" s="2">
        <f t="shared" si="25"/>
      </c>
      <c r="C125" s="7"/>
      <c r="D125" s="7"/>
      <c r="E125" s="7">
        <f>IF(C125&gt;0,(8.34*$C$7*C125),"")</f>
      </c>
      <c r="F125" s="7"/>
      <c r="G125" s="7"/>
      <c r="H125" s="7">
        <f>IF(F125&gt;0,(8.34*$C$7*F125),"")</f>
      </c>
      <c r="I125" s="46">
        <f t="shared" si="20"/>
      </c>
      <c r="J125" s="7"/>
      <c r="K125" s="7" t="s">
        <v>0</v>
      </c>
      <c r="L125" s="7"/>
      <c r="M125" s="7"/>
      <c r="N125" s="42">
        <f t="shared" si="21"/>
      </c>
      <c r="O125" s="42">
        <f t="shared" si="22"/>
      </c>
      <c r="P125" s="9" t="str">
        <f t="shared" si="23"/>
        <v> </v>
      </c>
      <c r="Q125" s="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2:26" ht="15.75" thickBot="1">
      <c r="B126" s="2">
        <f t="shared" si="25"/>
      </c>
      <c r="C126" s="7"/>
      <c r="D126" s="7"/>
      <c r="E126" s="7">
        <f>IF(C126&gt;0,(8.34*$C$7*C126),"")</f>
      </c>
      <c r="F126" s="7"/>
      <c r="G126" s="7"/>
      <c r="H126" s="7">
        <f>IF(F126&gt;0,(8.34*$C$7*F126),"")</f>
      </c>
      <c r="I126" s="46">
        <f t="shared" si="20"/>
      </c>
      <c r="J126" s="47"/>
      <c r="K126" s="7"/>
      <c r="L126" s="7"/>
      <c r="M126" s="7" t="s">
        <v>0</v>
      </c>
      <c r="N126" s="42">
        <f t="shared" si="21"/>
      </c>
      <c r="O126" s="42">
        <f t="shared" si="22"/>
      </c>
      <c r="P126" s="9" t="str">
        <f t="shared" si="23"/>
        <v> </v>
      </c>
      <c r="Q126" s="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2:26" ht="15.75" thickTop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7:26" ht="15"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3" s="14" customFormat="1" ht="15.75" thickBot="1">
      <c r="A129" s="14" t="s">
        <v>0</v>
      </c>
      <c r="B129" s="14" t="s">
        <v>45</v>
      </c>
      <c r="C129" s="14" t="s">
        <v>46</v>
      </c>
      <c r="D129" s="14" t="s">
        <v>47</v>
      </c>
      <c r="E129" s="14" t="s">
        <v>48</v>
      </c>
      <c r="F129" s="14" t="s">
        <v>49</v>
      </c>
      <c r="G129" s="14" t="s">
        <v>50</v>
      </c>
      <c r="H129" s="14" t="s">
        <v>51</v>
      </c>
      <c r="I129" s="14" t="s">
        <v>52</v>
      </c>
      <c r="J129" s="14" t="s">
        <v>53</v>
      </c>
      <c r="K129" s="14" t="s">
        <v>54</v>
      </c>
      <c r="L129" s="14" t="s">
        <v>55</v>
      </c>
      <c r="M129" s="14" t="s">
        <v>56</v>
      </c>
      <c r="N129" s="14" t="s">
        <v>0</v>
      </c>
      <c r="O129" s="14" t="s">
        <v>0</v>
      </c>
      <c r="P129" s="14" t="s">
        <v>0</v>
      </c>
      <c r="T129" s="14" t="s">
        <v>0</v>
      </c>
      <c r="U129" s="14" t="s">
        <v>0</v>
      </c>
      <c r="W129" s="14" t="s">
        <v>133</v>
      </c>
    </row>
    <row r="130" spans="2:14" ht="15.75" thickTop="1">
      <c r="B130" s="37"/>
      <c r="C130" s="15"/>
      <c r="D130" s="15"/>
      <c r="E130" s="15"/>
      <c r="F130" s="15" t="s">
        <v>135</v>
      </c>
      <c r="G130" s="15"/>
      <c r="H130" s="15"/>
      <c r="I130" s="15"/>
      <c r="J130" s="15" t="s">
        <v>0</v>
      </c>
      <c r="K130" s="38"/>
      <c r="L130" s="16"/>
      <c r="M130" s="15"/>
      <c r="N130" s="2"/>
    </row>
    <row r="131" spans="2:14" ht="15.75">
      <c r="B131" s="32" t="s">
        <v>134</v>
      </c>
      <c r="C131" s="7"/>
      <c r="D131" s="7"/>
      <c r="E131" s="7"/>
      <c r="F131" s="7" t="s">
        <v>136</v>
      </c>
      <c r="G131" s="7" t="s">
        <v>3</v>
      </c>
      <c r="H131" s="7"/>
      <c r="I131" s="7" t="s">
        <v>116</v>
      </c>
      <c r="J131" s="7" t="s">
        <v>137</v>
      </c>
      <c r="K131" s="40" t="s">
        <v>22</v>
      </c>
      <c r="M131" s="7"/>
      <c r="N131" s="2"/>
    </row>
    <row r="132" spans="2:14" ht="15">
      <c r="B132" s="13"/>
      <c r="C132" s="7" t="s">
        <v>14</v>
      </c>
      <c r="D132" s="7" t="s">
        <v>8</v>
      </c>
      <c r="E132" s="7" t="s">
        <v>10</v>
      </c>
      <c r="F132" s="7" t="s">
        <v>17</v>
      </c>
      <c r="G132" s="7" t="s">
        <v>17</v>
      </c>
      <c r="H132" s="7" t="s">
        <v>116</v>
      </c>
      <c r="I132" s="7" t="s">
        <v>138</v>
      </c>
      <c r="J132" s="7" t="s">
        <v>139</v>
      </c>
      <c r="K132" s="40" t="s">
        <v>163</v>
      </c>
      <c r="L132" s="14" t="s">
        <v>22</v>
      </c>
      <c r="M132" s="7"/>
      <c r="N132" s="2"/>
    </row>
    <row r="133" spans="2:14" ht="15">
      <c r="B133" s="13"/>
      <c r="C133" s="7" t="s">
        <v>116</v>
      </c>
      <c r="D133" s="7" t="s">
        <v>116</v>
      </c>
      <c r="E133" s="7" t="s">
        <v>116</v>
      </c>
      <c r="F133" s="7" t="s">
        <v>116</v>
      </c>
      <c r="G133" s="7" t="s">
        <v>116</v>
      </c>
      <c r="H133" s="7" t="s">
        <v>140</v>
      </c>
      <c r="I133" s="7" t="s">
        <v>141</v>
      </c>
      <c r="J133" s="7" t="s">
        <v>15</v>
      </c>
      <c r="K133" s="40" t="s">
        <v>81</v>
      </c>
      <c r="L133" s="30" t="s">
        <v>164</v>
      </c>
      <c r="M133" s="7"/>
      <c r="N133" s="2"/>
    </row>
    <row r="134" spans="2:14" ht="15">
      <c r="B134" s="13" t="s">
        <v>18</v>
      </c>
      <c r="C134" s="7" t="s">
        <v>128</v>
      </c>
      <c r="D134" s="7" t="s">
        <v>128</v>
      </c>
      <c r="E134" s="7" t="s">
        <v>128</v>
      </c>
      <c r="F134" s="7" t="s">
        <v>128</v>
      </c>
      <c r="G134" s="7" t="s">
        <v>128</v>
      </c>
      <c r="H134" s="7" t="s">
        <v>128</v>
      </c>
      <c r="I134" s="7" t="s">
        <v>128</v>
      </c>
      <c r="J134" s="7" t="s">
        <v>128</v>
      </c>
      <c r="K134" s="41" t="s">
        <v>128</v>
      </c>
      <c r="L134" s="30" t="s">
        <v>167</v>
      </c>
      <c r="M134" s="7" t="s">
        <v>18</v>
      </c>
      <c r="N134" s="2"/>
    </row>
    <row r="135" spans="2:14" ht="15">
      <c r="B135" s="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"/>
    </row>
    <row r="136" spans="2:14" ht="15">
      <c r="B136" s="2" t="str">
        <f aca="true" t="shared" si="26" ref="B136:B154">IF(B76=""," ",B76)</f>
        <v>AS</v>
      </c>
      <c r="C136" s="45">
        <f>IF(OR($C76=0,$C76=""),999999,(8.34)*($C76*$C$7)/(1-($O108/100)))</f>
        <v>999999</v>
      </c>
      <c r="D136" s="45">
        <f>IF(OR(OR($F76=0,$F76=""),$O108=""),999999,(8.34*($F76*(($C$19+$C$7)-($C$19*$Q76)))/(1-($O108/100))))</f>
        <v>999999</v>
      </c>
      <c r="E136" s="45">
        <f>IF(OR(OR($I76=0,$I76=""),$O108=""),999999,(8.34*($I76*(($C$18+$C$7)-($C$18*$Q76)))/(1-($O108/100))))</f>
        <v>999999</v>
      </c>
      <c r="F136" s="52">
        <f aca="true" t="shared" si="27" ref="F136:F148">IF(OR(OR(OR(OR($O76=0,$O76=""),O108=0),$O108=""),O76="NO STDS ENTERED"),999999,((8.34)*($O76)*($C$15/100)*($C$14/1000000))/(IF(OR($L108=0,L108=""),$O108,$L108)/100))</f>
        <v>999999</v>
      </c>
      <c r="G136" s="45">
        <f aca="true" t="shared" si="28" ref="G136:G148">IF(AND($C$25="y",$M76=""),999999,IF(AND($C$25="Y",$M76&gt;0),((8.34*$M76*($C$15/100)*($C$14/1000000))/($O108/100)),999999))</f>
        <v>999999</v>
      </c>
      <c r="H136" s="45">
        <f aca="true" t="shared" si="29" ref="H136:H148">IF(OR($S76=0,$S76=""),999999,(8.34*($S76*($C$19+$C$7)-($C$19*$Q76))/(1-($O108/100))))</f>
        <v>999999</v>
      </c>
      <c r="I136" s="45">
        <f aca="true" t="shared" si="30" ref="I136:I148">IF(OR($T76=0,$T76=""),999999,(8.34*($T76*($C$18+$C$7)-($C$18*$Q76))/(1-($O108/100))))</f>
        <v>999999</v>
      </c>
      <c r="J136" s="45">
        <f aca="true" t="shared" si="31" ref="J136:J148">MIN($C136,$D136,$E136,$H136,$I136)</f>
        <v>999999</v>
      </c>
      <c r="K136" s="7" t="str">
        <f aca="true" t="shared" si="32" ref="K136:K148">IF(J136=999999,"NONE",IF($J136=$C136,"NPDES",IF($J136=$D136,"WQ-ACUTE",IF($J136=$E136,"WQ-CHRONIC",IF($J136=$H136,"MCL",IF($J136=$I136,"HH","ERR"))))))</f>
        <v>NONE</v>
      </c>
      <c r="L136" s="45">
        <f>MIN($F136:$G136)</f>
        <v>999999</v>
      </c>
      <c r="M136" s="9" t="str">
        <f aca="true" t="shared" si="33" ref="M136:M154">IF(B76=""," ",B76)</f>
        <v>AS</v>
      </c>
      <c r="N136" s="2"/>
    </row>
    <row r="137" spans="2:14" ht="15">
      <c r="B137" s="2" t="str">
        <f t="shared" si="26"/>
        <v>CD</v>
      </c>
      <c r="C137" s="45">
        <f>IF(OR($C77=0,$C77=""),999999,(8.34)*($C77*$C$7)/(1-($O109/100)))</f>
        <v>999999</v>
      </c>
      <c r="D137" s="45">
        <f aca="true" t="shared" si="34" ref="D137:D148">IF(OR(OR($F77=0,$F77=""),$O109=""),999999,(8.34*($F77*(($C$19+$C$7)-($C$19*$Q77)))/(1-($O109/100))))</f>
        <v>999999</v>
      </c>
      <c r="E137" s="45">
        <f aca="true" t="shared" si="35" ref="E137:E148">IF(OR(OR($I77=0,$I77=""),$O109=""),999999,(8.34*($I77*(($C$18+$C$7)-($C$18*$Q77)))/(1-($O109/100))))</f>
        <v>999999</v>
      </c>
      <c r="F137" s="52">
        <f t="shared" si="27"/>
        <v>999999</v>
      </c>
      <c r="G137" s="45">
        <f t="shared" si="28"/>
        <v>999999</v>
      </c>
      <c r="H137" s="45">
        <f t="shared" si="29"/>
        <v>999999</v>
      </c>
      <c r="I137" s="45">
        <f t="shared" si="30"/>
        <v>999999</v>
      </c>
      <c r="J137" s="45">
        <f t="shared" si="31"/>
        <v>999999</v>
      </c>
      <c r="K137" s="7" t="str">
        <f t="shared" si="32"/>
        <v>NONE</v>
      </c>
      <c r="L137" s="45">
        <f aca="true" t="shared" si="36" ref="L137:L148">MIN($F137:$G137)</f>
        <v>999999</v>
      </c>
      <c r="M137" s="9" t="str">
        <f t="shared" si="33"/>
        <v>CD</v>
      </c>
      <c r="N137" s="2"/>
    </row>
    <row r="138" spans="2:14" ht="15">
      <c r="B138" s="2" t="str">
        <f t="shared" si="26"/>
        <v>CR(TOT)</v>
      </c>
      <c r="C138" s="45">
        <f>IF(OR($C78=0,$C78=""),999999,(8.34)*($C78*$C$7)/(1-($O110/100)))</f>
        <v>999999</v>
      </c>
      <c r="D138" s="45">
        <f t="shared" si="34"/>
        <v>999999</v>
      </c>
      <c r="E138" s="45">
        <f t="shared" si="35"/>
        <v>999999</v>
      </c>
      <c r="F138" s="52">
        <f t="shared" si="27"/>
        <v>999999</v>
      </c>
      <c r="G138" s="45">
        <f t="shared" si="28"/>
        <v>999999</v>
      </c>
      <c r="H138" s="45">
        <f t="shared" si="29"/>
        <v>999999</v>
      </c>
      <c r="I138" s="45">
        <f t="shared" si="30"/>
        <v>999999</v>
      </c>
      <c r="J138" s="45">
        <f t="shared" si="31"/>
        <v>999999</v>
      </c>
      <c r="K138" s="7" t="str">
        <f t="shared" si="32"/>
        <v>NONE</v>
      </c>
      <c r="L138" s="45">
        <f t="shared" si="36"/>
        <v>999999</v>
      </c>
      <c r="M138" s="9" t="str">
        <f t="shared" si="33"/>
        <v>CR(TOT)</v>
      </c>
      <c r="N138" s="2"/>
    </row>
    <row r="139" spans="2:14" ht="15">
      <c r="B139" s="2" t="str">
        <f t="shared" si="26"/>
        <v>CR(III)</v>
      </c>
      <c r="C139" s="45">
        <f>IF(OR($C79=0,$C79=""),999999,(8.34)*($C79*$C$7)/(1-($O111/100)))</f>
        <v>999999</v>
      </c>
      <c r="D139" s="45">
        <f t="shared" si="34"/>
        <v>999999</v>
      </c>
      <c r="E139" s="45">
        <f t="shared" si="35"/>
        <v>999999</v>
      </c>
      <c r="F139" s="52">
        <f t="shared" si="27"/>
        <v>999999</v>
      </c>
      <c r="G139" s="45">
        <f t="shared" si="28"/>
        <v>999999</v>
      </c>
      <c r="H139" s="45">
        <f t="shared" si="29"/>
        <v>999999</v>
      </c>
      <c r="I139" s="45">
        <f t="shared" si="30"/>
        <v>999999</v>
      </c>
      <c r="J139" s="45">
        <f t="shared" si="31"/>
        <v>999999</v>
      </c>
      <c r="K139" s="7" t="str">
        <f t="shared" si="32"/>
        <v>NONE</v>
      </c>
      <c r="L139" s="45">
        <f t="shared" si="36"/>
        <v>999999</v>
      </c>
      <c r="M139" s="9" t="str">
        <f t="shared" si="33"/>
        <v>CR(III)</v>
      </c>
      <c r="N139" s="2"/>
    </row>
    <row r="140" spans="2:14" ht="15">
      <c r="B140" s="2" t="str">
        <f t="shared" si="26"/>
        <v>CR(VI)</v>
      </c>
      <c r="C140" s="45">
        <f>IF(OR($C80=0,$C80=""),999999,(8.34)*($C80*$C$7)/(1-($O112/100)))</f>
        <v>999999</v>
      </c>
      <c r="D140" s="45">
        <f t="shared" si="34"/>
        <v>999999</v>
      </c>
      <c r="E140" s="45">
        <f t="shared" si="35"/>
        <v>999999</v>
      </c>
      <c r="F140" s="52">
        <f t="shared" si="27"/>
        <v>999999</v>
      </c>
      <c r="G140" s="45">
        <f t="shared" si="28"/>
        <v>999999</v>
      </c>
      <c r="H140" s="45">
        <f t="shared" si="29"/>
        <v>999999</v>
      </c>
      <c r="I140" s="45">
        <f t="shared" si="30"/>
        <v>999999</v>
      </c>
      <c r="J140" s="45">
        <f t="shared" si="31"/>
        <v>999999</v>
      </c>
      <c r="K140" s="7" t="str">
        <f t="shared" si="32"/>
        <v>NONE</v>
      </c>
      <c r="L140" s="45">
        <f t="shared" si="36"/>
        <v>999999</v>
      </c>
      <c r="M140" s="9" t="str">
        <f t="shared" si="33"/>
        <v>CR(VI)</v>
      </c>
      <c r="N140" s="2"/>
    </row>
    <row r="141" spans="2:14" ht="15">
      <c r="B141" s="2" t="str">
        <f t="shared" si="26"/>
        <v>CU</v>
      </c>
      <c r="C141" s="45">
        <f>IF(OR($C80=0,$C80=""),999999,(8.34)*($C80*$C$7)/(1-($O113/100)))</f>
        <v>999999</v>
      </c>
      <c r="D141" s="45">
        <f t="shared" si="34"/>
        <v>999999</v>
      </c>
      <c r="E141" s="45">
        <f t="shared" si="35"/>
        <v>999999</v>
      </c>
      <c r="F141" s="52">
        <f t="shared" si="27"/>
        <v>999999</v>
      </c>
      <c r="G141" s="45">
        <f t="shared" si="28"/>
        <v>999999</v>
      </c>
      <c r="H141" s="45">
        <f t="shared" si="29"/>
        <v>999999</v>
      </c>
      <c r="I141" s="45">
        <f t="shared" si="30"/>
        <v>999999</v>
      </c>
      <c r="J141" s="45">
        <f t="shared" si="31"/>
        <v>999999</v>
      </c>
      <c r="K141" s="7" t="str">
        <f t="shared" si="32"/>
        <v>NONE</v>
      </c>
      <c r="L141" s="45">
        <f t="shared" si="36"/>
        <v>999999</v>
      </c>
      <c r="M141" s="9" t="str">
        <f t="shared" si="33"/>
        <v>CU</v>
      </c>
      <c r="N141" s="2"/>
    </row>
    <row r="142" spans="2:14" ht="15">
      <c r="B142" s="2" t="str">
        <f t="shared" si="26"/>
        <v>PB</v>
      </c>
      <c r="C142" s="45">
        <f>IF(OR($C81=0,$C81=""),999999,(8.34)*($C81*$C$7)/(1-($O114/100)))</f>
        <v>999999</v>
      </c>
      <c r="D142" s="45">
        <f t="shared" si="34"/>
        <v>999999</v>
      </c>
      <c r="E142" s="45">
        <f t="shared" si="35"/>
        <v>999999</v>
      </c>
      <c r="F142" s="52">
        <f t="shared" si="27"/>
        <v>999999</v>
      </c>
      <c r="G142" s="45">
        <f t="shared" si="28"/>
        <v>999999</v>
      </c>
      <c r="H142" s="45">
        <f t="shared" si="29"/>
        <v>999999</v>
      </c>
      <c r="I142" s="45">
        <f t="shared" si="30"/>
        <v>999999</v>
      </c>
      <c r="J142" s="45">
        <f t="shared" si="31"/>
        <v>999999</v>
      </c>
      <c r="K142" s="7" t="str">
        <f t="shared" si="32"/>
        <v>NONE</v>
      </c>
      <c r="L142" s="45">
        <f t="shared" si="36"/>
        <v>999999</v>
      </c>
      <c r="M142" s="9" t="str">
        <f t="shared" si="33"/>
        <v>PB</v>
      </c>
      <c r="N142" s="2"/>
    </row>
    <row r="143" spans="2:14" ht="15">
      <c r="B143" s="2" t="str">
        <f t="shared" si="26"/>
        <v>HG</v>
      </c>
      <c r="C143" s="45">
        <f aca="true" t="shared" si="37" ref="C143:C148">IF(OR($C83=0,$C83=""),999999,(8.34)*($C83*$C$7)/(1-($O115/100)))</f>
        <v>999999</v>
      </c>
      <c r="D143" s="45">
        <f t="shared" si="34"/>
        <v>999999</v>
      </c>
      <c r="E143" s="45">
        <f t="shared" si="35"/>
        <v>999999</v>
      </c>
      <c r="F143" s="52">
        <f t="shared" si="27"/>
        <v>999999</v>
      </c>
      <c r="G143" s="45">
        <f t="shared" si="28"/>
        <v>999999</v>
      </c>
      <c r="H143" s="45">
        <f t="shared" si="29"/>
        <v>999999</v>
      </c>
      <c r="I143" s="45">
        <f t="shared" si="30"/>
        <v>999999</v>
      </c>
      <c r="J143" s="45">
        <f t="shared" si="31"/>
        <v>999999</v>
      </c>
      <c r="K143" s="7" t="str">
        <f t="shared" si="32"/>
        <v>NONE</v>
      </c>
      <c r="L143" s="45">
        <f t="shared" si="36"/>
        <v>999999</v>
      </c>
      <c r="M143" s="9" t="str">
        <f t="shared" si="33"/>
        <v>HG</v>
      </c>
      <c r="N143" s="2"/>
    </row>
    <row r="144" spans="2:14" ht="15">
      <c r="B144" s="2" t="str">
        <f t="shared" si="26"/>
        <v>MO</v>
      </c>
      <c r="C144" s="45">
        <f t="shared" si="37"/>
        <v>999999</v>
      </c>
      <c r="D144" s="45">
        <f t="shared" si="34"/>
        <v>999999</v>
      </c>
      <c r="E144" s="45">
        <f t="shared" si="35"/>
        <v>999999</v>
      </c>
      <c r="F144" s="52">
        <f t="shared" si="27"/>
        <v>999999</v>
      </c>
      <c r="G144" s="45">
        <f t="shared" si="28"/>
        <v>999999</v>
      </c>
      <c r="H144" s="45">
        <f t="shared" si="29"/>
        <v>999999</v>
      </c>
      <c r="I144" s="45">
        <f t="shared" si="30"/>
        <v>999999</v>
      </c>
      <c r="J144" s="45">
        <f t="shared" si="31"/>
        <v>999999</v>
      </c>
      <c r="K144" s="7" t="str">
        <f t="shared" si="32"/>
        <v>NONE</v>
      </c>
      <c r="L144" s="45">
        <f t="shared" si="36"/>
        <v>999999</v>
      </c>
      <c r="M144" s="9" t="str">
        <f t="shared" si="33"/>
        <v>MO</v>
      </c>
      <c r="N144" s="2"/>
    </row>
    <row r="145" spans="2:14" ht="15">
      <c r="B145" s="2" t="str">
        <f t="shared" si="26"/>
        <v>NI</v>
      </c>
      <c r="C145" s="45">
        <f t="shared" si="37"/>
        <v>999999</v>
      </c>
      <c r="D145" s="45">
        <f t="shared" si="34"/>
        <v>999999</v>
      </c>
      <c r="E145" s="45">
        <f t="shared" si="35"/>
        <v>999999</v>
      </c>
      <c r="F145" s="52">
        <f t="shared" si="27"/>
        <v>999999</v>
      </c>
      <c r="G145" s="45">
        <f t="shared" si="28"/>
        <v>999999</v>
      </c>
      <c r="H145" s="45">
        <f t="shared" si="29"/>
        <v>999999</v>
      </c>
      <c r="I145" s="45">
        <f t="shared" si="30"/>
        <v>999999</v>
      </c>
      <c r="J145" s="45">
        <f t="shared" si="31"/>
        <v>999999</v>
      </c>
      <c r="K145" s="7" t="str">
        <f t="shared" si="32"/>
        <v>NONE</v>
      </c>
      <c r="L145" s="45">
        <f t="shared" si="36"/>
        <v>999999</v>
      </c>
      <c r="M145" s="9" t="str">
        <f t="shared" si="33"/>
        <v>NI</v>
      </c>
      <c r="N145" s="2"/>
    </row>
    <row r="146" spans="2:14" ht="15">
      <c r="B146" s="2" t="str">
        <f t="shared" si="26"/>
        <v>SE</v>
      </c>
      <c r="C146" s="45">
        <f t="shared" si="37"/>
        <v>999999</v>
      </c>
      <c r="D146" s="45">
        <f t="shared" si="34"/>
        <v>999999</v>
      </c>
      <c r="E146" s="45">
        <f t="shared" si="35"/>
        <v>999999</v>
      </c>
      <c r="F146" s="52">
        <f t="shared" si="27"/>
        <v>999999</v>
      </c>
      <c r="G146" s="45">
        <f t="shared" si="28"/>
        <v>999999</v>
      </c>
      <c r="H146" s="45">
        <f t="shared" si="29"/>
        <v>999999</v>
      </c>
      <c r="I146" s="45">
        <f t="shared" si="30"/>
        <v>999999</v>
      </c>
      <c r="J146" s="45">
        <f t="shared" si="31"/>
        <v>999999</v>
      </c>
      <c r="K146" s="7" t="str">
        <f t="shared" si="32"/>
        <v>NONE</v>
      </c>
      <c r="L146" s="45">
        <f t="shared" si="36"/>
        <v>999999</v>
      </c>
      <c r="M146" s="9" t="str">
        <f t="shared" si="33"/>
        <v>SE</v>
      </c>
      <c r="N146" s="2"/>
    </row>
    <row r="147" spans="2:14" ht="15">
      <c r="B147" s="2" t="str">
        <f t="shared" si="26"/>
        <v>AG</v>
      </c>
      <c r="C147" s="45">
        <f t="shared" si="37"/>
        <v>999999</v>
      </c>
      <c r="D147" s="45">
        <f t="shared" si="34"/>
        <v>999999</v>
      </c>
      <c r="E147" s="45">
        <f t="shared" si="35"/>
        <v>999999</v>
      </c>
      <c r="F147" s="52">
        <f t="shared" si="27"/>
        <v>999999</v>
      </c>
      <c r="G147" s="45">
        <f t="shared" si="28"/>
        <v>999999</v>
      </c>
      <c r="H147" s="45">
        <f t="shared" si="29"/>
        <v>999999</v>
      </c>
      <c r="I147" s="45">
        <f t="shared" si="30"/>
        <v>999999</v>
      </c>
      <c r="J147" s="45">
        <f t="shared" si="31"/>
        <v>999999</v>
      </c>
      <c r="K147" s="7" t="str">
        <f t="shared" si="32"/>
        <v>NONE</v>
      </c>
      <c r="L147" s="45">
        <f t="shared" si="36"/>
        <v>999999</v>
      </c>
      <c r="M147" s="9" t="str">
        <f t="shared" si="33"/>
        <v>AG</v>
      </c>
      <c r="N147" s="2"/>
    </row>
    <row r="148" spans="2:14" ht="15">
      <c r="B148" s="2" t="str">
        <f t="shared" si="26"/>
        <v>ZN</v>
      </c>
      <c r="C148" s="45">
        <f t="shared" si="37"/>
        <v>999999</v>
      </c>
      <c r="D148" s="45">
        <f t="shared" si="34"/>
        <v>999999</v>
      </c>
      <c r="E148" s="45">
        <f t="shared" si="35"/>
        <v>999999</v>
      </c>
      <c r="F148" s="52">
        <f t="shared" si="27"/>
        <v>999999</v>
      </c>
      <c r="G148" s="45">
        <f t="shared" si="28"/>
        <v>999999</v>
      </c>
      <c r="H148" s="45">
        <f t="shared" si="29"/>
        <v>999999</v>
      </c>
      <c r="I148" s="45">
        <f t="shared" si="30"/>
        <v>999999</v>
      </c>
      <c r="J148" s="45">
        <f t="shared" si="31"/>
        <v>999999</v>
      </c>
      <c r="K148" s="7" t="str">
        <f t="shared" si="32"/>
        <v>NONE</v>
      </c>
      <c r="L148" s="45">
        <f t="shared" si="36"/>
        <v>999999</v>
      </c>
      <c r="M148" s="9" t="str">
        <f t="shared" si="33"/>
        <v>ZN</v>
      </c>
      <c r="N148" s="2"/>
    </row>
    <row r="149" spans="2:14" ht="15">
      <c r="B149" s="2" t="str">
        <f t="shared" si="26"/>
        <v> </v>
      </c>
      <c r="C149" s="45">
        <f aca="true" t="shared" si="38" ref="C149:C154">IF(B89="","",IF(OR($C89=0,$C89=""),999999,(8.34)*($C89*$C$7)/(1-($O121/100))))</f>
      </c>
      <c r="D149" s="45">
        <f aca="true" t="shared" si="39" ref="D149:D154">IF(B89="","",IF(OR(OR($F89=0,$F89=""),$O121=""),999999,(8.34*($F89*(($C$19+$C$7)-($C$19*$Q89)))/(1-($O121/100)))))</f>
      </c>
      <c r="E149" s="45">
        <f aca="true" t="shared" si="40" ref="E149:E154">IF(B54="","",IF(OR(OR($I89=0,$I89=""),$O121=""),999999,(8.34*($I89*(($C$18+$C$7)-($C$18*$Q89)))/(1-($O121/100)))))</f>
      </c>
      <c r="F149" s="52">
        <f aca="true" t="shared" si="41" ref="F149:F154">IF(B89="","",IF(OR(OR(OR(OR($O89=0,$O89=""),O121=0),$O121=""),O76="NO STDS ENTERED"),999999,((8.34)*($O89)*($C$15/100)*($C$14/1000000))/(IF(OR($L121=0,L121=""),$O121,$L121)/100)))</f>
      </c>
      <c r="G149" s="45">
        <f aca="true" t="shared" si="42" ref="G149:G154">IF(B89="","",IF(AND($C$25="y",$M89=""),999999,IF(AND($C$25="Y",$M89&gt;0),((8.34*$M89*($C$15/100)*($C$14/1000000))/($O121/100)),999999)))</f>
      </c>
      <c r="H149" s="7">
        <f aca="true" t="shared" si="43" ref="H149:H154">IF(B89="","",IF(OR($S89=0,$S89=""),999999,(8.34*($S89*($C$19+$C$7)-($C$19*$Q89))/(1-($O121/100)))))</f>
      </c>
      <c r="I149" s="7">
        <f aca="true" t="shared" si="44" ref="I149:I154">IF($B89="","",IF(OR($T89=0,$T89=""),999999,(8.34*($T89*($C$18+$C$7)-($C$18*$Q89))/(1-($O121/100)))))</f>
      </c>
      <c r="J149" s="45">
        <f aca="true" t="shared" si="45" ref="J149:J154">IF(B54="","",MIN($C149,$D149,$E149,$H149,$I149))</f>
      </c>
      <c r="K149" s="7">
        <f aca="true" t="shared" si="46" ref="K149:K154">IF(B54="","",IF(J149=999999,"NONE",IF($J149=$C149,"NPDES",IF($J149=$D149,"WQ-ACUTE",IF($J149=$E149,"WQ-CHRONIC",IF($J149=$H149,"MCL",IF($J149=$I149,"HH","ERR")))))))</f>
      </c>
      <c r="L149" s="45">
        <f aca="true" t="shared" si="47" ref="L149:L154">IF(B54="","",MIN($F149:$G149))</f>
      </c>
      <c r="M149" s="9" t="str">
        <f t="shared" si="33"/>
        <v> </v>
      </c>
      <c r="N149" s="2"/>
    </row>
    <row r="150" spans="2:14" ht="15">
      <c r="B150" s="2" t="str">
        <f t="shared" si="26"/>
        <v>BOD</v>
      </c>
      <c r="C150" s="45">
        <f t="shared" si="38"/>
        <v>999999</v>
      </c>
      <c r="D150" s="45">
        <f t="shared" si="39"/>
        <v>999999</v>
      </c>
      <c r="E150" s="45">
        <f t="shared" si="40"/>
        <v>999999</v>
      </c>
      <c r="F150" s="52">
        <f t="shared" si="41"/>
        <v>999999</v>
      </c>
      <c r="G150" s="45">
        <f t="shared" si="42"/>
        <v>999999</v>
      </c>
      <c r="H150" s="7">
        <f t="shared" si="43"/>
        <v>999999</v>
      </c>
      <c r="I150" s="7">
        <f t="shared" si="44"/>
        <v>999999</v>
      </c>
      <c r="J150" s="45">
        <f t="shared" si="45"/>
        <v>999999</v>
      </c>
      <c r="K150" s="7" t="str">
        <f t="shared" si="46"/>
        <v>NONE</v>
      </c>
      <c r="L150" s="45">
        <f t="shared" si="47"/>
        <v>999999</v>
      </c>
      <c r="M150" s="9" t="str">
        <f t="shared" si="33"/>
        <v>BOD</v>
      </c>
      <c r="N150" s="2"/>
    </row>
    <row r="151" spans="2:14" ht="15">
      <c r="B151" s="2" t="str">
        <f t="shared" si="26"/>
        <v>TSS</v>
      </c>
      <c r="C151" s="45">
        <f t="shared" si="38"/>
        <v>999999</v>
      </c>
      <c r="D151" s="45">
        <f t="shared" si="39"/>
        <v>999999</v>
      </c>
      <c r="E151" s="45">
        <f t="shared" si="40"/>
        <v>999999</v>
      </c>
      <c r="F151" s="52">
        <f t="shared" si="41"/>
        <v>999999</v>
      </c>
      <c r="G151" s="45">
        <f t="shared" si="42"/>
        <v>999999</v>
      </c>
      <c r="H151" s="7">
        <f t="shared" si="43"/>
        <v>999999</v>
      </c>
      <c r="I151" s="7">
        <f t="shared" si="44"/>
        <v>999999</v>
      </c>
      <c r="J151" s="45">
        <f t="shared" si="45"/>
        <v>999999</v>
      </c>
      <c r="K151" s="7" t="str">
        <f t="shared" si="46"/>
        <v>NONE</v>
      </c>
      <c r="L151" s="45">
        <f t="shared" si="47"/>
        <v>999999</v>
      </c>
      <c r="M151" s="9" t="str">
        <f t="shared" si="33"/>
        <v>TSS</v>
      </c>
      <c r="N151" s="2"/>
    </row>
    <row r="152" spans="2:14" ht="15">
      <c r="B152" s="2" t="str">
        <f t="shared" si="26"/>
        <v> </v>
      </c>
      <c r="C152" s="45">
        <f t="shared" si="38"/>
      </c>
      <c r="D152" s="45">
        <f t="shared" si="39"/>
      </c>
      <c r="E152" s="45">
        <f t="shared" si="40"/>
      </c>
      <c r="F152" s="52">
        <f t="shared" si="41"/>
      </c>
      <c r="G152" s="45">
        <f t="shared" si="42"/>
      </c>
      <c r="H152" s="7">
        <f t="shared" si="43"/>
      </c>
      <c r="I152" s="7">
        <f t="shared" si="44"/>
      </c>
      <c r="J152" s="45">
        <f t="shared" si="45"/>
      </c>
      <c r="K152" s="7">
        <f t="shared" si="46"/>
      </c>
      <c r="L152" s="45">
        <f t="shared" si="47"/>
      </c>
      <c r="M152" s="9" t="str">
        <f t="shared" si="33"/>
        <v> </v>
      </c>
      <c r="N152" s="2"/>
    </row>
    <row r="153" spans="2:14" ht="15">
      <c r="B153" s="2" t="str">
        <f t="shared" si="26"/>
        <v> </v>
      </c>
      <c r="C153" s="45">
        <f t="shared" si="38"/>
      </c>
      <c r="D153" s="45">
        <f t="shared" si="39"/>
      </c>
      <c r="E153" s="45">
        <f t="shared" si="40"/>
      </c>
      <c r="F153" s="52">
        <f t="shared" si="41"/>
      </c>
      <c r="G153" s="45">
        <f t="shared" si="42"/>
      </c>
      <c r="H153" s="7">
        <f t="shared" si="43"/>
      </c>
      <c r="I153" s="7">
        <f t="shared" si="44"/>
      </c>
      <c r="J153" s="45">
        <f t="shared" si="45"/>
      </c>
      <c r="K153" s="7">
        <f t="shared" si="46"/>
      </c>
      <c r="L153" s="45">
        <f t="shared" si="47"/>
      </c>
      <c r="M153" s="9" t="str">
        <f t="shared" si="33"/>
        <v> </v>
      </c>
      <c r="N153" s="2"/>
    </row>
    <row r="154" spans="2:14" ht="15.75" thickBot="1">
      <c r="B154" s="2" t="str">
        <f t="shared" si="26"/>
        <v> </v>
      </c>
      <c r="C154" s="45">
        <f t="shared" si="38"/>
      </c>
      <c r="D154" s="45">
        <f t="shared" si="39"/>
      </c>
      <c r="E154" s="45">
        <f t="shared" si="40"/>
      </c>
      <c r="F154" s="52">
        <f t="shared" si="41"/>
      </c>
      <c r="G154" s="45">
        <f t="shared" si="42"/>
      </c>
      <c r="H154" s="7">
        <f t="shared" si="43"/>
      </c>
      <c r="I154" s="7">
        <f t="shared" si="44"/>
      </c>
      <c r="J154" s="45">
        <f t="shared" si="45"/>
      </c>
      <c r="K154" s="7">
        <f t="shared" si="46"/>
      </c>
      <c r="L154" s="45">
        <f t="shared" si="47"/>
      </c>
      <c r="M154" s="9" t="str">
        <f t="shared" si="33"/>
        <v> </v>
      </c>
      <c r="N154" s="2"/>
    </row>
    <row r="155" spans="2:13" ht="15.75" thickTop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2:13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2:13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2:13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2:13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1:14" s="14" customFormat="1" ht="15.75" thickBot="1">
      <c r="A161" s="14" t="s">
        <v>0</v>
      </c>
      <c r="B161" s="14" t="s">
        <v>45</v>
      </c>
      <c r="C161" s="14" t="s">
        <v>46</v>
      </c>
      <c r="D161" s="14" t="s">
        <v>47</v>
      </c>
      <c r="E161" s="14" t="s">
        <v>48</v>
      </c>
      <c r="F161" s="14" t="s">
        <v>49</v>
      </c>
      <c r="G161" s="14" t="s">
        <v>50</v>
      </c>
      <c r="H161" s="14" t="s">
        <v>51</v>
      </c>
      <c r="I161" s="14" t="s">
        <v>52</v>
      </c>
      <c r="J161" s="14" t="s">
        <v>53</v>
      </c>
      <c r="K161" s="14" t="s">
        <v>54</v>
      </c>
      <c r="M161" s="14" t="s">
        <v>55</v>
      </c>
      <c r="N161" s="14" t="s">
        <v>56</v>
      </c>
    </row>
    <row r="162" spans="2:15" s="14" customFormat="1" ht="15.75" thickTop="1">
      <c r="B162" s="37"/>
      <c r="C162" s="15"/>
      <c r="D162" s="15"/>
      <c r="E162" s="50"/>
      <c r="F162" s="15" t="s">
        <v>173</v>
      </c>
      <c r="G162" s="15"/>
      <c r="H162" s="15" t="s">
        <v>60</v>
      </c>
      <c r="I162" s="50"/>
      <c r="J162" s="15" t="s">
        <v>60</v>
      </c>
      <c r="K162" s="15"/>
      <c r="L162" s="15"/>
      <c r="M162" s="50"/>
      <c r="N162" s="15"/>
      <c r="O162" s="13"/>
    </row>
    <row r="163" spans="2:15" s="14" customFormat="1" ht="15.75">
      <c r="B163" s="32" t="s">
        <v>142</v>
      </c>
      <c r="C163" s="7"/>
      <c r="D163" s="7"/>
      <c r="E163" s="7" t="s">
        <v>143</v>
      </c>
      <c r="F163" s="7" t="s">
        <v>174</v>
      </c>
      <c r="G163" s="7" t="s">
        <v>175</v>
      </c>
      <c r="H163" s="7" t="s">
        <v>144</v>
      </c>
      <c r="I163" s="7" t="s">
        <v>145</v>
      </c>
      <c r="J163" s="7" t="s">
        <v>144</v>
      </c>
      <c r="K163" s="7" t="s">
        <v>108</v>
      </c>
      <c r="L163" s="7"/>
      <c r="M163" s="7" t="s">
        <v>146</v>
      </c>
      <c r="N163" s="7"/>
      <c r="O163" s="13"/>
    </row>
    <row r="164" spans="2:15" s="14" customFormat="1" ht="15">
      <c r="B164" s="13" t="s">
        <v>171</v>
      </c>
      <c r="C164" s="7" t="s">
        <v>22</v>
      </c>
      <c r="D164" s="7" t="s">
        <v>147</v>
      </c>
      <c r="E164" s="7" t="s">
        <v>148</v>
      </c>
      <c r="F164" s="7" t="s">
        <v>148</v>
      </c>
      <c r="G164" s="7" t="s">
        <v>149</v>
      </c>
      <c r="H164" s="7" t="s">
        <v>150</v>
      </c>
      <c r="I164" s="7" t="s">
        <v>151</v>
      </c>
      <c r="J164" s="7" t="s">
        <v>150</v>
      </c>
      <c r="K164" s="7" t="s">
        <v>152</v>
      </c>
      <c r="L164" s="7"/>
      <c r="M164" s="7" t="s">
        <v>152</v>
      </c>
      <c r="N164" s="7"/>
      <c r="O164" s="13"/>
    </row>
    <row r="165" spans="2:15" s="14" customFormat="1" ht="15">
      <c r="B165" s="13"/>
      <c r="C165" s="7" t="s">
        <v>165</v>
      </c>
      <c r="D165" s="7" t="s">
        <v>139</v>
      </c>
      <c r="E165" s="7" t="s">
        <v>169</v>
      </c>
      <c r="F165" s="7" t="s">
        <v>153</v>
      </c>
      <c r="G165" s="7" t="s">
        <v>116</v>
      </c>
      <c r="H165" s="7" t="s">
        <v>116</v>
      </c>
      <c r="I165" s="7" t="s">
        <v>154</v>
      </c>
      <c r="J165" s="7" t="s">
        <v>116</v>
      </c>
      <c r="K165" s="7" t="s">
        <v>155</v>
      </c>
      <c r="L165" s="7"/>
      <c r="M165" s="7" t="s">
        <v>81</v>
      </c>
      <c r="N165" s="7"/>
      <c r="O165" s="13"/>
    </row>
    <row r="166" spans="2:15" s="14" customFormat="1" ht="15">
      <c r="B166" s="13" t="s">
        <v>18</v>
      </c>
      <c r="C166" s="7" t="s">
        <v>167</v>
      </c>
      <c r="D166" s="7" t="s">
        <v>22</v>
      </c>
      <c r="E166" s="7"/>
      <c r="F166" s="7" t="s">
        <v>128</v>
      </c>
      <c r="G166" s="7" t="s">
        <v>128</v>
      </c>
      <c r="H166" s="7" t="s">
        <v>128</v>
      </c>
      <c r="I166" s="7" t="s">
        <v>156</v>
      </c>
      <c r="J166" s="7" t="s">
        <v>128</v>
      </c>
      <c r="K166" s="7" t="s">
        <v>85</v>
      </c>
      <c r="L166" s="7"/>
      <c r="M166" s="7" t="s">
        <v>85</v>
      </c>
      <c r="N166" s="7" t="s">
        <v>18</v>
      </c>
      <c r="O166" s="13"/>
    </row>
    <row r="167" spans="2:15" ht="15">
      <c r="B167" s="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2"/>
    </row>
    <row r="168" spans="2:15" ht="15">
      <c r="B168" s="2" t="str">
        <f aca="true" t="shared" si="48" ref="B168:B186">IF(B76=""," ",B76)</f>
        <v>AS</v>
      </c>
      <c r="C168" s="42">
        <f>IF(J136=999999,"",J136)</f>
      </c>
      <c r="D168" s="7" t="str">
        <f>+(K136)</f>
        <v>NONE</v>
      </c>
      <c r="E168" s="7"/>
      <c r="F168" s="43">
        <f aca="true" t="shared" si="49" ref="F168:F180">IF($C168="","",($C168*(1-($E168/100))))</f>
      </c>
      <c r="G168" s="43">
        <f aca="true" t="shared" si="50" ref="G168:G180">IF($C168="","",(8.34)*($R76*($C$7-$C$9)))</f>
      </c>
      <c r="H168" s="43">
        <f>IF($C168="","",(F168-G168))</f>
      </c>
      <c r="I168" s="7"/>
      <c r="J168" s="43">
        <f>IF(I168&gt;0,(H168-I168),H168)</f>
      </c>
      <c r="K168" s="44">
        <f aca="true" t="shared" si="51" ref="K168:K186">IF(J168="","",($J168*1000000)/(C$9*1000000*2.2*3.78))</f>
      </c>
      <c r="L168" s="44"/>
      <c r="M168" s="7" t="s">
        <v>0</v>
      </c>
      <c r="N168" s="9" t="str">
        <f aca="true" t="shared" si="52" ref="N168:N186">IF(B76=""," ",B76)</f>
        <v>AS</v>
      </c>
      <c r="O168" s="2"/>
    </row>
    <row r="169" spans="2:15" ht="15">
      <c r="B169" s="2" t="str">
        <f t="shared" si="48"/>
        <v>CD</v>
      </c>
      <c r="C169" s="42">
        <f aca="true" t="shared" si="53" ref="C169:C184">IF(J137=999999,"",J137)</f>
      </c>
      <c r="D169" s="7" t="str">
        <f aca="true" t="shared" si="54" ref="D169:D184">+(K137)</f>
        <v>NONE</v>
      </c>
      <c r="E169" s="7"/>
      <c r="F169" s="43">
        <f t="shared" si="49"/>
      </c>
      <c r="G169" s="43">
        <f t="shared" si="50"/>
      </c>
      <c r="H169" s="43">
        <f aca="true" t="shared" si="55" ref="H169:H180">IF($C169="","",(F169-G169))</f>
      </c>
      <c r="I169" s="7"/>
      <c r="J169" s="43">
        <f aca="true" t="shared" si="56" ref="J169:J184">IF(I169&gt;0,(H169-I169),H169)</f>
      </c>
      <c r="K169" s="44">
        <f t="shared" si="51"/>
      </c>
      <c r="L169" s="44"/>
      <c r="M169" s="7" t="s">
        <v>0</v>
      </c>
      <c r="N169" s="9" t="str">
        <f t="shared" si="52"/>
        <v>CD</v>
      </c>
      <c r="O169" s="2"/>
    </row>
    <row r="170" spans="2:15" ht="15">
      <c r="B170" s="2" t="str">
        <f t="shared" si="48"/>
        <v>CR(TOT)</v>
      </c>
      <c r="C170" s="42">
        <f t="shared" si="53"/>
      </c>
      <c r="D170" s="7" t="str">
        <f t="shared" si="54"/>
        <v>NONE</v>
      </c>
      <c r="E170" s="7"/>
      <c r="F170" s="43">
        <f t="shared" si="49"/>
      </c>
      <c r="G170" s="43">
        <f t="shared" si="50"/>
      </c>
      <c r="H170" s="43">
        <f t="shared" si="55"/>
      </c>
      <c r="I170" s="7"/>
      <c r="J170" s="43">
        <f t="shared" si="56"/>
      </c>
      <c r="K170" s="44">
        <f t="shared" si="51"/>
      </c>
      <c r="L170" s="44"/>
      <c r="M170" s="7" t="s">
        <v>0</v>
      </c>
      <c r="N170" s="9" t="str">
        <f t="shared" si="52"/>
        <v>CR(TOT)</v>
      </c>
      <c r="O170" s="2"/>
    </row>
    <row r="171" spans="2:15" ht="15">
      <c r="B171" s="2" t="str">
        <f t="shared" si="48"/>
        <v>CR(III)</v>
      </c>
      <c r="C171" s="42">
        <f t="shared" si="53"/>
      </c>
      <c r="D171" s="7" t="str">
        <f t="shared" si="54"/>
        <v>NONE</v>
      </c>
      <c r="E171" s="7"/>
      <c r="F171" s="43">
        <f t="shared" si="49"/>
      </c>
      <c r="G171" s="43">
        <f t="shared" si="50"/>
      </c>
      <c r="H171" s="43">
        <f t="shared" si="55"/>
      </c>
      <c r="I171" s="7"/>
      <c r="J171" s="43">
        <f t="shared" si="56"/>
      </c>
      <c r="K171" s="44">
        <f t="shared" si="51"/>
      </c>
      <c r="L171" s="44"/>
      <c r="M171" s="7" t="s">
        <v>0</v>
      </c>
      <c r="N171" s="9" t="str">
        <f t="shared" si="52"/>
        <v>CR(III)</v>
      </c>
      <c r="O171" s="2"/>
    </row>
    <row r="172" spans="2:15" ht="15">
      <c r="B172" s="2" t="str">
        <f t="shared" si="48"/>
        <v>CR(VI)</v>
      </c>
      <c r="C172" s="42">
        <f t="shared" si="53"/>
      </c>
      <c r="D172" s="7" t="str">
        <f t="shared" si="54"/>
        <v>NONE</v>
      </c>
      <c r="E172" s="7"/>
      <c r="F172" s="43">
        <f t="shared" si="49"/>
      </c>
      <c r="G172" s="43">
        <f t="shared" si="50"/>
      </c>
      <c r="H172" s="43">
        <f t="shared" si="55"/>
      </c>
      <c r="I172" s="7"/>
      <c r="J172" s="43">
        <f t="shared" si="56"/>
      </c>
      <c r="K172" s="44">
        <f t="shared" si="51"/>
      </c>
      <c r="L172" s="44"/>
      <c r="M172" s="7" t="s">
        <v>0</v>
      </c>
      <c r="N172" s="9" t="str">
        <f t="shared" si="52"/>
        <v>CR(VI)</v>
      </c>
      <c r="O172" s="2"/>
    </row>
    <row r="173" spans="2:15" ht="15">
      <c r="B173" s="2" t="str">
        <f t="shared" si="48"/>
        <v>CU</v>
      </c>
      <c r="C173" s="42">
        <f t="shared" si="53"/>
      </c>
      <c r="D173" s="7" t="str">
        <f t="shared" si="54"/>
        <v>NONE</v>
      </c>
      <c r="E173" s="7"/>
      <c r="F173" s="43">
        <f t="shared" si="49"/>
      </c>
      <c r="G173" s="43">
        <f t="shared" si="50"/>
      </c>
      <c r="H173" s="43">
        <f t="shared" si="55"/>
      </c>
      <c r="I173" s="7"/>
      <c r="J173" s="43">
        <f t="shared" si="56"/>
      </c>
      <c r="K173" s="44">
        <f t="shared" si="51"/>
      </c>
      <c r="L173" s="44"/>
      <c r="M173" s="7" t="s">
        <v>0</v>
      </c>
      <c r="N173" s="9" t="str">
        <f t="shared" si="52"/>
        <v>CU</v>
      </c>
      <c r="O173" s="2"/>
    </row>
    <row r="174" spans="2:15" ht="15">
      <c r="B174" s="2" t="str">
        <f t="shared" si="48"/>
        <v>PB</v>
      </c>
      <c r="C174" s="42">
        <f t="shared" si="53"/>
      </c>
      <c r="D174" s="7" t="str">
        <f t="shared" si="54"/>
        <v>NONE</v>
      </c>
      <c r="E174" s="7"/>
      <c r="F174" s="43">
        <f t="shared" si="49"/>
      </c>
      <c r="G174" s="43">
        <f t="shared" si="50"/>
      </c>
      <c r="H174" s="43">
        <f t="shared" si="55"/>
      </c>
      <c r="I174" s="7"/>
      <c r="J174" s="43">
        <f t="shared" si="56"/>
      </c>
      <c r="K174" s="44">
        <f t="shared" si="51"/>
      </c>
      <c r="L174" s="44"/>
      <c r="M174" s="7" t="s">
        <v>0</v>
      </c>
      <c r="N174" s="9" t="str">
        <f t="shared" si="52"/>
        <v>PB</v>
      </c>
      <c r="O174" s="2"/>
    </row>
    <row r="175" spans="2:15" ht="15">
      <c r="B175" s="2" t="str">
        <f t="shared" si="48"/>
        <v>HG</v>
      </c>
      <c r="C175" s="42">
        <f t="shared" si="53"/>
      </c>
      <c r="D175" s="7" t="str">
        <f t="shared" si="54"/>
        <v>NONE</v>
      </c>
      <c r="E175" s="7"/>
      <c r="F175" s="43">
        <f t="shared" si="49"/>
      </c>
      <c r="G175" s="43">
        <f t="shared" si="50"/>
      </c>
      <c r="H175" s="43">
        <f t="shared" si="55"/>
      </c>
      <c r="I175" s="7"/>
      <c r="J175" s="43">
        <f t="shared" si="56"/>
      </c>
      <c r="K175" s="44">
        <f t="shared" si="51"/>
      </c>
      <c r="L175" s="44"/>
      <c r="M175" s="7" t="s">
        <v>0</v>
      </c>
      <c r="N175" s="9" t="str">
        <f t="shared" si="52"/>
        <v>HG</v>
      </c>
      <c r="O175" s="2"/>
    </row>
    <row r="176" spans="2:15" ht="15">
      <c r="B176" s="2" t="str">
        <f t="shared" si="48"/>
        <v>MO</v>
      </c>
      <c r="C176" s="42">
        <f t="shared" si="53"/>
      </c>
      <c r="D176" s="7" t="str">
        <f t="shared" si="54"/>
        <v>NONE</v>
      </c>
      <c r="E176" s="7"/>
      <c r="F176" s="43">
        <f t="shared" si="49"/>
      </c>
      <c r="G176" s="43">
        <f t="shared" si="50"/>
      </c>
      <c r="H176" s="43">
        <f t="shared" si="55"/>
      </c>
      <c r="I176" s="7"/>
      <c r="J176" s="43">
        <f t="shared" si="56"/>
      </c>
      <c r="K176" s="44">
        <f t="shared" si="51"/>
      </c>
      <c r="L176" s="44"/>
      <c r="M176" s="7" t="s">
        <v>0</v>
      </c>
      <c r="N176" s="9" t="str">
        <f t="shared" si="52"/>
        <v>MO</v>
      </c>
      <c r="O176" s="2"/>
    </row>
    <row r="177" spans="2:15" ht="15">
      <c r="B177" s="2" t="str">
        <f t="shared" si="48"/>
        <v>NI</v>
      </c>
      <c r="C177" s="42">
        <f t="shared" si="53"/>
      </c>
      <c r="D177" s="7" t="str">
        <f t="shared" si="54"/>
        <v>NONE</v>
      </c>
      <c r="E177" s="7"/>
      <c r="F177" s="43">
        <f t="shared" si="49"/>
      </c>
      <c r="G177" s="43">
        <f t="shared" si="50"/>
      </c>
      <c r="H177" s="43">
        <f t="shared" si="55"/>
      </c>
      <c r="I177" s="7"/>
      <c r="J177" s="43">
        <f t="shared" si="56"/>
      </c>
      <c r="K177" s="44">
        <f t="shared" si="51"/>
      </c>
      <c r="L177" s="44"/>
      <c r="M177" s="7" t="s">
        <v>0</v>
      </c>
      <c r="N177" s="9" t="str">
        <f t="shared" si="52"/>
        <v>NI</v>
      </c>
      <c r="O177" s="2"/>
    </row>
    <row r="178" spans="2:15" ht="15">
      <c r="B178" s="2" t="str">
        <f t="shared" si="48"/>
        <v>SE</v>
      </c>
      <c r="C178" s="42">
        <f t="shared" si="53"/>
      </c>
      <c r="D178" s="7" t="str">
        <f t="shared" si="54"/>
        <v>NONE</v>
      </c>
      <c r="E178" s="7"/>
      <c r="F178" s="43">
        <f t="shared" si="49"/>
      </c>
      <c r="G178" s="43">
        <f t="shared" si="50"/>
      </c>
      <c r="H178" s="43">
        <f t="shared" si="55"/>
      </c>
      <c r="I178" s="7"/>
      <c r="J178" s="43">
        <f t="shared" si="56"/>
      </c>
      <c r="K178" s="44">
        <f t="shared" si="51"/>
      </c>
      <c r="L178" s="44"/>
      <c r="M178" s="7" t="s">
        <v>0</v>
      </c>
      <c r="N178" s="9" t="str">
        <f t="shared" si="52"/>
        <v>SE</v>
      </c>
      <c r="O178" s="2"/>
    </row>
    <row r="179" spans="2:15" ht="15">
      <c r="B179" s="2" t="str">
        <f t="shared" si="48"/>
        <v>AG</v>
      </c>
      <c r="C179" s="42">
        <f t="shared" si="53"/>
      </c>
      <c r="D179" s="7" t="str">
        <f t="shared" si="54"/>
        <v>NONE</v>
      </c>
      <c r="E179" s="7"/>
      <c r="F179" s="43">
        <f t="shared" si="49"/>
      </c>
      <c r="G179" s="43">
        <f t="shared" si="50"/>
      </c>
      <c r="H179" s="43">
        <f t="shared" si="55"/>
      </c>
      <c r="I179" s="7"/>
      <c r="J179" s="43">
        <f t="shared" si="56"/>
      </c>
      <c r="K179" s="44">
        <f t="shared" si="51"/>
      </c>
      <c r="L179" s="44"/>
      <c r="M179" s="7" t="s">
        <v>0</v>
      </c>
      <c r="N179" s="9" t="str">
        <f t="shared" si="52"/>
        <v>AG</v>
      </c>
      <c r="O179" s="2"/>
    </row>
    <row r="180" spans="2:15" ht="15">
      <c r="B180" s="2" t="str">
        <f t="shared" si="48"/>
        <v>ZN</v>
      </c>
      <c r="C180" s="42">
        <f t="shared" si="53"/>
      </c>
      <c r="D180" s="7" t="str">
        <f t="shared" si="54"/>
        <v>NONE</v>
      </c>
      <c r="E180" s="7"/>
      <c r="F180" s="43">
        <f t="shared" si="49"/>
      </c>
      <c r="G180" s="43">
        <f t="shared" si="50"/>
      </c>
      <c r="H180" s="43">
        <f t="shared" si="55"/>
      </c>
      <c r="I180" s="7"/>
      <c r="J180" s="43">
        <f t="shared" si="56"/>
      </c>
      <c r="K180" s="44">
        <f t="shared" si="51"/>
      </c>
      <c r="L180" s="44"/>
      <c r="M180" s="7" t="s">
        <v>0</v>
      </c>
      <c r="N180" s="9" t="str">
        <f t="shared" si="52"/>
        <v>ZN</v>
      </c>
      <c r="O180" s="2"/>
    </row>
    <row r="181" spans="2:15" ht="15">
      <c r="B181" s="2" t="str">
        <f t="shared" si="48"/>
        <v> </v>
      </c>
      <c r="C181" s="42">
        <f t="shared" si="53"/>
      </c>
      <c r="D181" s="7">
        <f t="shared" si="54"/>
      </c>
      <c r="E181" s="7"/>
      <c r="F181" s="43">
        <f aca="true" t="shared" si="57" ref="F181:F186">IF(B89="","",IF($C181="","",($C181*(1-($E181/100)))))</f>
      </c>
      <c r="G181" s="43">
        <f aca="true" t="shared" si="58" ref="G181:G186">IF(B89="","",IF($C181="","",(8.34)*($R89*($C$7-$C$9))))</f>
      </c>
      <c r="H181" s="43">
        <f aca="true" t="shared" si="59" ref="H181:H186">IF($B89="","",(F181-G181))</f>
      </c>
      <c r="I181" s="7"/>
      <c r="J181" s="43">
        <f t="shared" si="56"/>
      </c>
      <c r="K181" s="44">
        <f t="shared" si="51"/>
      </c>
      <c r="L181" s="44"/>
      <c r="M181" s="7"/>
      <c r="N181" s="9" t="str">
        <f t="shared" si="52"/>
        <v> </v>
      </c>
      <c r="O181" s="2"/>
    </row>
    <row r="182" spans="2:15" ht="15">
      <c r="B182" s="2" t="str">
        <f t="shared" si="48"/>
        <v>BOD</v>
      </c>
      <c r="C182" s="42">
        <f t="shared" si="53"/>
      </c>
      <c r="D182" s="7" t="str">
        <f t="shared" si="54"/>
        <v>NONE</v>
      </c>
      <c r="E182" s="7"/>
      <c r="F182" s="43">
        <f t="shared" si="57"/>
      </c>
      <c r="G182" s="43">
        <f t="shared" si="58"/>
      </c>
      <c r="H182" s="43" t="e">
        <f t="shared" si="59"/>
        <v>#VALUE!</v>
      </c>
      <c r="I182" s="7"/>
      <c r="J182" s="43" t="e">
        <f t="shared" si="56"/>
        <v>#VALUE!</v>
      </c>
      <c r="K182" s="44" t="e">
        <f t="shared" si="51"/>
        <v>#VALUE!</v>
      </c>
      <c r="L182" s="44"/>
      <c r="M182" s="7" t="s">
        <v>0</v>
      </c>
      <c r="N182" s="9" t="str">
        <f t="shared" si="52"/>
        <v>BOD</v>
      </c>
      <c r="O182" s="2"/>
    </row>
    <row r="183" spans="2:15" ht="15">
      <c r="B183" s="2" t="str">
        <f t="shared" si="48"/>
        <v>TSS</v>
      </c>
      <c r="C183" s="42">
        <f t="shared" si="53"/>
      </c>
      <c r="D183" s="7" t="str">
        <f t="shared" si="54"/>
        <v>NONE</v>
      </c>
      <c r="E183" s="7"/>
      <c r="F183" s="43">
        <f t="shared" si="57"/>
      </c>
      <c r="G183" s="43">
        <f t="shared" si="58"/>
      </c>
      <c r="H183" s="43" t="e">
        <f t="shared" si="59"/>
        <v>#VALUE!</v>
      </c>
      <c r="I183" s="7"/>
      <c r="J183" s="43" t="e">
        <f t="shared" si="56"/>
        <v>#VALUE!</v>
      </c>
      <c r="K183" s="44" t="e">
        <f t="shared" si="51"/>
        <v>#VALUE!</v>
      </c>
      <c r="L183" s="44"/>
      <c r="M183" s="7" t="s">
        <v>0</v>
      </c>
      <c r="N183" s="9" t="str">
        <f t="shared" si="52"/>
        <v>TSS</v>
      </c>
      <c r="O183" s="2"/>
    </row>
    <row r="184" spans="2:15" ht="15">
      <c r="B184" s="2" t="str">
        <f t="shared" si="48"/>
        <v> </v>
      </c>
      <c r="C184" s="42">
        <f t="shared" si="53"/>
      </c>
      <c r="D184" s="7">
        <f t="shared" si="54"/>
      </c>
      <c r="E184" s="7"/>
      <c r="F184" s="43">
        <f t="shared" si="57"/>
      </c>
      <c r="G184" s="43">
        <f t="shared" si="58"/>
      </c>
      <c r="H184" s="43">
        <f t="shared" si="59"/>
      </c>
      <c r="I184" s="7"/>
      <c r="J184" s="43">
        <f t="shared" si="56"/>
      </c>
      <c r="K184" s="44">
        <f t="shared" si="51"/>
      </c>
      <c r="L184" s="44"/>
      <c r="M184" s="7" t="s">
        <v>0</v>
      </c>
      <c r="N184" s="9" t="str">
        <f t="shared" si="52"/>
        <v> </v>
      </c>
      <c r="O184" s="2"/>
    </row>
    <row r="185" spans="2:15" ht="15">
      <c r="B185" s="2" t="str">
        <f t="shared" si="48"/>
        <v> </v>
      </c>
      <c r="C185" s="42">
        <f>IF(J153=999999,"",J153)</f>
      </c>
      <c r="D185" s="7">
        <f>+(K153)</f>
      </c>
      <c r="E185" s="7"/>
      <c r="F185" s="43">
        <f t="shared" si="57"/>
      </c>
      <c r="G185" s="43">
        <f t="shared" si="58"/>
      </c>
      <c r="H185" s="43">
        <f t="shared" si="59"/>
      </c>
      <c r="I185" s="7"/>
      <c r="J185" s="43">
        <f>IF(I185&gt;0,(H185-I185),H185)</f>
      </c>
      <c r="K185" s="44">
        <f t="shared" si="51"/>
      </c>
      <c r="L185" s="44"/>
      <c r="M185" s="7" t="s">
        <v>0</v>
      </c>
      <c r="N185" s="9" t="str">
        <f t="shared" si="52"/>
        <v> </v>
      </c>
      <c r="O185" s="2"/>
    </row>
    <row r="186" spans="2:15" ht="15.75" thickBot="1">
      <c r="B186" s="2" t="str">
        <f t="shared" si="48"/>
        <v> </v>
      </c>
      <c r="C186" s="42">
        <f>IF(J154=999999,"",J154)</f>
      </c>
      <c r="D186" s="7">
        <f>+(K154)</f>
      </c>
      <c r="E186" s="7"/>
      <c r="F186" s="43">
        <f t="shared" si="57"/>
      </c>
      <c r="G186" s="43">
        <f t="shared" si="58"/>
      </c>
      <c r="H186" s="43">
        <f t="shared" si="59"/>
      </c>
      <c r="I186" s="7"/>
      <c r="J186" s="43">
        <f>IF(I186&gt;0,(H186-I186),H186)</f>
      </c>
      <c r="K186" s="44">
        <f t="shared" si="51"/>
      </c>
      <c r="L186" s="44"/>
      <c r="M186" s="7" t="s">
        <v>0</v>
      </c>
      <c r="N186" s="9" t="str">
        <f t="shared" si="52"/>
        <v> </v>
      </c>
      <c r="O186" s="2"/>
    </row>
    <row r="187" spans="2:14" ht="15.75" thickTop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90" spans="2:13" s="14" customFormat="1" ht="15.75" thickBot="1">
      <c r="B190" s="14" t="s">
        <v>45</v>
      </c>
      <c r="C190" s="14" t="s">
        <v>46</v>
      </c>
      <c r="D190" s="14" t="s">
        <v>47</v>
      </c>
      <c r="E190" s="14" t="s">
        <v>48</v>
      </c>
      <c r="F190" s="14" t="s">
        <v>49</v>
      </c>
      <c r="G190" s="14" t="s">
        <v>50</v>
      </c>
      <c r="H190" s="14" t="s">
        <v>51</v>
      </c>
      <c r="I190" s="14" t="s">
        <v>52</v>
      </c>
      <c r="J190" s="14" t="s">
        <v>53</v>
      </c>
      <c r="K190" s="14" t="s">
        <v>54</v>
      </c>
      <c r="L190" s="14" t="s">
        <v>55</v>
      </c>
      <c r="M190" s="14" t="s">
        <v>56</v>
      </c>
    </row>
    <row r="191" spans="2:14" s="14" customFormat="1" ht="15.75" thickTop="1">
      <c r="B191" s="37"/>
      <c r="C191" s="15"/>
      <c r="D191" s="50"/>
      <c r="E191" s="15" t="s">
        <v>173</v>
      </c>
      <c r="F191" s="15"/>
      <c r="G191" s="15" t="s">
        <v>60</v>
      </c>
      <c r="H191" s="50"/>
      <c r="I191" s="15" t="s">
        <v>60</v>
      </c>
      <c r="J191" s="15"/>
      <c r="K191" s="15"/>
      <c r="L191" s="50"/>
      <c r="M191" s="15"/>
      <c r="N191" s="13"/>
    </row>
    <row r="192" spans="2:14" s="14" customFormat="1" ht="15.75">
      <c r="B192" s="32" t="s">
        <v>170</v>
      </c>
      <c r="C192" s="7"/>
      <c r="D192" s="7" t="s">
        <v>143</v>
      </c>
      <c r="E192" s="7" t="s">
        <v>174</v>
      </c>
      <c r="F192" s="7" t="s">
        <v>175</v>
      </c>
      <c r="G192" s="7" t="s">
        <v>144</v>
      </c>
      <c r="H192" s="7" t="s">
        <v>145</v>
      </c>
      <c r="I192" s="7" t="s">
        <v>144</v>
      </c>
      <c r="J192" s="7" t="s">
        <v>108</v>
      </c>
      <c r="K192" s="7"/>
      <c r="L192" s="7" t="s">
        <v>146</v>
      </c>
      <c r="M192" s="7"/>
      <c r="N192" s="13"/>
    </row>
    <row r="193" spans="2:14" s="14" customFormat="1" ht="15">
      <c r="B193" s="13" t="s">
        <v>172</v>
      </c>
      <c r="C193" s="7" t="s">
        <v>168</v>
      </c>
      <c r="D193" s="7" t="s">
        <v>148</v>
      </c>
      <c r="E193" s="7" t="s">
        <v>148</v>
      </c>
      <c r="F193" s="7" t="s">
        <v>149</v>
      </c>
      <c r="G193" s="7" t="s">
        <v>150</v>
      </c>
      <c r="H193" s="7" t="s">
        <v>151</v>
      </c>
      <c r="I193" s="7" t="s">
        <v>150</v>
      </c>
      <c r="J193" s="7" t="s">
        <v>152</v>
      </c>
      <c r="K193" s="7"/>
      <c r="L193" s="7" t="s">
        <v>152</v>
      </c>
      <c r="M193" s="7"/>
      <c r="N193" s="13"/>
    </row>
    <row r="194" spans="2:14" s="14" customFormat="1" ht="15">
      <c r="B194" s="13"/>
      <c r="C194" s="7" t="s">
        <v>166</v>
      </c>
      <c r="D194" s="7" t="s">
        <v>169</v>
      </c>
      <c r="E194" s="7" t="s">
        <v>153</v>
      </c>
      <c r="F194" s="7" t="s">
        <v>116</v>
      </c>
      <c r="G194" s="7" t="s">
        <v>116</v>
      </c>
      <c r="H194" s="7" t="s">
        <v>154</v>
      </c>
      <c r="I194" s="7" t="s">
        <v>116</v>
      </c>
      <c r="J194" s="7" t="s">
        <v>155</v>
      </c>
      <c r="K194" s="7"/>
      <c r="L194" s="7" t="s">
        <v>81</v>
      </c>
      <c r="M194" s="7"/>
      <c r="N194" s="13"/>
    </row>
    <row r="195" spans="2:14" s="14" customFormat="1" ht="15">
      <c r="B195" s="13" t="s">
        <v>18</v>
      </c>
      <c r="C195" s="7" t="s">
        <v>167</v>
      </c>
      <c r="D195" s="7"/>
      <c r="E195" s="7" t="s">
        <v>128</v>
      </c>
      <c r="F195" s="7" t="s">
        <v>128</v>
      </c>
      <c r="G195" s="7" t="s">
        <v>128</v>
      </c>
      <c r="H195" s="7" t="s">
        <v>156</v>
      </c>
      <c r="I195" s="7" t="s">
        <v>128</v>
      </c>
      <c r="J195" s="7" t="s">
        <v>85</v>
      </c>
      <c r="K195" s="7"/>
      <c r="L195" s="7" t="s">
        <v>85</v>
      </c>
      <c r="M195" s="7" t="s">
        <v>18</v>
      </c>
      <c r="N195" s="13"/>
    </row>
    <row r="196" spans="2:14" s="14" customFormat="1" ht="15"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13"/>
    </row>
    <row r="197" spans="2:14" s="14" customFormat="1" ht="15">
      <c r="B197" s="13" t="str">
        <f aca="true" t="shared" si="60" ref="B197:B215">IF(B105=""," ",B105)</f>
        <v> </v>
      </c>
      <c r="C197" s="42">
        <f>IF(L136=999999,"",L136)</f>
      </c>
      <c r="D197" s="7"/>
      <c r="E197" s="43">
        <f aca="true" t="shared" si="61" ref="E197:E209">IF($C197="","",($C197*(1-($D197/100))))</f>
      </c>
      <c r="F197" s="43">
        <f>IF($C197="","",(8.34)*($R76*($C$7-$C$9)))</f>
      </c>
      <c r="G197" s="43">
        <f>IF($C197="","",(E197-F197))</f>
      </c>
      <c r="H197" s="7"/>
      <c r="I197" s="43">
        <f>IF(H197&gt;0,(G197-H197),G197)</f>
      </c>
      <c r="J197" s="44">
        <f aca="true" t="shared" si="62" ref="J197:J215">IF(I197="","",($I197*1000000)/(C$9*1000000*2.2*3.78))</f>
      </c>
      <c r="K197" s="44"/>
      <c r="L197" s="7" t="s">
        <v>0</v>
      </c>
      <c r="M197" s="7" t="str">
        <f aca="true" t="shared" si="63" ref="M197:M215">IF(B105=""," ",B105)</f>
        <v> </v>
      </c>
      <c r="N197" s="13"/>
    </row>
    <row r="198" spans="2:14" s="14" customFormat="1" ht="15">
      <c r="B198" s="13" t="str">
        <f t="shared" si="60"/>
        <v>POLLUTANT</v>
      </c>
      <c r="C198" s="42">
        <f aca="true" t="shared" si="64" ref="C198:C215">IF(L137=999999,"",L137)</f>
      </c>
      <c r="D198" s="7"/>
      <c r="E198" s="43">
        <f t="shared" si="61"/>
      </c>
      <c r="F198" s="43">
        <f aca="true" t="shared" si="65" ref="F198:F209">IF($C198="","",(8.34)*($R77*($C$7-$C$9)))</f>
      </c>
      <c r="G198" s="43">
        <f aca="true" t="shared" si="66" ref="G198:G215">IF($C198="","",(E198-F198))</f>
      </c>
      <c r="H198" s="7"/>
      <c r="I198" s="43">
        <f aca="true" t="shared" si="67" ref="I198:I213">IF(H198&gt;0,(G198-H198),G198)</f>
      </c>
      <c r="J198" s="44">
        <f t="shared" si="62"/>
      </c>
      <c r="K198" s="44"/>
      <c r="L198" s="7" t="s">
        <v>0</v>
      </c>
      <c r="M198" s="7" t="str">
        <f t="shared" si="63"/>
        <v>POLLUTANT</v>
      </c>
      <c r="N198" s="13"/>
    </row>
    <row r="199" spans="2:14" s="14" customFormat="1" ht="15">
      <c r="B199" s="13" t="str">
        <f t="shared" si="60"/>
        <v> </v>
      </c>
      <c r="C199" s="42">
        <f t="shared" si="64"/>
      </c>
      <c r="D199" s="7"/>
      <c r="E199" s="43">
        <f t="shared" si="61"/>
      </c>
      <c r="F199" s="43">
        <f t="shared" si="65"/>
      </c>
      <c r="G199" s="43">
        <f t="shared" si="66"/>
      </c>
      <c r="H199" s="7"/>
      <c r="I199" s="43">
        <f t="shared" si="67"/>
      </c>
      <c r="J199" s="44">
        <f t="shared" si="62"/>
      </c>
      <c r="K199" s="44"/>
      <c r="L199" s="7" t="s">
        <v>0</v>
      </c>
      <c r="M199" s="7" t="str">
        <f t="shared" si="63"/>
        <v> </v>
      </c>
      <c r="N199" s="13"/>
    </row>
    <row r="200" spans="2:14" s="14" customFormat="1" ht="15">
      <c r="B200" s="13" t="str">
        <f t="shared" si="60"/>
        <v>AS</v>
      </c>
      <c r="C200" s="42">
        <f t="shared" si="64"/>
      </c>
      <c r="D200" s="7"/>
      <c r="E200" s="43">
        <f t="shared" si="61"/>
      </c>
      <c r="F200" s="43">
        <f t="shared" si="65"/>
      </c>
      <c r="G200" s="43">
        <f t="shared" si="66"/>
      </c>
      <c r="H200" s="7"/>
      <c r="I200" s="43">
        <f t="shared" si="67"/>
      </c>
      <c r="J200" s="44">
        <f t="shared" si="62"/>
      </c>
      <c r="K200" s="44"/>
      <c r="L200" s="7" t="s">
        <v>0</v>
      </c>
      <c r="M200" s="7" t="str">
        <f t="shared" si="63"/>
        <v>AS</v>
      </c>
      <c r="N200" s="13"/>
    </row>
    <row r="201" spans="2:14" s="14" customFormat="1" ht="15">
      <c r="B201" s="13" t="str">
        <f t="shared" si="60"/>
        <v>CD</v>
      </c>
      <c r="C201" s="42">
        <f t="shared" si="64"/>
      </c>
      <c r="D201" s="7"/>
      <c r="E201" s="43">
        <f t="shared" si="61"/>
      </c>
      <c r="F201" s="43">
        <f t="shared" si="65"/>
      </c>
      <c r="G201" s="43">
        <f t="shared" si="66"/>
      </c>
      <c r="H201" s="7"/>
      <c r="I201" s="43">
        <f t="shared" si="67"/>
      </c>
      <c r="J201" s="44">
        <f t="shared" si="62"/>
      </c>
      <c r="K201" s="44"/>
      <c r="L201" s="7" t="s">
        <v>0</v>
      </c>
      <c r="M201" s="7" t="str">
        <f t="shared" si="63"/>
        <v>CD</v>
      </c>
      <c r="N201" s="13"/>
    </row>
    <row r="202" spans="2:14" s="14" customFormat="1" ht="15">
      <c r="B202" s="13" t="str">
        <f t="shared" si="60"/>
        <v>CR(TOT)</v>
      </c>
      <c r="C202" s="42">
        <f t="shared" si="64"/>
      </c>
      <c r="D202" s="7"/>
      <c r="E202" s="43">
        <f t="shared" si="61"/>
      </c>
      <c r="F202" s="43">
        <f t="shared" si="65"/>
      </c>
      <c r="G202" s="43">
        <f t="shared" si="66"/>
      </c>
      <c r="H202" s="7"/>
      <c r="I202" s="43">
        <f t="shared" si="67"/>
      </c>
      <c r="J202" s="44">
        <f t="shared" si="62"/>
      </c>
      <c r="K202" s="44"/>
      <c r="L202" s="7" t="s">
        <v>0</v>
      </c>
      <c r="M202" s="7" t="str">
        <f t="shared" si="63"/>
        <v>CR(TOT)</v>
      </c>
      <c r="N202" s="13"/>
    </row>
    <row r="203" spans="2:14" s="14" customFormat="1" ht="15">
      <c r="B203" s="13" t="str">
        <f t="shared" si="60"/>
        <v>CR(III)</v>
      </c>
      <c r="C203" s="42">
        <f t="shared" si="64"/>
      </c>
      <c r="D203" s="7"/>
      <c r="E203" s="43">
        <f t="shared" si="61"/>
      </c>
      <c r="F203" s="43">
        <f t="shared" si="65"/>
      </c>
      <c r="G203" s="43">
        <f t="shared" si="66"/>
      </c>
      <c r="H203" s="7"/>
      <c r="I203" s="43">
        <f t="shared" si="67"/>
      </c>
      <c r="J203" s="44">
        <f t="shared" si="62"/>
      </c>
      <c r="K203" s="44"/>
      <c r="L203" s="7" t="s">
        <v>0</v>
      </c>
      <c r="M203" s="7" t="str">
        <f t="shared" si="63"/>
        <v>CR(III)</v>
      </c>
      <c r="N203" s="13"/>
    </row>
    <row r="204" spans="2:14" s="14" customFormat="1" ht="15">
      <c r="B204" s="13" t="str">
        <f t="shared" si="60"/>
        <v>CR(VI)</v>
      </c>
      <c r="C204" s="42">
        <f t="shared" si="64"/>
      </c>
      <c r="D204" s="7"/>
      <c r="E204" s="43">
        <f t="shared" si="61"/>
      </c>
      <c r="F204" s="43">
        <f t="shared" si="65"/>
      </c>
      <c r="G204" s="43">
        <f t="shared" si="66"/>
      </c>
      <c r="H204" s="7"/>
      <c r="I204" s="43">
        <f t="shared" si="67"/>
      </c>
      <c r="J204" s="44">
        <f t="shared" si="62"/>
      </c>
      <c r="K204" s="44"/>
      <c r="L204" s="7" t="s">
        <v>0</v>
      </c>
      <c r="M204" s="7" t="str">
        <f t="shared" si="63"/>
        <v>CR(VI)</v>
      </c>
      <c r="N204" s="13"/>
    </row>
    <row r="205" spans="2:14" s="14" customFormat="1" ht="15">
      <c r="B205" s="13" t="str">
        <f t="shared" si="60"/>
        <v>CU</v>
      </c>
      <c r="C205" s="42">
        <f t="shared" si="64"/>
      </c>
      <c r="D205" s="7"/>
      <c r="E205" s="43">
        <f t="shared" si="61"/>
      </c>
      <c r="F205" s="43">
        <f t="shared" si="65"/>
      </c>
      <c r="G205" s="43">
        <f t="shared" si="66"/>
      </c>
      <c r="H205" s="7"/>
      <c r="I205" s="43">
        <f t="shared" si="67"/>
      </c>
      <c r="J205" s="44">
        <f t="shared" si="62"/>
      </c>
      <c r="K205" s="44"/>
      <c r="L205" s="7" t="s">
        <v>0</v>
      </c>
      <c r="M205" s="7" t="str">
        <f t="shared" si="63"/>
        <v>CU</v>
      </c>
      <c r="N205" s="13"/>
    </row>
    <row r="206" spans="2:14" s="14" customFormat="1" ht="15">
      <c r="B206" s="13" t="str">
        <f t="shared" si="60"/>
        <v>PB</v>
      </c>
      <c r="C206" s="42">
        <f t="shared" si="64"/>
      </c>
      <c r="D206" s="7"/>
      <c r="E206" s="43">
        <f t="shared" si="61"/>
      </c>
      <c r="F206" s="43">
        <f t="shared" si="65"/>
      </c>
      <c r="G206" s="43">
        <f t="shared" si="66"/>
      </c>
      <c r="H206" s="7"/>
      <c r="I206" s="43">
        <f t="shared" si="67"/>
      </c>
      <c r="J206" s="44">
        <f t="shared" si="62"/>
      </c>
      <c r="K206" s="44"/>
      <c r="L206" s="7" t="s">
        <v>0</v>
      </c>
      <c r="M206" s="7" t="str">
        <f t="shared" si="63"/>
        <v>PB</v>
      </c>
      <c r="N206" s="13"/>
    </row>
    <row r="207" spans="2:14" s="14" customFormat="1" ht="15">
      <c r="B207" s="13" t="str">
        <f t="shared" si="60"/>
        <v>HG</v>
      </c>
      <c r="C207" s="42">
        <f t="shared" si="64"/>
      </c>
      <c r="D207" s="7"/>
      <c r="E207" s="43">
        <f t="shared" si="61"/>
      </c>
      <c r="F207" s="43">
        <f t="shared" si="65"/>
      </c>
      <c r="G207" s="43">
        <f t="shared" si="66"/>
      </c>
      <c r="H207" s="7"/>
      <c r="I207" s="43">
        <f t="shared" si="67"/>
      </c>
      <c r="J207" s="44">
        <f t="shared" si="62"/>
      </c>
      <c r="K207" s="44"/>
      <c r="L207" s="7" t="s">
        <v>0</v>
      </c>
      <c r="M207" s="7" t="str">
        <f t="shared" si="63"/>
        <v>HG</v>
      </c>
      <c r="N207" s="13"/>
    </row>
    <row r="208" spans="2:14" s="14" customFormat="1" ht="15">
      <c r="B208" s="13" t="str">
        <f t="shared" si="60"/>
        <v>MO</v>
      </c>
      <c r="C208" s="42">
        <f t="shared" si="64"/>
      </c>
      <c r="D208" s="7"/>
      <c r="E208" s="43">
        <f t="shared" si="61"/>
      </c>
      <c r="F208" s="43">
        <f t="shared" si="65"/>
      </c>
      <c r="G208" s="43">
        <f t="shared" si="66"/>
      </c>
      <c r="H208" s="7"/>
      <c r="I208" s="43">
        <f t="shared" si="67"/>
      </c>
      <c r="J208" s="44">
        <f t="shared" si="62"/>
      </c>
      <c r="K208" s="44"/>
      <c r="L208" s="7" t="s">
        <v>0</v>
      </c>
      <c r="M208" s="7" t="str">
        <f t="shared" si="63"/>
        <v>MO</v>
      </c>
      <c r="N208" s="13"/>
    </row>
    <row r="209" spans="2:14" s="14" customFormat="1" ht="15">
      <c r="B209" s="13" t="str">
        <f t="shared" si="60"/>
        <v>NI</v>
      </c>
      <c r="C209" s="42">
        <f t="shared" si="64"/>
      </c>
      <c r="D209" s="7"/>
      <c r="E209" s="43">
        <f t="shared" si="61"/>
      </c>
      <c r="F209" s="43">
        <f t="shared" si="65"/>
      </c>
      <c r="G209" s="43">
        <f t="shared" si="66"/>
      </c>
      <c r="H209" s="7"/>
      <c r="I209" s="43">
        <f t="shared" si="67"/>
      </c>
      <c r="J209" s="44">
        <f t="shared" si="62"/>
      </c>
      <c r="K209" s="44"/>
      <c r="L209" s="7" t="s">
        <v>0</v>
      </c>
      <c r="M209" s="7" t="str">
        <f t="shared" si="63"/>
        <v>NI</v>
      </c>
      <c r="N209" s="13"/>
    </row>
    <row r="210" spans="2:14" s="14" customFormat="1" ht="15">
      <c r="B210" s="13" t="str">
        <f t="shared" si="60"/>
        <v>SE</v>
      </c>
      <c r="C210" s="42">
        <f t="shared" si="64"/>
      </c>
      <c r="D210" s="7"/>
      <c r="E210" s="43">
        <f aca="true" t="shared" si="68" ref="E210:E215">IF(B118="","",IF($C210="","",($C210*(1-($D210/100)))))</f>
      </c>
      <c r="F210" s="43">
        <f aca="true" t="shared" si="69" ref="F210:F215">IF(B118="","",IF($C210="","",(8.34)*($R89*($C$7-$C$9))))</f>
      </c>
      <c r="G210" s="43">
        <f t="shared" si="66"/>
      </c>
      <c r="H210" s="7"/>
      <c r="I210" s="43">
        <f t="shared" si="67"/>
      </c>
      <c r="J210" s="44">
        <f t="shared" si="62"/>
      </c>
      <c r="K210" s="44"/>
      <c r="L210" s="7"/>
      <c r="M210" s="7" t="str">
        <f t="shared" si="63"/>
        <v>SE</v>
      </c>
      <c r="N210" s="13"/>
    </row>
    <row r="211" spans="2:14" s="14" customFormat="1" ht="15">
      <c r="B211" s="13" t="str">
        <f t="shared" si="60"/>
        <v>AG</v>
      </c>
      <c r="C211" s="42">
        <f t="shared" si="64"/>
      </c>
      <c r="D211" s="7"/>
      <c r="E211" s="43">
        <f t="shared" si="68"/>
      </c>
      <c r="F211" s="43">
        <f t="shared" si="69"/>
      </c>
      <c r="G211" s="43">
        <f t="shared" si="66"/>
      </c>
      <c r="H211" s="7"/>
      <c r="I211" s="43">
        <f t="shared" si="67"/>
      </c>
      <c r="J211" s="44">
        <f t="shared" si="62"/>
      </c>
      <c r="K211" s="44"/>
      <c r="L211" s="7" t="s">
        <v>0</v>
      </c>
      <c r="M211" s="7" t="str">
        <f t="shared" si="63"/>
        <v>AG</v>
      </c>
      <c r="N211" s="13"/>
    </row>
    <row r="212" spans="2:14" s="14" customFormat="1" ht="15">
      <c r="B212" s="13" t="str">
        <f t="shared" si="60"/>
        <v>ZN</v>
      </c>
      <c r="C212" s="42">
        <f t="shared" si="64"/>
      </c>
      <c r="D212" s="7"/>
      <c r="E212" s="43">
        <f t="shared" si="68"/>
      </c>
      <c r="F212" s="43">
        <f t="shared" si="69"/>
      </c>
      <c r="G212" s="43">
        <f t="shared" si="66"/>
      </c>
      <c r="H212" s="7"/>
      <c r="I212" s="43">
        <f t="shared" si="67"/>
      </c>
      <c r="J212" s="44">
        <f t="shared" si="62"/>
      </c>
      <c r="K212" s="44"/>
      <c r="L212" s="7" t="s">
        <v>0</v>
      </c>
      <c r="M212" s="7" t="str">
        <f t="shared" si="63"/>
        <v>ZN</v>
      </c>
      <c r="N212" s="13"/>
    </row>
    <row r="213" spans="2:14" s="14" customFormat="1" ht="15">
      <c r="B213" s="13" t="str">
        <f t="shared" si="60"/>
        <v> </v>
      </c>
      <c r="C213" s="42">
        <f t="shared" si="64"/>
      </c>
      <c r="D213" s="7"/>
      <c r="E213" s="43">
        <f t="shared" si="68"/>
      </c>
      <c r="F213" s="43">
        <f t="shared" si="69"/>
      </c>
      <c r="G213" s="43">
        <f t="shared" si="66"/>
      </c>
      <c r="H213" s="7"/>
      <c r="I213" s="43">
        <f t="shared" si="67"/>
      </c>
      <c r="J213" s="44">
        <f t="shared" si="62"/>
      </c>
      <c r="K213" s="44"/>
      <c r="L213" s="7" t="s">
        <v>0</v>
      </c>
      <c r="M213" s="7" t="str">
        <f t="shared" si="63"/>
        <v> </v>
      </c>
      <c r="N213" s="13"/>
    </row>
    <row r="214" spans="2:14" s="14" customFormat="1" ht="15">
      <c r="B214" s="13" t="str">
        <f t="shared" si="60"/>
        <v>BOD</v>
      </c>
      <c r="C214" s="42">
        <f t="shared" si="64"/>
      </c>
      <c r="D214" s="7"/>
      <c r="E214" s="43">
        <f t="shared" si="68"/>
      </c>
      <c r="F214" s="43">
        <f t="shared" si="69"/>
      </c>
      <c r="G214" s="43">
        <f t="shared" si="66"/>
      </c>
      <c r="H214" s="7"/>
      <c r="I214" s="43">
        <f>IF(H214&gt;0,(G214-H214),G214)</f>
      </c>
      <c r="J214" s="44">
        <f t="shared" si="62"/>
      </c>
      <c r="K214" s="44"/>
      <c r="L214" s="7" t="s">
        <v>0</v>
      </c>
      <c r="M214" s="7" t="str">
        <f t="shared" si="63"/>
        <v>BOD</v>
      </c>
      <c r="N214" s="13"/>
    </row>
    <row r="215" spans="2:14" s="14" customFormat="1" ht="15.75" thickBot="1">
      <c r="B215" s="13" t="str">
        <f t="shared" si="60"/>
        <v>TSS</v>
      </c>
      <c r="C215" s="42">
        <f t="shared" si="64"/>
      </c>
      <c r="D215" s="7"/>
      <c r="E215" s="43">
        <f t="shared" si="68"/>
      </c>
      <c r="F215" s="43">
        <f t="shared" si="69"/>
      </c>
      <c r="G215" s="43">
        <f t="shared" si="66"/>
      </c>
      <c r="H215" s="7"/>
      <c r="I215" s="43">
        <f>IF(H215&gt;0,(G215-H215),G215)</f>
      </c>
      <c r="J215" s="44">
        <f t="shared" si="62"/>
      </c>
      <c r="K215" s="44"/>
      <c r="L215" s="7" t="s">
        <v>0</v>
      </c>
      <c r="M215" s="7" t="str">
        <f t="shared" si="63"/>
        <v>TSS</v>
      </c>
      <c r="N215" s="13"/>
    </row>
    <row r="216" spans="2:14" ht="15.75" thickTop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22"/>
    </row>
    <row r="217" ht="15">
      <c r="N217" s="22"/>
    </row>
  </sheetData>
  <printOptions/>
  <pageMargins left="0.75" right="0.75" top="0.5" bottom="0.5" header="0.5" footer="0.5"/>
  <pageSetup fitToHeight="1" fitToWidth="1" orientation="landscape" pageOrder="overThenDown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SYSTEMS MANAGEMENT</dc:creator>
  <cp:keywords/>
  <dc:description/>
  <cp:lastModifiedBy>Cam</cp:lastModifiedBy>
  <cp:lastPrinted>2002-07-23T13:44:41Z</cp:lastPrinted>
  <dcterms:created xsi:type="dcterms:W3CDTF">2002-07-23T16:06:10Z</dcterms:created>
  <dcterms:modified xsi:type="dcterms:W3CDTF">2002-07-24T14:24:10Z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1621578352</vt:i4>
  </property>
  <property fmtid="{D5CDD505-2E9C-101B-9397-08002B2CF9AE}" pid="4" name="_EmailSubje">
    <vt:lpwstr>Replace spreadsheet</vt:lpwstr>
  </property>
  <property fmtid="{D5CDD505-2E9C-101B-9397-08002B2CF9AE}" pid="5" name="_AuthorEma">
    <vt:lpwstr>camcolo@att.net</vt:lpwstr>
  </property>
  <property fmtid="{D5CDD505-2E9C-101B-9397-08002B2CF9AE}" pid="6" name="_AuthorEmailDisplayNa">
    <vt:lpwstr>C.A. McCormick</vt:lpwstr>
  </property>
</Properties>
</file>